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3-1-0524北京市通州区窑厂10号1至24幢\"/>
    </mc:Choice>
  </mc:AlternateContent>
  <xr:revisionPtr revIDLastSave="0" documentId="13_ncr:1_{2BD6A23E-47B2-4D04-9725-24ECA7532A7A}" xr6:coauthVersionLast="45" xr6:coauthVersionMax="45" xr10:uidLastSave="{00000000-0000-0000-0000-000000000000}"/>
  <bookViews>
    <workbookView xWindow="-120" yWindow="-120" windowWidth="21840" windowHeight="13140" tabRatio="899"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倒算)" sheetId="81" r:id="rId34"/>
    <sheet name="成本法" sheetId="68" state="hidden" r:id="rId35"/>
    <sheet name="基准地价修正（科研）" sheetId="43" state="hidden" r:id="rId36"/>
    <sheet name="修正" sheetId="45" state="hidden" r:id="rId37"/>
    <sheet name="基准地价修正（工业）" sheetId="82"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酒店模型" sheetId="77" r:id="rId47"/>
    <sheet name="交易成交案例" sheetId="83" r:id="rId48"/>
    <sheet name="租赁成交案例" sheetId="84" r:id="rId49"/>
    <sheet name="Sheet1" sheetId="80" r:id="rId50"/>
    <sheet name="Sheet2" sheetId="85" r:id="rId51"/>
    <sheet name="Sheet3" sheetId="86" r:id="rId52"/>
  </sheets>
  <externalReferences>
    <externalReference r:id="rId53"/>
    <externalReference r:id="rId54"/>
    <externalReference r:id="rId55"/>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7">'基准地价修正（工业）'!$A$1:$J$44,'基准地价修正（工业）'!$A$47:$H$101,'基准地价修正（工业）'!$R$1:$V$16</definedName>
    <definedName name="_xlnm.Print_Area" localSheetId="35">'基准地价修正（科研）'!$A$1:$J$44,'基准地价修正（科研）'!$A$47:$H$101,'基准地价修正（科研）'!$R$1:$V$16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(倒算)'!$A$1:$I$41</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'基准地价修正（工业）'!$Q$19:$AD$19</definedName>
    <definedName name="季度">'基准地价修正（科研）'!$Q$19:$AD$19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 i="81" l="1"/>
  <c r="M10" i="77" l="1"/>
  <c r="E14" i="77" l="1"/>
  <c r="B14" i="85" l="1"/>
  <c r="K28" i="85"/>
  <c r="H9" i="81" l="1"/>
  <c r="H25" i="81"/>
  <c r="E13" i="3" l="1"/>
  <c r="I6" i="3"/>
  <c r="C14" i="74" l="1"/>
  <c r="B14" i="74"/>
  <c r="G64" i="84" l="1"/>
  <c r="G63" i="84"/>
  <c r="G62" i="84"/>
  <c r="G61" i="84"/>
  <c r="G60" i="84"/>
  <c r="G59"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G26" i="84"/>
  <c r="G25" i="84"/>
  <c r="G24" i="84"/>
  <c r="G23" i="84"/>
  <c r="G22" i="84"/>
  <c r="G21" i="84"/>
  <c r="G20" i="84"/>
  <c r="G19" i="84"/>
  <c r="G18" i="84"/>
  <c r="G17" i="84"/>
  <c r="G16" i="84"/>
  <c r="G15" i="84"/>
  <c r="G14" i="84"/>
  <c r="G13" i="84"/>
  <c r="G12" i="84"/>
  <c r="G11" i="84"/>
  <c r="G10" i="84"/>
  <c r="G9" i="84"/>
  <c r="G8" i="84"/>
  <c r="G7" i="84"/>
  <c r="G6" i="84"/>
  <c r="G5" i="84"/>
  <c r="G4" i="84"/>
  <c r="G3" i="84"/>
  <c r="G2" i="84"/>
  <c r="B5" i="77" l="1"/>
  <c r="B4" i="77"/>
  <c r="I5" i="81" l="1"/>
  <c r="I6" i="81"/>
  <c r="I17" i="81"/>
  <c r="I3" i="8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c r="D101" i="82"/>
  <c r="B101" i="82"/>
  <c r="N100" i="82"/>
  <c r="M100" i="82"/>
  <c r="K100" i="82"/>
  <c r="J100" i="82" s="1"/>
  <c r="D100" i="82"/>
  <c r="B100" i="82"/>
  <c r="M99" i="82"/>
  <c r="N99" i="82" s="1"/>
  <c r="K99" i="82"/>
  <c r="J99" i="82"/>
  <c r="D99" i="82"/>
  <c r="B99" i="82"/>
  <c r="N98" i="82"/>
  <c r="M98" i="82"/>
  <c r="K98" i="82"/>
  <c r="J98" i="82" s="1"/>
  <c r="D98" i="82"/>
  <c r="N97" i="82"/>
  <c r="M97" i="82"/>
  <c r="K97" i="82"/>
  <c r="J97" i="82" s="1"/>
  <c r="D97" i="82"/>
  <c r="B97" i="82"/>
  <c r="M96" i="82"/>
  <c r="N96" i="82" s="1"/>
  <c r="K96" i="82"/>
  <c r="J96" i="82"/>
  <c r="D96" i="82"/>
  <c r="M95" i="82"/>
  <c r="N95" i="82" s="1"/>
  <c r="K95" i="82"/>
  <c r="J95" i="82"/>
  <c r="D95" i="82"/>
  <c r="B95" i="82"/>
  <c r="N94" i="82"/>
  <c r="M94" i="82"/>
  <c r="K94" i="82"/>
  <c r="J94" i="82" s="1"/>
  <c r="D94" i="82"/>
  <c r="B94" i="82"/>
  <c r="M93" i="82"/>
  <c r="N93" i="82" s="1"/>
  <c r="K93" i="82"/>
  <c r="J93" i="82"/>
  <c r="D93" i="82"/>
  <c r="N90" i="82"/>
  <c r="M90" i="82"/>
  <c r="K90" i="82"/>
  <c r="J90" i="82" s="1"/>
  <c r="D90" i="82"/>
  <c r="B90" i="82"/>
  <c r="M89" i="82"/>
  <c r="N89" i="82" s="1"/>
  <c r="K89" i="82"/>
  <c r="J89" i="82"/>
  <c r="D89" i="82"/>
  <c r="M88" i="82"/>
  <c r="N88" i="82" s="1"/>
  <c r="K88" i="82"/>
  <c r="J88" i="82"/>
  <c r="D88" i="82"/>
  <c r="B88" i="82"/>
  <c r="N87" i="82"/>
  <c r="M87" i="82"/>
  <c r="K87" i="82"/>
  <c r="J87" i="82" s="1"/>
  <c r="D87" i="82"/>
  <c r="B87" i="82"/>
  <c r="M86" i="82"/>
  <c r="N86" i="82" s="1"/>
  <c r="K86" i="82"/>
  <c r="J86" i="82"/>
  <c r="D86" i="82"/>
  <c r="B86" i="82"/>
  <c r="N85" i="82"/>
  <c r="M85" i="82"/>
  <c r="K85" i="82"/>
  <c r="J85" i="82" s="1"/>
  <c r="D85" i="82"/>
  <c r="B85" i="82"/>
  <c r="M84" i="82"/>
  <c r="N84" i="82" s="1"/>
  <c r="K84" i="82"/>
  <c r="J84" i="82"/>
  <c r="D84" i="82"/>
  <c r="B84" i="82"/>
  <c r="N83" i="82"/>
  <c r="M83" i="82"/>
  <c r="K83" i="82"/>
  <c r="J83" i="82" s="1"/>
  <c r="E83" i="82"/>
  <c r="B81" i="82" s="1"/>
  <c r="D83" i="82"/>
  <c r="B83" i="82"/>
  <c r="N80" i="82"/>
  <c r="M80" i="82"/>
  <c r="K80" i="82"/>
  <c r="J80" i="82" s="1"/>
  <c r="D80" i="82"/>
  <c r="N79" i="82"/>
  <c r="M79" i="82"/>
  <c r="K79" i="82"/>
  <c r="J79" i="82" s="1"/>
  <c r="D79" i="82"/>
  <c r="B79" i="82"/>
  <c r="M78" i="82"/>
  <c r="N78" i="82" s="1"/>
  <c r="K78" i="82"/>
  <c r="J78" i="82"/>
  <c r="D78" i="82"/>
  <c r="M77" i="82"/>
  <c r="N77" i="82" s="1"/>
  <c r="K77" i="82"/>
  <c r="J77" i="82"/>
  <c r="D77" i="82"/>
  <c r="B77" i="82"/>
  <c r="N76" i="82"/>
  <c r="M76" i="82"/>
  <c r="K76" i="82"/>
  <c r="J76" i="82" s="1"/>
  <c r="D76" i="82"/>
  <c r="B76" i="82"/>
  <c r="M75" i="82"/>
  <c r="N75" i="82" s="1"/>
  <c r="K75" i="82"/>
  <c r="J75" i="82"/>
  <c r="D75" i="82"/>
  <c r="B75" i="82"/>
  <c r="N74" i="82"/>
  <c r="M74" i="82"/>
  <c r="K74" i="82"/>
  <c r="J74" i="82" s="1"/>
  <c r="D74" i="82"/>
  <c r="B74" i="82"/>
  <c r="M73" i="82"/>
  <c r="N73" i="82" s="1"/>
  <c r="K73" i="82"/>
  <c r="J73" i="82"/>
  <c r="D73" i="82"/>
  <c r="B73" i="82"/>
  <c r="N72" i="82"/>
  <c r="M72" i="82"/>
  <c r="K72" i="82"/>
  <c r="J72" i="82" s="1"/>
  <c r="F72" i="82"/>
  <c r="H78" i="82" s="1"/>
  <c r="E72" i="82"/>
  <c r="B70" i="82" s="1"/>
  <c r="D72" i="82"/>
  <c r="B72" i="82"/>
  <c r="N69" i="82"/>
  <c r="M69" i="82"/>
  <c r="K69" i="82"/>
  <c r="J69" i="82" s="1"/>
  <c r="D69" i="82"/>
  <c r="B69" i="82"/>
  <c r="M68" i="82"/>
  <c r="N68" i="82" s="1"/>
  <c r="K68" i="82"/>
  <c r="J68" i="82"/>
  <c r="D68" i="82"/>
  <c r="B68" i="82"/>
  <c r="N67" i="82"/>
  <c r="M67" i="82"/>
  <c r="K67" i="82"/>
  <c r="J67" i="82" s="1"/>
  <c r="D67" i="82"/>
  <c r="B67" i="82"/>
  <c r="N66" i="82"/>
  <c r="M66" i="82"/>
  <c r="K66" i="82"/>
  <c r="J66" i="82" s="1"/>
  <c r="D66" i="82"/>
  <c r="N65" i="82"/>
  <c r="M65" i="82"/>
  <c r="K65" i="82"/>
  <c r="J65" i="82" s="1"/>
  <c r="D65" i="82"/>
  <c r="B65" i="82"/>
  <c r="M64" i="82"/>
  <c r="N64" i="82" s="1"/>
  <c r="K64" i="82"/>
  <c r="J64" i="82"/>
  <c r="D64" i="82"/>
  <c r="M63" i="82"/>
  <c r="N63" i="82" s="1"/>
  <c r="K63" i="82"/>
  <c r="J63" i="82"/>
  <c r="D63" i="82"/>
  <c r="B63" i="82"/>
  <c r="N62" i="82"/>
  <c r="M62" i="82"/>
  <c r="K62" i="82"/>
  <c r="J62" i="82" s="1"/>
  <c r="D62" i="82"/>
  <c r="B62" i="82"/>
  <c r="M61" i="82"/>
  <c r="N61" i="82" s="1"/>
  <c r="K61" i="82"/>
  <c r="J61" i="82"/>
  <c r="F61" i="82"/>
  <c r="H68" i="82" s="1"/>
  <c r="D61" i="82"/>
  <c r="E61" i="82" s="1"/>
  <c r="B59" i="82" s="1"/>
  <c r="B61" i="82"/>
  <c r="M58" i="82"/>
  <c r="N58" i="82" s="1"/>
  <c r="K58" i="82"/>
  <c r="J58" i="82"/>
  <c r="D58" i="82"/>
  <c r="B58" i="82"/>
  <c r="N57" i="82"/>
  <c r="M57" i="82"/>
  <c r="K57" i="82"/>
  <c r="J57" i="82" s="1"/>
  <c r="D57" i="82"/>
  <c r="B57" i="82"/>
  <c r="M56" i="82"/>
  <c r="N56" i="82" s="1"/>
  <c r="K56" i="82"/>
  <c r="J56" i="82"/>
  <c r="D56" i="82"/>
  <c r="B56" i="82"/>
  <c r="N55" i="82"/>
  <c r="M55" i="82"/>
  <c r="K55" i="82"/>
  <c r="J55" i="82" s="1"/>
  <c r="D55" i="82"/>
  <c r="N54" i="82"/>
  <c r="M54" i="82"/>
  <c r="K54" i="82"/>
  <c r="J54" i="82" s="1"/>
  <c r="D54" i="82"/>
  <c r="B54" i="82"/>
  <c r="M53" i="82"/>
  <c r="N53" i="82" s="1"/>
  <c r="K53" i="82"/>
  <c r="J53" i="82"/>
  <c r="D53" i="82"/>
  <c r="M52" i="82"/>
  <c r="N52" i="82" s="1"/>
  <c r="K52" i="82"/>
  <c r="J52" i="82"/>
  <c r="D52" i="82"/>
  <c r="B52" i="82"/>
  <c r="N51" i="82"/>
  <c r="M51" i="82"/>
  <c r="K51" i="82"/>
  <c r="J51" i="82" s="1"/>
  <c r="D51" i="82"/>
  <c r="B51" i="82"/>
  <c r="M50" i="82"/>
  <c r="N50" i="82" s="1"/>
  <c r="K50" i="82"/>
  <c r="J50" i="82"/>
  <c r="F50" i="82"/>
  <c r="H58" i="82" s="1"/>
  <c r="D50" i="82"/>
  <c r="E50" i="82" s="1"/>
  <c r="B48" i="82" s="1"/>
  <c r="B50" i="82"/>
  <c r="H42" i="82"/>
  <c r="H41" i="82"/>
  <c r="H40" i="82"/>
  <c r="H39" i="82"/>
  <c r="H38" i="82"/>
  <c r="H37" i="82"/>
  <c r="N32" i="82"/>
  <c r="P29" i="82"/>
  <c r="P25" i="82"/>
  <c r="M24" i="82"/>
  <c r="J24" i="82"/>
  <c r="G24" i="82"/>
  <c r="E44" i="82" s="1"/>
  <c r="C44" i="82" s="1"/>
  <c r="E24" i="82"/>
  <c r="O23" i="82"/>
  <c r="M23" i="82"/>
  <c r="I23" i="82"/>
  <c r="G23" i="82"/>
  <c r="P28" i="82" s="1"/>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G3" i="82"/>
  <c r="J26" i="82" s="1"/>
  <c r="I2" i="82"/>
  <c r="G2" i="82"/>
  <c r="H116" i="82" s="1"/>
  <c r="S3" i="82" l="1"/>
  <c r="D21" i="82"/>
  <c r="C27" i="82"/>
  <c r="O21" i="82"/>
  <c r="B116" i="82"/>
  <c r="G26" i="82"/>
  <c r="E26" i="82"/>
  <c r="S6" i="82"/>
  <c r="G18" i="82"/>
  <c r="K21" i="82"/>
  <c r="H74" i="82"/>
  <c r="H79" i="82"/>
  <c r="H26" i="82"/>
  <c r="S5" i="82"/>
  <c r="X7" i="82"/>
  <c r="I18" i="82"/>
  <c r="I21" i="82"/>
  <c r="M21" i="82"/>
  <c r="F37" i="82"/>
  <c r="F38" i="82"/>
  <c r="F39" i="82"/>
  <c r="F40" i="82"/>
  <c r="F41" i="82"/>
  <c r="F42" i="82"/>
  <c r="H72" i="82"/>
  <c r="H76" i="82"/>
  <c r="H80" i="82"/>
  <c r="E11" i="82"/>
  <c r="E10" i="82"/>
  <c r="E9" i="82"/>
  <c r="E8" i="82"/>
  <c r="C7" i="82" s="1"/>
  <c r="N12" i="82"/>
  <c r="N11" i="82"/>
  <c r="N10" i="82"/>
  <c r="M9" i="82"/>
  <c r="M8" i="82"/>
  <c r="N7" i="82"/>
  <c r="N6" i="82"/>
  <c r="N5" i="82"/>
  <c r="M4" i="82"/>
  <c r="N3" i="82"/>
  <c r="M2" i="82"/>
  <c r="N1" i="82"/>
  <c r="N4" i="82"/>
  <c r="M6" i="82"/>
  <c r="M11" i="82"/>
  <c r="M12" i="82"/>
  <c r="M1" i="82"/>
  <c r="N2" i="82"/>
  <c r="M3" i="82"/>
  <c r="M5" i="82"/>
  <c r="C6" i="82" s="1"/>
  <c r="M7" i="82"/>
  <c r="N8" i="82"/>
  <c r="N9" i="82"/>
  <c r="M10" i="82"/>
  <c r="Q32" i="82"/>
  <c r="O32" i="82"/>
  <c r="M32" i="82"/>
  <c r="P32" i="82"/>
  <c r="H51" i="82"/>
  <c r="H54" i="82"/>
  <c r="H55" i="82"/>
  <c r="H57" i="82"/>
  <c r="H62" i="82"/>
  <c r="H65" i="82"/>
  <c r="H66" i="82"/>
  <c r="H69" i="82"/>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B118" i="82"/>
  <c r="C118" i="82" s="1"/>
  <c r="B119" i="82"/>
  <c r="C119" i="82" s="1"/>
  <c r="B120" i="82"/>
  <c r="C120" i="82" s="1"/>
  <c r="B121" i="82"/>
  <c r="C121" i="82" s="1"/>
  <c r="B122" i="82"/>
  <c r="C122" i="82" s="1"/>
  <c r="S2" i="82"/>
  <c r="S4" i="82"/>
  <c r="Z7" i="82"/>
  <c r="C21" i="82"/>
  <c r="E21" i="82"/>
  <c r="H21" i="82"/>
  <c r="J21" i="82"/>
  <c r="L21" i="82"/>
  <c r="N21" i="82"/>
  <c r="F26" i="82"/>
  <c r="P26" i="82"/>
  <c r="P27" i="82"/>
  <c r="H50" i="82"/>
  <c r="H52" i="82"/>
  <c r="H53" i="82"/>
  <c r="H56" i="82"/>
  <c r="H61" i="82"/>
  <c r="H63" i="82"/>
  <c r="H64" i="82"/>
  <c r="H67" i="82"/>
  <c r="E93" i="82"/>
  <c r="B91" i="82" s="1"/>
  <c r="C28" i="82" s="1"/>
  <c r="D118" i="82"/>
  <c r="E118" i="82" s="1"/>
  <c r="F118" i="82" s="1"/>
  <c r="G118" i="82" s="1"/>
  <c r="H118" i="82" s="1"/>
  <c r="D119" i="82"/>
  <c r="E119" i="82" s="1"/>
  <c r="F119" i="82" s="1"/>
  <c r="G119" i="82" s="1"/>
  <c r="H119" i="82" s="1"/>
  <c r="D120" i="82"/>
  <c r="E120" i="82" s="1"/>
  <c r="F120" i="82" s="1"/>
  <c r="G120" i="82" s="1"/>
  <c r="H120" i="82" s="1"/>
  <c r="D121" i="82"/>
  <c r="E121" i="82" s="1"/>
  <c r="F121" i="82" s="1"/>
  <c r="D122" i="82"/>
  <c r="E122" i="82" s="1"/>
  <c r="F122" i="82" s="1"/>
  <c r="G122" i="82" s="1"/>
  <c r="H122" i="82" s="1"/>
  <c r="H73" i="82"/>
  <c r="H75" i="82"/>
  <c r="H77" i="82"/>
  <c r="D26" i="82" l="1"/>
  <c r="C25" i="82" s="1"/>
  <c r="E17" i="82"/>
  <c r="F93" i="82"/>
  <c r="H101" i="82" s="1"/>
  <c r="F83" i="82"/>
  <c r="D116" i="82"/>
  <c r="H99" i="82"/>
  <c r="H95" i="82"/>
  <c r="H100" i="82"/>
  <c r="H98" i="82"/>
  <c r="G21" i="82"/>
  <c r="C20" i="82" s="1"/>
  <c r="D5" i="82" s="1"/>
  <c r="H94" i="82" l="1"/>
  <c r="H97" i="82"/>
  <c r="H93" i="82"/>
  <c r="H96" i="82"/>
  <c r="H89" i="82"/>
  <c r="H87" i="82"/>
  <c r="H83" i="82"/>
  <c r="H90" i="82"/>
  <c r="H85" i="82"/>
  <c r="H84" i="82"/>
  <c r="H88" i="82"/>
  <c r="H86" i="82"/>
  <c r="C5" i="82"/>
  <c r="Y6" i="1" l="1"/>
  <c r="H22" i="81" l="1"/>
  <c r="C22" i="81" s="1"/>
  <c r="H15" i="81"/>
  <c r="H14" i="81"/>
  <c r="I11" i="81"/>
  <c r="I8" i="81"/>
  <c r="D35" i="81"/>
  <c r="E25" i="81"/>
  <c r="F19" i="81"/>
  <c r="F16" i="81"/>
  <c r="E15" i="81"/>
  <c r="M10" i="81"/>
  <c r="P9" i="81"/>
  <c r="O10" i="81" s="1"/>
  <c r="M4" i="81"/>
  <c r="C21" i="81" l="1"/>
  <c r="E19" i="81" s="1"/>
  <c r="C15" i="8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23" i="82" l="1"/>
  <c r="C15" i="78"/>
  <c r="H100" i="43"/>
  <c r="H97" i="43"/>
  <c r="H95" i="43"/>
  <c r="H94" i="43"/>
  <c r="H98" i="43"/>
  <c r="H93" i="43"/>
  <c r="H101" i="43"/>
  <c r="H99" i="43"/>
  <c r="H96" i="43"/>
  <c r="G23" i="78"/>
  <c r="G24" i="78"/>
  <c r="G25" i="78"/>
  <c r="B15" i="78"/>
  <c r="B18" i="78"/>
  <c r="G14" i="73"/>
  <c r="F14" i="73"/>
  <c r="E14" i="73"/>
  <c r="C41" i="82" l="1"/>
  <c r="C42" i="82"/>
  <c r="G15" i="73"/>
  <c r="F15" i="73"/>
  <c r="E15" i="73"/>
  <c r="G42" i="82" l="1"/>
  <c r="I42" i="82" s="1"/>
  <c r="E42" i="82"/>
  <c r="G41" i="82"/>
  <c r="I41" i="82" s="1"/>
  <c r="E41" i="82"/>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13" i="77"/>
  <c r="R12" i="77"/>
  <c r="D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U5" i="77" l="1"/>
  <c r="D6" i="77"/>
  <c r="E24" i="43"/>
  <c r="D9" i="77" l="1"/>
  <c r="D15" i="77"/>
  <c r="D16" i="77"/>
  <c r="D18" i="77"/>
  <c r="D10" i="77"/>
  <c r="C23" i="77"/>
  <c r="D17" i="77"/>
  <c r="Q32" i="43"/>
  <c r="P32" i="43"/>
  <c r="O32" i="43"/>
  <c r="N32" i="43"/>
  <c r="M32" i="43"/>
  <c r="AH11" i="71"/>
  <c r="AG11" i="71"/>
  <c r="AE11" i="71"/>
  <c r="AF11" i="71" s="1"/>
  <c r="AD11" i="71"/>
  <c r="Q11" i="71"/>
  <c r="P11" i="71"/>
  <c r="O11" i="71"/>
  <c r="N11" i="71"/>
  <c r="D7" i="77" l="1"/>
  <c r="C26" i="77" s="1"/>
  <c r="D23" i="77"/>
  <c r="C29" i="77"/>
  <c r="D11" i="77"/>
  <c r="E11" i="77" s="1"/>
  <c r="E7" i="77" s="1"/>
  <c r="C27" i="77" s="1"/>
  <c r="AH12" i="71"/>
  <c r="AG12" i="71"/>
  <c r="AE12" i="71"/>
  <c r="AF12" i="71" s="1"/>
  <c r="AD12" i="71"/>
  <c r="Q12" i="71"/>
  <c r="P12" i="71"/>
  <c r="O12" i="71"/>
  <c r="N12" i="71"/>
  <c r="C32" i="77" l="1"/>
  <c r="C38" i="77" s="1"/>
  <c r="C39" i="77" s="1"/>
  <c r="D29" i="77"/>
  <c r="D26" i="77"/>
  <c r="D32" i="77" s="1"/>
  <c r="D38" i="77" s="1"/>
  <c r="D39" i="77" s="1"/>
  <c r="E23" i="77"/>
  <c r="AH13" i="71"/>
  <c r="AG13" i="71"/>
  <c r="AE13" i="71"/>
  <c r="AF13" i="71" s="1"/>
  <c r="AD13" i="71"/>
  <c r="Q13" i="71"/>
  <c r="P13" i="71"/>
  <c r="O13" i="71"/>
  <c r="N13" i="71"/>
  <c r="E26" i="77" l="1"/>
  <c r="E29" i="77"/>
  <c r="E32" i="77"/>
  <c r="E38" i="77" s="1"/>
  <c r="E39" i="77" s="1"/>
  <c r="C40" i="77" s="1"/>
  <c r="H16" i="49"/>
  <c r="D16" i="49"/>
  <c r="D15" i="49"/>
  <c r="B2" i="49"/>
  <c r="F15" i="49" s="1"/>
  <c r="H15" i="49" s="1"/>
  <c r="B2" i="77" l="1"/>
  <c r="B3" i="77" s="1"/>
  <c r="C41"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C39" i="71" s="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2" i="71"/>
  <c r="V52" i="71" s="1"/>
  <c r="C28" i="71"/>
  <c r="C27" i="71" s="1"/>
  <c r="X25" i="71"/>
  <c r="X27" i="71"/>
  <c r="C31" i="71"/>
  <c r="D34" i="71"/>
  <c r="D38" i="71"/>
  <c r="D42" i="71"/>
  <c r="C47" i="71"/>
  <c r="D47" i="71"/>
  <c r="D46" i="71"/>
  <c r="C51" i="71"/>
  <c r="D50" i="71"/>
  <c r="P28" i="71"/>
  <c r="AA24" i="71" s="1"/>
  <c r="E55" i="71"/>
  <c r="E56" i="71"/>
  <c r="U56" i="71" s="1"/>
  <c r="E59" i="71"/>
  <c r="E60" i="71" s="1"/>
  <c r="U60" i="7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D31" i="71"/>
  <c r="C26" i="71"/>
  <c r="D26" i="71" s="1"/>
  <c r="D27" i="71"/>
  <c r="V28" i="71"/>
  <c r="P65" i="71"/>
  <c r="P66" i="71"/>
  <c r="O66" i="71"/>
  <c r="O65" i="71"/>
  <c r="D32" i="71"/>
  <c r="D36" i="71"/>
  <c r="D40"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10" i="1"/>
  <c r="W37" i="37"/>
  <c r="AC44" i="34"/>
  <c r="U13" i="37"/>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K6" i="1"/>
  <c r="AB34" i="36"/>
  <c r="U34" i="36"/>
  <c r="AB33" i="36"/>
  <c r="U33" i="36"/>
  <c r="AC12" i="39"/>
  <c r="W12" i="39"/>
  <c r="AZ401" i="3"/>
  <c r="AZ412" i="3"/>
  <c r="AZ417" i="3"/>
  <c r="AZ428" i="3"/>
  <c r="AZ433" i="3"/>
  <c r="AZ465" i="3"/>
  <c r="W12" i="33"/>
  <c r="AC12" i="33"/>
  <c r="AA32" i="36"/>
  <c r="S32" i="36"/>
  <c r="AZ408" i="3"/>
  <c r="AZ437" i="3"/>
  <c r="AZ441" i="3"/>
  <c r="AZ457" i="3"/>
  <c r="AZ473" i="3"/>
  <c r="AZ490" i="3"/>
  <c r="F28" i="6"/>
  <c r="BL14" i="3"/>
  <c r="AZ266" i="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AB37" i="40"/>
  <c r="S35" i="40"/>
  <c r="U35"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S27" i="33"/>
  <c r="S32" i="33"/>
  <c r="AA29" i="33"/>
  <c r="AB29" i="33"/>
  <c r="W38" i="33"/>
  <c r="H41" i="33"/>
  <c r="U42" i="33"/>
  <c r="S42" i="33"/>
  <c r="F36" i="33"/>
  <c r="AA36"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M20" i="67"/>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J36" i="33"/>
  <c r="W36" i="33" s="1"/>
  <c r="H36" i="33"/>
  <c r="U36" i="33" s="1"/>
  <c r="S36" i="33"/>
  <c r="AC32" i="33"/>
  <c r="W32" i="33"/>
  <c r="U27" i="33"/>
  <c r="AB27" i="33"/>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34" i="68"/>
  <c r="E7" i="76"/>
  <c r="M24" i="15"/>
  <c r="F13" i="15"/>
  <c r="F9" i="15"/>
  <c r="F16" i="15"/>
  <c r="D35" i="9"/>
  <c r="D34" i="9"/>
  <c r="D3" i="73"/>
  <c r="F43" i="15"/>
  <c r="D4" i="73"/>
  <c r="C20" i="9"/>
  <c r="B7" i="76"/>
  <c r="M26" i="15"/>
  <c r="E13" i="76"/>
  <c r="M22" i="15"/>
  <c r="B12" i="76"/>
  <c r="E2" i="68"/>
  <c r="F42" i="15"/>
  <c r="F8" i="15"/>
  <c r="B10" i="76"/>
  <c r="J15" i="15"/>
  <c r="D20" i="9"/>
  <c r="M23" i="15"/>
  <c r="F38" i="15"/>
  <c r="D19" i="9"/>
  <c r="F37" i="15"/>
  <c r="F3" i="73"/>
  <c r="E9" i="76"/>
  <c r="F5" i="73"/>
  <c r="D7" i="73"/>
  <c r="M8" i="15"/>
  <c r="C19" i="9"/>
  <c r="F7" i="73"/>
  <c r="M28" i="15"/>
  <c r="E8" i="76"/>
  <c r="L48" i="15"/>
  <c r="F6" i="15"/>
  <c r="M9" i="15"/>
  <c r="M29" i="15"/>
  <c r="D5" i="73"/>
  <c r="B13" i="76"/>
  <c r="F26" i="15"/>
  <c r="F6" i="73"/>
  <c r="D6" i="73"/>
  <c r="F20" i="31"/>
  <c r="F40" i="15"/>
  <c r="E2" i="69"/>
  <c r="B11" i="76"/>
  <c r="E12" i="76"/>
  <c r="E10" i="76"/>
  <c r="M6" i="15"/>
  <c r="C76" i="15"/>
  <c r="AO13" i="1"/>
  <c r="B9" i="76"/>
  <c r="F4" i="73"/>
  <c r="E11" i="76"/>
  <c r="L47" i="15"/>
  <c r="F36" i="15"/>
  <c r="B8" i="76"/>
  <c r="F7" i="1" l="1"/>
  <c r="G1" i="67"/>
  <c r="K1" i="12"/>
  <c r="AP6" i="1"/>
  <c r="C36" i="69" s="1"/>
  <c r="AH6" i="1"/>
  <c r="F3" i="35"/>
  <c r="G7" i="1"/>
  <c r="I24" i="82"/>
  <c r="C24" i="82" s="1"/>
  <c r="F34" i="15"/>
  <c r="F62" i="15" s="1"/>
  <c r="F34" i="67"/>
  <c r="F62" i="67" s="1"/>
  <c r="B41" i="1"/>
  <c r="F32" i="67" s="1"/>
  <c r="F60" i="67" s="1"/>
  <c r="D93" i="9"/>
  <c r="F28" i="15"/>
  <c r="F28" i="67"/>
  <c r="D68" i="9"/>
  <c r="M18" i="15"/>
  <c r="F30" i="69"/>
  <c r="F48" i="69" s="1"/>
  <c r="M18" i="67"/>
  <c r="F31" i="12"/>
  <c r="F30" i="11"/>
  <c r="C48" i="11" s="1"/>
  <c r="G6" i="1"/>
  <c r="G16" i="1" s="1"/>
  <c r="F10" i="39" s="1"/>
  <c r="I24" i="43"/>
  <c r="C24" i="43" s="1"/>
  <c r="H50" i="43"/>
  <c r="H69" i="43"/>
  <c r="H67" i="43"/>
  <c r="G29" i="6"/>
  <c r="C28" i="67"/>
  <c r="E15" i="71"/>
  <c r="E14" i="71" s="1"/>
  <c r="E13" i="71" s="1"/>
  <c r="E12" i="71" s="1"/>
  <c r="V16" i="71"/>
  <c r="D126" i="9"/>
  <c r="D19" i="53"/>
  <c r="B38" i="72" s="1"/>
  <c r="M49" i="9"/>
  <c r="D16" i="53"/>
  <c r="B34" i="72" s="1"/>
  <c r="AZ521" i="3"/>
  <c r="AB9" i="33"/>
  <c r="U9" i="33"/>
  <c r="U31" i="39"/>
  <c r="AB31" i="39"/>
  <c r="AA36" i="39"/>
  <c r="S36" i="39"/>
  <c r="AZ550" i="3"/>
  <c r="V20" i="71"/>
  <c r="U31" i="21"/>
  <c r="AB31" i="21"/>
  <c r="AC45" i="21"/>
  <c r="W45" i="21"/>
  <c r="W26" i="33"/>
  <c r="AC26" i="33"/>
  <c r="AC27" i="34"/>
  <c r="W27" i="34"/>
  <c r="D17" i="71"/>
  <c r="C16" i="71"/>
  <c r="W17" i="21"/>
  <c r="G28" i="6"/>
  <c r="AZ548" i="3"/>
  <c r="H23" i="35"/>
  <c r="J23" i="35"/>
  <c r="H25" i="37"/>
  <c r="J25" i="37"/>
  <c r="F25" i="37"/>
  <c r="F38" i="40"/>
  <c r="J38" i="40"/>
  <c r="H38" i="40"/>
  <c r="BL550" i="3"/>
  <c r="AZ413" i="3"/>
  <c r="AZ424" i="3"/>
  <c r="AZ429" i="3"/>
  <c r="AZ439" i="3"/>
  <c r="AZ444" i="3"/>
  <c r="BL5" i="3"/>
  <c r="D120" i="9"/>
  <c r="W43" i="33"/>
  <c r="AA35" i="33"/>
  <c r="AC39" i="34"/>
  <c r="U44" i="34"/>
  <c r="AA13" i="37"/>
  <c r="S37" i="37"/>
  <c r="AB20" i="36"/>
  <c r="S15" i="39"/>
  <c r="U25" i="39"/>
  <c r="U37" i="39"/>
  <c r="AA32" i="40"/>
  <c r="AC36" i="40"/>
  <c r="AC34" i="33"/>
  <c r="U30" i="33"/>
  <c r="AA39" i="34"/>
  <c r="U12" i="40"/>
  <c r="S15" i="37"/>
  <c r="AC11" i="39"/>
  <c r="AC5" i="3"/>
  <c r="W35" i="40"/>
  <c r="AB33" i="40"/>
  <c r="AC12" i="37"/>
  <c r="S21" i="40"/>
  <c r="AC11" i="35"/>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15" i="3"/>
  <c r="AZ454" i="3"/>
  <c r="AZ459" i="3"/>
  <c r="AZ471" i="3"/>
  <c r="AZ476" i="3"/>
  <c r="AZ478" i="3"/>
  <c r="AZ484" i="3"/>
  <c r="AZ492" i="3"/>
  <c r="AZ395" i="3"/>
  <c r="AZ208" i="3"/>
  <c r="AZ211" i="3"/>
  <c r="AZ219" i="3"/>
  <c r="AZ236" i="3"/>
  <c r="AZ252" i="3"/>
  <c r="AZ272" i="3"/>
  <c r="AZ276" i="3"/>
  <c r="AZ289" i="3"/>
  <c r="AZ294" i="3"/>
  <c r="AZ300" i="3"/>
  <c r="AZ126" i="3"/>
  <c r="AZ129" i="3"/>
  <c r="AZ153" i="3"/>
  <c r="AZ169" i="3"/>
  <c r="AZ185" i="3"/>
  <c r="AZ201" i="3"/>
  <c r="AZ207" i="3"/>
  <c r="AZ25" i="3"/>
  <c r="AZ30" i="3"/>
  <c r="AZ36" i="3"/>
  <c r="AZ40" i="3"/>
  <c r="AZ46" i="3"/>
  <c r="AZ49" i="3"/>
  <c r="AZ60" i="3"/>
  <c r="AZ73" i="3"/>
  <c r="AZ78" i="3"/>
  <c r="AZ87" i="3"/>
  <c r="AZ91" i="3"/>
  <c r="AZ95" i="3"/>
  <c r="AZ98" i="3"/>
  <c r="AZ100" i="3"/>
  <c r="AZ104" i="3"/>
  <c r="AZ108" i="3"/>
  <c r="U18" i="36"/>
  <c r="X21" i="71"/>
  <c r="X22" i="71"/>
  <c r="B28" i="71"/>
  <c r="X26" i="71"/>
  <c r="X28" i="71"/>
  <c r="Y29" i="71"/>
  <c r="Z29" i="71" s="1"/>
  <c r="Y25" i="71"/>
  <c r="Z25" i="71" s="1"/>
  <c r="Y26" i="71"/>
  <c r="Z26" i="71" s="1"/>
  <c r="Y27" i="71"/>
  <c r="Z27" i="71" s="1"/>
  <c r="Y28" i="71"/>
  <c r="Z28" i="71" s="1"/>
  <c r="F30" i="71"/>
  <c r="F31" i="71" s="1"/>
  <c r="F32" i="71" s="1"/>
  <c r="V32" i="71" s="1"/>
  <c r="AA30" i="71"/>
  <c r="AA31" i="71"/>
  <c r="AA33" i="71"/>
  <c r="AA32" i="71"/>
  <c r="X33" i="71"/>
  <c r="X34" i="71"/>
  <c r="X35" i="71"/>
  <c r="AA37" i="71"/>
  <c r="X9" i="71"/>
  <c r="X10" i="71"/>
  <c r="AB9" i="71"/>
  <c r="AB10" i="71"/>
  <c r="X24" i="71"/>
  <c r="AA22" i="71"/>
  <c r="AA18" i="71"/>
  <c r="Y18" i="71"/>
  <c r="Z18" i="71" s="1"/>
  <c r="AB18" i="71"/>
  <c r="X12" i="71"/>
  <c r="AA14" i="71"/>
  <c r="X17" i="71"/>
  <c r="AA17" i="71"/>
  <c r="Y9" i="71"/>
  <c r="Z9" i="71" s="1"/>
  <c r="Y10" i="71"/>
  <c r="Z10" i="71" s="1"/>
  <c r="AA9" i="71"/>
  <c r="AA10" i="71"/>
  <c r="S68" i="71"/>
  <c r="B67" i="71"/>
  <c r="AB24" i="71"/>
  <c r="Y21" i="71"/>
  <c r="Z21" i="71" s="1"/>
  <c r="AB21" i="71"/>
  <c r="X18" i="71"/>
  <c r="Y12" i="71"/>
  <c r="Z12" i="71" s="1"/>
  <c r="Y14" i="71"/>
  <c r="Z14" i="71" s="1"/>
  <c r="AB13" i="71"/>
  <c r="Y24" i="71"/>
  <c r="Z24" i="71" s="1"/>
  <c r="AA21" i="71"/>
  <c r="AB15" i="71"/>
  <c r="Y17" i="71"/>
  <c r="Z17" i="71" s="1"/>
  <c r="AB17" i="71"/>
  <c r="AB11" i="71"/>
  <c r="AB14" i="71"/>
  <c r="Y13" i="71"/>
  <c r="Z13" i="71" s="1"/>
  <c r="AA12" i="71"/>
  <c r="X13" i="71"/>
  <c r="Y23" i="71"/>
  <c r="Z23" i="71" s="1"/>
  <c r="Y22" i="71"/>
  <c r="Z22" i="71" s="1"/>
  <c r="AA23" i="71"/>
  <c r="AB23" i="71"/>
  <c r="X15" i="71"/>
  <c r="AA15" i="71"/>
  <c r="AB12" i="71"/>
  <c r="Y11" i="71"/>
  <c r="Z11" i="71" s="1"/>
  <c r="AA11" i="71"/>
  <c r="AA13"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6" i="1"/>
  <c r="C13" i="12" s="1"/>
  <c r="P11" i="1"/>
  <c r="K14" i="1"/>
  <c r="K16" i="1" s="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I1" i="73"/>
  <c r="B39" i="1" s="1"/>
  <c r="F51" i="15"/>
  <c r="F71" i="15"/>
  <c r="L59" i="15"/>
  <c r="N59" i="15"/>
  <c r="L58" i="15"/>
  <c r="M59" i="15"/>
  <c r="F66" i="15"/>
  <c r="F64" i="15"/>
  <c r="D103" i="9"/>
  <c r="C27" i="15"/>
  <c r="F65" i="15"/>
  <c r="G20" i="9"/>
  <c r="C103" i="9"/>
  <c r="B13" i="70"/>
  <c r="F68" i="15"/>
  <c r="D9" i="69"/>
  <c r="M22" i="67"/>
  <c r="M26" i="67"/>
  <c r="L48" i="67"/>
  <c r="M28" i="67"/>
  <c r="F8" i="67"/>
  <c r="F43" i="67"/>
  <c r="F7" i="15"/>
  <c r="C76" i="67"/>
  <c r="M9" i="67"/>
  <c r="F13" i="67"/>
  <c r="F7" i="67"/>
  <c r="L47" i="67"/>
  <c r="F38" i="67"/>
  <c r="F37" i="67"/>
  <c r="C16" i="15"/>
  <c r="M6" i="67"/>
  <c r="F16" i="67"/>
  <c r="F26" i="67"/>
  <c r="M29" i="67"/>
  <c r="M8" i="67"/>
  <c r="M24" i="67"/>
  <c r="F6" i="67"/>
  <c r="J15" i="67"/>
  <c r="M23" i="67"/>
  <c r="F42" i="67"/>
  <c r="F36" i="67"/>
  <c r="D9" i="68"/>
  <c r="F40" i="67"/>
  <c r="F9" i="67"/>
  <c r="C36" i="68"/>
  <c r="G1" i="73"/>
  <c r="E28" i="81" l="1"/>
  <c r="E24" i="81"/>
  <c r="M7" i="15"/>
  <c r="J6" i="15" s="1"/>
  <c r="J18" i="15" s="1"/>
  <c r="C6" i="15"/>
  <c r="C32" i="15" s="1"/>
  <c r="F50" i="15"/>
  <c r="C49" i="15" s="1"/>
  <c r="F65" i="67"/>
  <c r="F71" i="67"/>
  <c r="C6" i="67"/>
  <c r="C32" i="67" s="1"/>
  <c r="F50" i="67"/>
  <c r="M7" i="67"/>
  <c r="J6" i="67" s="1"/>
  <c r="J18" i="67" s="1"/>
  <c r="Q71" i="67"/>
  <c r="C27" i="67"/>
  <c r="F64" i="67"/>
  <c r="F68" i="67"/>
  <c r="J53" i="67"/>
  <c r="F1" i="67" s="1"/>
  <c r="L56" i="67"/>
  <c r="J57" i="67"/>
  <c r="J55" i="67" s="1"/>
  <c r="J58" i="67" s="1"/>
  <c r="Q50" i="67" s="1"/>
  <c r="I54" i="67"/>
  <c r="N59" i="67"/>
  <c r="L58" i="67"/>
  <c r="Q60" i="67" s="1"/>
  <c r="L59" i="67"/>
  <c r="Q61" i="67" s="1"/>
  <c r="M59" i="67"/>
  <c r="F51" i="67"/>
  <c r="C49" i="67" s="1"/>
  <c r="F66" i="67"/>
  <c r="C38" i="82"/>
  <c r="C39" i="82"/>
  <c r="T15" i="82"/>
  <c r="V15" i="82" s="1"/>
  <c r="T13" i="82"/>
  <c r="V13" i="82" s="1"/>
  <c r="T8" i="82"/>
  <c r="V8" i="82" s="1"/>
  <c r="T5" i="82"/>
  <c r="V5" i="82" s="1"/>
  <c r="T12" i="82"/>
  <c r="V12" i="82" s="1"/>
  <c r="T4" i="82"/>
  <c r="V4" i="82" s="1"/>
  <c r="T10" i="82"/>
  <c r="V10" i="82" s="1"/>
  <c r="T2" i="82"/>
  <c r="V2" i="82" s="1"/>
  <c r="C40" i="82"/>
  <c r="C37" i="82"/>
  <c r="T16" i="82"/>
  <c r="V16" i="82" s="1"/>
  <c r="T14" i="82"/>
  <c r="V14" i="82" s="1"/>
  <c r="T9" i="82"/>
  <c r="V9" i="82" s="1"/>
  <c r="T6" i="82"/>
  <c r="V6" i="82" s="1"/>
  <c r="T3" i="82"/>
  <c r="V3" i="82" s="1"/>
  <c r="T11" i="82"/>
  <c r="V11" i="82" s="1"/>
  <c r="C33" i="82"/>
  <c r="T7" i="82"/>
  <c r="V7" i="82" s="1"/>
  <c r="F48" i="9"/>
  <c r="O52" i="9" s="1"/>
  <c r="F54" i="9"/>
  <c r="F30" i="68"/>
  <c r="F32" i="15"/>
  <c r="F60" i="15" s="1"/>
  <c r="F52" i="9"/>
  <c r="B15" i="71"/>
  <c r="B14" i="71" s="1"/>
  <c r="B13" i="71" s="1"/>
  <c r="B12" i="71" s="1"/>
  <c r="S16" i="71"/>
  <c r="S28" i="71"/>
  <c r="B27" i="71"/>
  <c r="B26" i="71" s="1"/>
  <c r="W39" i="40"/>
  <c r="AC39" i="40"/>
  <c r="AB44" i="39"/>
  <c r="U44" i="39"/>
  <c r="U26" i="37"/>
  <c r="AB26" i="37"/>
  <c r="AB24" i="36"/>
  <c r="U24" i="36"/>
  <c r="AB36" i="39"/>
  <c r="U36" i="39"/>
  <c r="AA31" i="39"/>
  <c r="S31" i="39"/>
  <c r="S23" i="35"/>
  <c r="AA23" i="35"/>
  <c r="U38" i="40"/>
  <c r="AB38" i="40"/>
  <c r="AA38" i="40"/>
  <c r="S38" i="40"/>
  <c r="W25" i="37"/>
  <c r="AC25" i="37"/>
  <c r="AC23" i="35"/>
  <c r="W23" i="35"/>
  <c r="C15" i="71"/>
  <c r="T16" i="71"/>
  <c r="B20" i="31"/>
  <c r="B21" i="31" s="1"/>
  <c r="F7" i="36"/>
  <c r="J7" i="37"/>
  <c r="W7" i="37" s="1"/>
  <c r="H7" i="36"/>
  <c r="D20" i="53"/>
  <c r="B40" i="72" s="1"/>
  <c r="B66" i="71"/>
  <c r="N67" i="71"/>
  <c r="AB39" i="40"/>
  <c r="U39" i="40"/>
  <c r="AA44" i="39"/>
  <c r="S44" i="39"/>
  <c r="AA26" i="37"/>
  <c r="S26" i="37"/>
  <c r="AC26" i="37"/>
  <c r="W26" i="37"/>
  <c r="U12" i="36"/>
  <c r="AB12" i="36"/>
  <c r="AC36" i="39"/>
  <c r="W36" i="39"/>
  <c r="AC31" i="39"/>
  <c r="W31" i="39"/>
  <c r="AA24" i="36"/>
  <c r="S24" i="36"/>
  <c r="S27" i="34"/>
  <c r="AA27" i="34"/>
  <c r="D121" i="9"/>
  <c r="D7" i="52" s="1"/>
  <c r="D6" i="52"/>
  <c r="AC38" i="40"/>
  <c r="W38" i="40"/>
  <c r="AA25" i="37"/>
  <c r="S25" i="37"/>
  <c r="U25" i="37"/>
  <c r="AB25" i="37"/>
  <c r="U23" i="35"/>
  <c r="AB23" i="35"/>
  <c r="E11" i="71"/>
  <c r="E10" i="71" s="1"/>
  <c r="E9" i="71" s="1"/>
  <c r="E8" i="71" s="1"/>
  <c r="E7" i="71" s="1"/>
  <c r="E6" i="71" s="1"/>
  <c r="E5" i="71" s="1"/>
  <c r="V12" i="71"/>
  <c r="E61" i="43"/>
  <c r="B59" i="43" s="1"/>
  <c r="C28" i="43" s="1"/>
  <c r="E30" i="6"/>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82" s="1"/>
  <c r="S10" i="39"/>
  <c r="AA10" i="39"/>
  <c r="H7" i="33"/>
  <c r="J7" i="33"/>
  <c r="D65" i="40"/>
  <c r="E63" i="40"/>
  <c r="F48" i="35"/>
  <c r="S7" i="36"/>
  <c r="AA7" i="36"/>
  <c r="AC7" i="37"/>
  <c r="V42" i="37" s="1"/>
  <c r="I42" i="37" s="1"/>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J5" i="15" s="1"/>
  <c r="J24" i="15" s="1"/>
  <c r="F11" i="67"/>
  <c r="F1" i="15"/>
  <c r="Q52" i="15"/>
  <c r="Q60" i="15"/>
  <c r="Q73" i="15"/>
  <c r="Q74" i="15"/>
  <c r="Q61" i="15"/>
  <c r="AE11" i="1"/>
  <c r="AE9" i="1"/>
  <c r="AE7" i="1"/>
  <c r="AE8" i="1"/>
  <c r="AE12" i="1"/>
  <c r="AE10" i="1"/>
  <c r="F41" i="67"/>
  <c r="AE6" i="1"/>
  <c r="F27" i="68"/>
  <c r="C16" i="67"/>
  <c r="Q74" i="67" l="1"/>
  <c r="Q73" i="67"/>
  <c r="Q52" i="67"/>
  <c r="J5" i="67"/>
  <c r="J24" i="67" s="1"/>
  <c r="G37" i="82"/>
  <c r="I37" i="82" s="1"/>
  <c r="E37" i="82"/>
  <c r="G39" i="82"/>
  <c r="I39" i="82" s="1"/>
  <c r="E39" i="82"/>
  <c r="C34" i="82"/>
  <c r="G40" i="82"/>
  <c r="I40" i="82" s="1"/>
  <c r="E40" i="82"/>
  <c r="G38" i="82"/>
  <c r="I38" i="82" s="1"/>
  <c r="E38" i="82"/>
  <c r="Q36" i="82"/>
  <c r="O36" i="82"/>
  <c r="M36" i="82"/>
  <c r="N36" i="82"/>
  <c r="L37" i="82"/>
  <c r="P36" i="82"/>
  <c r="L36" i="43"/>
  <c r="P36" i="43" s="1"/>
  <c r="I18" i="81"/>
  <c r="F48" i="68"/>
  <c r="C30" i="68"/>
  <c r="C48" i="68"/>
  <c r="N65" i="71"/>
  <c r="N66" i="71"/>
  <c r="R36" i="36"/>
  <c r="T42" i="37"/>
  <c r="G42" i="37" s="1"/>
  <c r="G47" i="37" s="1"/>
  <c r="H47" i="37" s="1"/>
  <c r="C14" i="71"/>
  <c r="D15" i="71"/>
  <c r="B11" i="71"/>
  <c r="B10" i="71" s="1"/>
  <c r="B9" i="71" s="1"/>
  <c r="B8" i="71" s="1"/>
  <c r="B7" i="71" s="1"/>
  <c r="B6" i="71" s="1"/>
  <c r="B5" i="71" s="1"/>
  <c r="S12"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O16" i="1" s="1"/>
  <c r="M16" i="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L37" i="43" l="1"/>
  <c r="M37" i="43" s="1"/>
  <c r="Q37" i="82"/>
  <c r="O37" i="82"/>
  <c r="M37" i="82"/>
  <c r="N37" i="82"/>
  <c r="P37" i="82"/>
  <c r="O36" i="43"/>
  <c r="N36" i="43"/>
  <c r="M36" i="43"/>
  <c r="Q36" i="43"/>
  <c r="C18" i="81"/>
  <c r="E16" i="81" s="1"/>
  <c r="D14" i="71"/>
  <c r="C13" i="71"/>
  <c r="G54" i="34"/>
  <c r="H54" i="34" s="1"/>
  <c r="P37" i="43"/>
  <c r="F69" i="15"/>
  <c r="S11" i="1"/>
  <c r="E11" i="70" s="1"/>
  <c r="S9" i="1"/>
  <c r="S10" i="1"/>
  <c r="E10" i="70" s="1"/>
  <c r="S12" i="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34" i="9"/>
  <c r="C66" i="67"/>
  <c r="C60" i="67"/>
  <c r="C34" i="69"/>
  <c r="N37" i="43" l="1"/>
  <c r="Q37" i="43"/>
  <c r="O37" i="43"/>
  <c r="C12" i="71"/>
  <c r="D13" i="71"/>
  <c r="C38" i="69"/>
  <c r="C35" i="69"/>
  <c r="E12" i="70"/>
  <c r="F34" i="11"/>
  <c r="F11" i="12"/>
  <c r="E9" i="70"/>
  <c r="AR9" i="1"/>
  <c r="AQ9" i="1"/>
  <c r="T9" i="1"/>
  <c r="AQ11" i="1"/>
  <c r="AR11" i="1"/>
  <c r="T11" i="1"/>
  <c r="AR12" i="1"/>
  <c r="T12" i="1"/>
  <c r="AQ12" i="1"/>
  <c r="AQ10" i="1"/>
  <c r="T10" i="1"/>
  <c r="AR10" i="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1" i="71" l="1"/>
  <c r="T12" i="71"/>
  <c r="D12" i="71"/>
  <c r="U12" i="71" s="1"/>
  <c r="C36" i="11"/>
  <c r="C34" i="11"/>
  <c r="C23" i="12"/>
  <c r="C19" i="68"/>
  <c r="E2" i="76"/>
  <c r="B2" i="76"/>
  <c r="I69" i="39"/>
  <c r="J67" i="39"/>
  <c r="I63" i="40"/>
  <c r="H65" i="40"/>
  <c r="I58" i="21"/>
  <c r="J58" i="21" s="1"/>
  <c r="K58" i="21" s="1"/>
  <c r="L58" i="21" s="1"/>
  <c r="M58" i="21" s="1"/>
  <c r="N58" i="21" s="1"/>
  <c r="O58" i="21" s="1"/>
  <c r="H7" i="21" s="1"/>
  <c r="F7" i="21"/>
  <c r="J48" i="35"/>
  <c r="J7" i="21" l="1"/>
  <c r="C10" i="71"/>
  <c r="D11" i="71"/>
  <c r="C38" i="11"/>
  <c r="C35" i="11"/>
  <c r="C24" i="68"/>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C61" i="67"/>
  <c r="L67" i="39"/>
  <c r="K69" i="39"/>
  <c r="W7" i="35"/>
  <c r="AC7" i="35"/>
  <c r="V38" i="35" s="1"/>
  <c r="I38" i="35" s="1"/>
  <c r="J65" i="40"/>
  <c r="K63" i="40"/>
  <c r="I52" i="21"/>
  <c r="J52" i="21" s="1"/>
  <c r="U7" i="35"/>
  <c r="AB7" i="35"/>
  <c r="T38" i="35" s="1"/>
  <c r="G38" i="35" s="1"/>
  <c r="R49" i="21"/>
  <c r="E48" i="21"/>
  <c r="G52" i="21"/>
  <c r="H52" i="21" s="1"/>
  <c r="G53" i="21"/>
  <c r="H53" i="21" s="1"/>
  <c r="F7" i="35"/>
  <c r="C8" i="71" l="1"/>
  <c r="D9" i="71"/>
  <c r="J19" i="15"/>
  <c r="L69" i="39"/>
  <c r="M67" i="39"/>
  <c r="S7" i="35"/>
  <c r="AA7" i="35"/>
  <c r="R38" i="35" s="1"/>
  <c r="C49" i="21"/>
  <c r="C48" i="21"/>
  <c r="E52" i="21"/>
  <c r="F52" i="21" s="1"/>
  <c r="E53" i="21"/>
  <c r="F53" i="21" s="1"/>
  <c r="G42" i="35"/>
  <c r="H42" i="35" s="1"/>
  <c r="G43" i="35"/>
  <c r="H43" i="35" s="1"/>
  <c r="I53" i="21"/>
  <c r="J53" i="21" s="1"/>
  <c r="K65" i="40"/>
  <c r="L63" i="40"/>
  <c r="I42" i="35"/>
  <c r="J42" i="35" s="1"/>
  <c r="C7" i="71" l="1"/>
  <c r="D8" i="71"/>
  <c r="C61"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D6" i="71" l="1"/>
  <c r="C5" i="71"/>
  <c r="D5" i="71" s="1"/>
  <c r="M24" i="43" s="1"/>
  <c r="B2" i="33"/>
  <c r="H7" i="39"/>
  <c r="J7" i="39"/>
  <c r="S7" i="39"/>
  <c r="AA7" i="39"/>
  <c r="R47" i="39" s="1"/>
  <c r="O63" i="40"/>
  <c r="O65" i="40" s="1"/>
  <c r="N65" i="40"/>
  <c r="D2" i="36"/>
  <c r="D2" i="35"/>
  <c r="D2" i="37"/>
  <c r="D2" i="34"/>
  <c r="L57" i="15" l="1"/>
  <c r="L60" i="15" s="1"/>
  <c r="Q57" i="15" s="1"/>
  <c r="B2" i="36"/>
  <c r="B3" i="36" s="1"/>
  <c r="B2" i="35"/>
  <c r="B3" i="35" s="1"/>
  <c r="M3" i="35"/>
  <c r="B2" i="37"/>
  <c r="B2" i="34"/>
  <c r="W7" i="39"/>
  <c r="AC7" i="39"/>
  <c r="V47" i="39" s="1"/>
  <c r="I47" i="39" s="1"/>
  <c r="E47" i="39"/>
  <c r="R48" i="39"/>
  <c r="U7" i="39"/>
  <c r="AB7" i="39"/>
  <c r="T47" i="39" s="1"/>
  <c r="G47" i="39" s="1"/>
  <c r="J7" i="40"/>
  <c r="F7" i="40"/>
  <c r="H7" i="40"/>
  <c r="AO12" i="1"/>
  <c r="AO10" i="1"/>
  <c r="AO9" i="1"/>
  <c r="AO8" i="1"/>
  <c r="AO7" i="1"/>
  <c r="AO11" i="1"/>
  <c r="Q66" i="15" l="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R8" i="1"/>
  <c r="S8" i="1"/>
  <c r="J26" i="67"/>
  <c r="J29" i="67" s="1"/>
  <c r="C14" i="67"/>
  <c r="F35" i="67"/>
  <c r="C17" i="67"/>
  <c r="C15" i="67" l="1"/>
  <c r="C18" i="67"/>
  <c r="C34" i="67"/>
  <c r="C31" i="67" s="1"/>
  <c r="F63" i="67"/>
  <c r="C62" i="67" s="1"/>
  <c r="C59" i="67" s="1"/>
  <c r="J26" i="15"/>
  <c r="J29" i="15" s="1"/>
  <c r="G3" i="43"/>
  <c r="E26" i="43" s="1"/>
  <c r="F26" i="43"/>
  <c r="M21" i="67"/>
  <c r="G26" i="43" l="1"/>
  <c r="D26" i="43" s="1"/>
  <c r="C25" i="43" s="1"/>
  <c r="C33" i="43" s="1"/>
  <c r="C34" i="43" s="1"/>
  <c r="C19" i="67"/>
  <c r="C20" i="67" s="1"/>
  <c r="C26" i="67" s="1"/>
  <c r="J20" i="67"/>
  <c r="J17" i="67" s="1"/>
  <c r="R9" i="1"/>
  <c r="R10" i="1"/>
  <c r="R11" i="1"/>
  <c r="E7" i="70"/>
  <c r="B116" i="43"/>
  <c r="B118" i="43" s="1"/>
  <c r="R12" i="1"/>
  <c r="B2" i="74"/>
  <c r="T8" i="1"/>
  <c r="AR8" i="1"/>
  <c r="AQ8" i="1"/>
  <c r="E8" i="70"/>
  <c r="B1" i="74"/>
  <c r="B122" i="43"/>
  <c r="C122" i="43" s="1"/>
  <c r="D118" i="43"/>
  <c r="E118" i="43" s="1"/>
  <c r="F118" i="43" s="1"/>
  <c r="G118" i="43" s="1"/>
  <c r="H118" i="43" s="1"/>
  <c r="B120" i="43"/>
  <c r="C120" i="43" s="1"/>
  <c r="I120" i="43"/>
  <c r="J120" i="43" s="1"/>
  <c r="K120" i="43" s="1"/>
  <c r="L120" i="43" s="1"/>
  <c r="M120" i="43" s="1"/>
  <c r="D122" i="43"/>
  <c r="E122" i="43" s="1"/>
  <c r="F122" i="43" s="1"/>
  <c r="G122" i="43" s="1"/>
  <c r="H122" i="43" s="1"/>
  <c r="I119" i="43"/>
  <c r="J119" i="43" s="1"/>
  <c r="K119" i="43" s="1"/>
  <c r="L119" i="43" s="1"/>
  <c r="M119" i="43" s="1"/>
  <c r="G121" i="43"/>
  <c r="H121" i="43" s="1"/>
  <c r="D119" i="43"/>
  <c r="E119" i="43" s="1"/>
  <c r="F119" i="43" s="1"/>
  <c r="G119" i="43" s="1"/>
  <c r="H119" i="43" s="1"/>
  <c r="Z7" i="43"/>
  <c r="J26" i="43"/>
  <c r="N94" i="46"/>
  <c r="N370" i="46"/>
  <c r="H26" i="43"/>
  <c r="D7" i="74" l="1"/>
  <c r="D8" i="74"/>
  <c r="D6" i="74"/>
  <c r="D116" i="43"/>
  <c r="C118" i="43"/>
  <c r="I122" i="43"/>
  <c r="J122" i="43" s="1"/>
  <c r="K122" i="43" s="1"/>
  <c r="L122" i="43" s="1"/>
  <c r="M122" i="43" s="1"/>
  <c r="D120" i="43"/>
  <c r="E120" i="43" s="1"/>
  <c r="F120" i="43" s="1"/>
  <c r="G120" i="43" s="1"/>
  <c r="H120" i="43" s="1"/>
  <c r="D121" i="43"/>
  <c r="E121" i="43" s="1"/>
  <c r="F121" i="43" s="1"/>
  <c r="I121" i="43"/>
  <c r="J121" i="43" s="1"/>
  <c r="K121" i="43" s="1"/>
  <c r="L121" i="43" s="1"/>
  <c r="M121" i="43" s="1"/>
  <c r="B119" i="43"/>
  <c r="C119" i="43" s="1"/>
  <c r="I118" i="43"/>
  <c r="J118" i="43" s="1"/>
  <c r="K118" i="43" s="1"/>
  <c r="L118" i="43" s="1"/>
  <c r="M118" i="43" s="1"/>
  <c r="B121" i="43"/>
  <c r="C121" i="43" s="1"/>
  <c r="C23" i="67"/>
  <c r="C29" i="67" s="1"/>
  <c r="Q49" i="67" s="1"/>
  <c r="C13" i="67" l="1"/>
  <c r="C56" i="67" s="1"/>
  <c r="C65" i="67" s="1"/>
  <c r="C57" i="67"/>
  <c r="C64" i="67" s="1"/>
  <c r="C36" i="67"/>
  <c r="J59" i="67"/>
  <c r="J60" i="67" s="1"/>
  <c r="L46" i="67" s="1"/>
  <c r="J14" i="67"/>
  <c r="J22" i="67" s="1"/>
  <c r="C75" i="67" l="1"/>
  <c r="C37" i="67"/>
  <c r="C30" i="67" s="1"/>
  <c r="C39" i="67" s="1"/>
  <c r="C58" i="67"/>
  <c r="C67" i="67" s="1"/>
  <c r="C68" i="67" s="1"/>
  <c r="C71" i="67" s="1"/>
  <c r="Q70" i="67"/>
  <c r="J13" i="67"/>
  <c r="J23" i="67" s="1"/>
  <c r="J16" i="67" s="1"/>
  <c r="J25" i="67" s="1"/>
  <c r="Q48" i="67"/>
  <c r="L51" i="67"/>
  <c r="L57" i="67" l="1"/>
  <c r="L60" i="67" s="1"/>
  <c r="Q66" i="67" s="1"/>
  <c r="Q67" i="67"/>
  <c r="C80" i="67"/>
  <c r="C79" i="67" s="1"/>
  <c r="Q69" i="67"/>
  <c r="Q68" i="67" s="1"/>
  <c r="C40" i="67"/>
  <c r="C45" i="67" s="1"/>
  <c r="C46" i="67" s="1"/>
  <c r="Q57" i="67" l="1"/>
  <c r="Q47" i="67"/>
  <c r="Q53" i="67" s="1"/>
  <c r="C83" i="67"/>
  <c r="C82" i="67" s="1"/>
  <c r="C43" i="67"/>
  <c r="Q56" i="67"/>
  <c r="Q62" i="67" s="1"/>
  <c r="D2" i="67"/>
  <c r="B3" i="67" s="1"/>
  <c r="Q65" i="67"/>
  <c r="Q75" i="67" s="1"/>
  <c r="K5" i="3"/>
  <c r="I4" i="6"/>
  <c r="BC13" i="3"/>
  <c r="BA13" i="3" s="1"/>
  <c r="H13" i="3"/>
  <c r="H5" i="3" s="1"/>
  <c r="B2" i="67" l="1"/>
  <c r="G13" i="3"/>
  <c r="AZ13" i="3"/>
  <c r="AZ5" i="3" s="1"/>
  <c r="BA5" i="3"/>
  <c r="BC5" i="3"/>
  <c r="E14" i="6" l="1"/>
  <c r="E15" i="6"/>
  <c r="E11" i="6"/>
  <c r="E13" i="6"/>
  <c r="E12" i="6"/>
  <c r="E8" i="6"/>
  <c r="E10" i="6"/>
  <c r="E3" i="6"/>
  <c r="G5" i="3"/>
  <c r="B3" i="3" s="1"/>
  <c r="D3" i="37" l="1"/>
  <c r="B3" i="37" s="1"/>
  <c r="D3" i="34"/>
  <c r="B3" i="34" s="1"/>
  <c r="D3" i="21"/>
  <c r="B3" i="21" s="1"/>
  <c r="D3" i="33"/>
  <c r="B3" i="33" s="1"/>
  <c r="D37" i="11"/>
  <c r="C37" i="11" s="1"/>
  <c r="C33" i="11" s="1"/>
  <c r="E6" i="6"/>
  <c r="D19" i="11"/>
  <c r="C19" i="11" s="1"/>
  <c r="D14" i="12"/>
  <c r="C17" i="4"/>
  <c r="B4" i="52" s="1"/>
  <c r="B43" i="72" s="1"/>
  <c r="M18" i="9"/>
  <c r="B118" i="9" s="1"/>
  <c r="L18" i="9"/>
  <c r="E51" i="40"/>
  <c r="F51" i="40" s="1"/>
  <c r="F27" i="6"/>
  <c r="E56" i="39"/>
  <c r="E16" i="6"/>
  <c r="E58" i="40"/>
  <c r="F58" i="40" s="1"/>
  <c r="E62" i="39"/>
  <c r="F62" i="39" s="1"/>
  <c r="E60" i="40"/>
  <c r="F60" i="40" s="1"/>
  <c r="E64" i="39"/>
  <c r="F64" i="39" s="1"/>
  <c r="D33" i="82"/>
  <c r="AD6" i="3"/>
  <c r="D33" i="43"/>
  <c r="E461" i="3"/>
  <c r="E157" i="3"/>
  <c r="E529" i="3"/>
  <c r="W6" i="3"/>
  <c r="E54" i="3"/>
  <c r="E357" i="3"/>
  <c r="E196" i="3"/>
  <c r="U6" i="3"/>
  <c r="E367" i="3"/>
  <c r="E71" i="3"/>
  <c r="E291" i="3"/>
  <c r="E53" i="3"/>
  <c r="E426" i="3"/>
  <c r="E359" i="3"/>
  <c r="S6" i="3"/>
  <c r="E338" i="3"/>
  <c r="E237" i="3"/>
  <c r="E17" i="3"/>
  <c r="E159" i="3"/>
  <c r="E122" i="3"/>
  <c r="E306" i="3"/>
  <c r="E532" i="3"/>
  <c r="E288" i="3"/>
  <c r="E475" i="3"/>
  <c r="E257" i="3"/>
  <c r="E397" i="3"/>
  <c r="E379" i="3"/>
  <c r="E432" i="3"/>
  <c r="E546" i="3"/>
  <c r="E272" i="3"/>
  <c r="E29" i="3"/>
  <c r="E153" i="3"/>
  <c r="E574" i="3"/>
  <c r="E390" i="3"/>
  <c r="E418" i="3"/>
  <c r="E169" i="3"/>
  <c r="E213" i="3"/>
  <c r="E254" i="3"/>
  <c r="AN6" i="3"/>
  <c r="E280" i="3"/>
  <c r="E22" i="3"/>
  <c r="E158" i="3"/>
  <c r="AF6" i="3"/>
  <c r="E206" i="3"/>
  <c r="E35" i="3"/>
  <c r="E324" i="3"/>
  <c r="E174" i="3"/>
  <c r="E96" i="3"/>
  <c r="E428" i="3"/>
  <c r="AL6" i="3"/>
  <c r="E101" i="3"/>
  <c r="E218" i="3"/>
  <c r="E50" i="3"/>
  <c r="E147" i="3"/>
  <c r="E52" i="3"/>
  <c r="E219" i="3"/>
  <c r="E455" i="3"/>
  <c r="E333" i="3"/>
  <c r="E323"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521" i="3"/>
  <c r="E326" i="3"/>
  <c r="E113" i="3"/>
  <c r="E370" i="3"/>
  <c r="E49" i="3"/>
  <c r="E522" i="3"/>
  <c r="E235" i="3"/>
  <c r="E190" i="3"/>
  <c r="E18" i="3"/>
  <c r="E75" i="3"/>
  <c r="E356" i="3"/>
  <c r="E524" i="3"/>
  <c r="E176" i="3"/>
  <c r="E364" i="3"/>
  <c r="E123" i="3"/>
  <c r="AQ6" i="3"/>
  <c r="E194" i="3"/>
  <c r="E473" i="3"/>
  <c r="E276" i="3"/>
  <c r="E325" i="3"/>
  <c r="E234" i="3"/>
  <c r="E100" i="3"/>
  <c r="E15" i="3"/>
  <c r="E60" i="3"/>
  <c r="E346" i="3"/>
  <c r="E513" i="3"/>
  <c r="E283" i="3"/>
  <c r="E118" i="3"/>
  <c r="E63" i="3"/>
  <c r="E381" i="3"/>
  <c r="E233" i="3"/>
  <c r="E144" i="3"/>
  <c r="E67" i="3"/>
  <c r="E23" i="3"/>
  <c r="E310" i="3"/>
  <c r="E300" i="3"/>
  <c r="E267" i="3"/>
  <c r="E142" i="3"/>
  <c r="E103" i="3"/>
  <c r="E64" i="3"/>
  <c r="E425" i="3"/>
  <c r="E76" i="3"/>
  <c r="E363" i="3"/>
  <c r="E192" i="3"/>
  <c r="E37" i="3"/>
  <c r="E491" i="3"/>
  <c r="AP6" i="3"/>
  <c r="E430" i="3"/>
  <c r="E502" i="3"/>
  <c r="E286" i="3"/>
  <c r="E536" i="3"/>
  <c r="E202" i="3"/>
  <c r="E25" i="3"/>
  <c r="E483" i="3"/>
  <c r="AH6" i="3"/>
  <c r="E422" i="3"/>
  <c r="E543" i="3"/>
  <c r="E105" i="3"/>
  <c r="E16" i="3"/>
  <c r="E228" i="3"/>
  <c r="E587" i="3"/>
  <c r="E222" i="3"/>
  <c r="E154" i="3"/>
  <c r="E51" i="3"/>
  <c r="E341" i="3"/>
  <c r="E250" i="3"/>
  <c r="E87" i="3"/>
  <c r="E24" i="3"/>
  <c r="E584" i="3"/>
  <c r="E386" i="3"/>
  <c r="E266" i="3"/>
  <c r="E248" i="3"/>
  <c r="E195" i="3"/>
  <c r="E65" i="3"/>
  <c r="E47" i="3"/>
  <c r="E484" i="3"/>
  <c r="E544" i="3"/>
  <c r="E292" i="3"/>
  <c r="E132" i="3"/>
  <c r="E56" i="3"/>
  <c r="E435" i="3"/>
  <c r="I3" i="6"/>
  <c r="K6" i="3"/>
  <c r="E352" i="3"/>
  <c r="E313" i="3"/>
  <c r="E438" i="3"/>
  <c r="E471" i="3"/>
  <c r="E208" i="3"/>
  <c r="E93" i="3"/>
  <c r="E145" i="3"/>
  <c r="E548" i="3"/>
  <c r="E403" i="3"/>
  <c r="E126" i="3"/>
  <c r="AM6" i="3"/>
  <c r="E501" i="3"/>
  <c r="O6" i="3"/>
  <c r="E97" i="3"/>
  <c r="E506" i="3"/>
  <c r="E298" i="3"/>
  <c r="E565" i="3"/>
  <c r="E221" i="3"/>
  <c r="E402" i="3"/>
  <c r="E136" i="3"/>
  <c r="E224" i="3"/>
  <c r="E474" i="3"/>
  <c r="E537" i="3"/>
  <c r="E168" i="3"/>
  <c r="E14" i="3"/>
  <c r="E207" i="3"/>
  <c r="E411" i="3"/>
  <c r="E547" i="3"/>
  <c r="E92" i="3"/>
  <c r="E317" i="3"/>
  <c r="E319" i="3"/>
  <c r="E328" i="3"/>
  <c r="E285" i="3"/>
  <c r="E523" i="3"/>
  <c r="E321" i="3"/>
  <c r="E304" i="3"/>
  <c r="E302" i="3"/>
  <c r="E303" i="3"/>
  <c r="E353" i="3"/>
  <c r="AA6" i="3"/>
  <c r="E308" i="3"/>
  <c r="E80" i="3"/>
  <c r="E251" i="3"/>
  <c r="E34" i="3"/>
  <c r="E342" i="3"/>
  <c r="E275" i="3"/>
  <c r="E129" i="3"/>
  <c r="E412" i="3"/>
  <c r="E94" i="3"/>
  <c r="E391" i="3"/>
  <c r="E365" i="3"/>
  <c r="E62" i="3"/>
  <c r="E340" i="3"/>
  <c r="E112" i="3"/>
  <c r="E392" i="3"/>
  <c r="E170" i="3"/>
  <c r="E43" i="3"/>
  <c r="E82"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83" i="3"/>
  <c r="E287" i="3"/>
  <c r="E102" i="3"/>
  <c r="E232" i="3"/>
  <c r="E86" i="3"/>
  <c r="E383" i="3"/>
  <c r="E220" i="3"/>
  <c r="E78" i="3"/>
  <c r="E482" i="3"/>
  <c r="E42" i="3"/>
  <c r="E332" i="3"/>
  <c r="E265" i="3"/>
  <c r="E20" i="3"/>
  <c r="E289" i="3"/>
  <c r="E36" i="3"/>
  <c r="E339" i="3"/>
  <c r="E38" i="3"/>
  <c r="L6" i="3"/>
  <c r="E373" i="3"/>
  <c r="E299" i="3"/>
  <c r="E137" i="3"/>
  <c r="E79" i="3"/>
  <c r="E540" i="3"/>
  <c r="E372" i="3"/>
  <c r="E21" i="3"/>
  <c r="E309" i="3"/>
  <c r="E264" i="3"/>
  <c r="E81" i="3"/>
  <c r="E68" i="3"/>
  <c r="E355" i="3"/>
  <c r="E184" i="3"/>
  <c r="E33" i="3"/>
  <c r="E84" i="3"/>
  <c r="E492" i="3"/>
  <c r="E371" i="3"/>
  <c r="E249" i="3"/>
  <c r="E200" i="3"/>
  <c r="E160" i="3"/>
  <c r="E46" i="3"/>
  <c r="E467" i="3"/>
  <c r="E409" i="3"/>
  <c r="E389" i="3"/>
  <c r="E241" i="3"/>
  <c r="E152" i="3"/>
  <c r="E479" i="3"/>
  <c r="E517" i="3"/>
  <c r="E255" i="3"/>
  <c r="E466" i="3"/>
  <c r="E499" i="3"/>
  <c r="E226" i="3"/>
  <c r="E463" i="3"/>
  <c r="E490" i="3"/>
  <c r="E493" i="3"/>
  <c r="E568" i="3"/>
  <c r="E106" i="3"/>
  <c r="E19" i="3"/>
  <c r="E284" i="3"/>
  <c r="E48" i="3"/>
  <c r="E354" i="3"/>
  <c r="E209" i="3"/>
  <c r="E138" i="3"/>
  <c r="E446" i="3"/>
  <c r="E349" i="3"/>
  <c r="E95" i="3"/>
  <c r="E554" i="3"/>
  <c r="E541" i="3"/>
  <c r="R6" i="3"/>
  <c r="E199" i="3"/>
  <c r="E539" i="3"/>
  <c r="E119" i="3"/>
  <c r="E40" i="3"/>
  <c r="E419" i="3"/>
  <c r="E376" i="3"/>
  <c r="E507" i="3"/>
  <c r="E564" i="3"/>
  <c r="E116" i="3"/>
  <c r="E329" i="3"/>
  <c r="E133" i="3"/>
  <c r="E468" i="3"/>
  <c r="E462" i="3"/>
  <c r="E110" i="3"/>
  <c r="E504" i="3"/>
  <c r="E378" i="3"/>
  <c r="E259" i="3"/>
  <c r="E240" i="3"/>
  <c r="E187" i="3"/>
  <c r="E57" i="3"/>
  <c r="E39" i="3"/>
  <c r="E520" i="3"/>
  <c r="E413" i="3"/>
  <c r="E500" i="3"/>
  <c r="E374" i="3"/>
  <c r="E416" i="3"/>
  <c r="E487" i="3"/>
  <c r="E421" i="3"/>
  <c r="E542" i="3"/>
  <c r="E141" i="3"/>
  <c r="E149" i="3"/>
  <c r="E165" i="3"/>
  <c r="E281" i="3"/>
  <c r="E139" i="3"/>
  <c r="E115" i="3"/>
  <c r="E104" i="3"/>
  <c r="E420" i="3"/>
  <c r="E452" i="3"/>
  <c r="E497" i="3"/>
  <c r="E360" i="3"/>
  <c r="E408" i="3"/>
  <c r="E469" i="3"/>
  <c r="E405" i="3"/>
  <c r="E534" i="3"/>
  <c r="E369" i="3"/>
  <c r="E197" i="3"/>
  <c r="E296" i="3"/>
  <c r="E510" i="3"/>
  <c r="AK6" i="3"/>
  <c r="E472" i="3"/>
  <c r="E577" i="3"/>
  <c r="E146" i="3"/>
  <c r="E336" i="3"/>
  <c r="E518" i="3"/>
  <c r="E382" i="3"/>
  <c r="E61" i="3"/>
  <c r="E117" i="3"/>
  <c r="E260" i="3"/>
  <c r="E415" i="3"/>
  <c r="E130" i="3"/>
  <c r="E294" i="3"/>
  <c r="E407" i="3"/>
  <c r="E551" i="3"/>
  <c r="E358" i="3"/>
  <c r="E229" i="3"/>
  <c r="E569" i="3"/>
  <c r="E239" i="3"/>
  <c r="E282" i="3"/>
  <c r="E366" i="3"/>
  <c r="E480" i="3"/>
  <c r="E334" i="3"/>
  <c r="E295" i="3"/>
  <c r="E121" i="3"/>
  <c r="E404" i="3"/>
  <c r="E581" i="3"/>
  <c r="E443" i="3"/>
  <c r="E448" i="3"/>
  <c r="E576" i="3"/>
  <c r="E252" i="3"/>
  <c r="E32" i="3"/>
  <c r="E394" i="3"/>
  <c r="E256" i="3"/>
  <c r="E496" i="3"/>
  <c r="E424" i="3"/>
  <c r="E330" i="3"/>
  <c r="E128" i="3"/>
  <c r="X6" i="3"/>
  <c r="E385" i="3"/>
  <c r="E423" i="3"/>
  <c r="E191" i="3"/>
  <c r="E161" i="3"/>
  <c r="E445" i="3"/>
  <c r="E563" i="3"/>
  <c r="E69" i="3"/>
  <c r="E215" i="3"/>
  <c r="E387" i="3"/>
  <c r="M6" i="3"/>
  <c r="E514" i="3"/>
  <c r="E201" i="3"/>
  <c r="E431" i="3"/>
  <c r="E509" i="3"/>
  <c r="E322" i="3"/>
  <c r="E526" i="3"/>
  <c r="E109" i="3"/>
  <c r="E377" i="3"/>
  <c r="E211" i="3"/>
  <c r="E70" i="3"/>
  <c r="E489" i="3"/>
  <c r="E557" i="3"/>
  <c r="E400" i="3"/>
  <c r="AO6" i="3"/>
  <c r="E327" i="3"/>
  <c r="E89" i="3"/>
  <c r="E227" i="3"/>
  <c r="E362" i="3"/>
  <c r="E214" i="3"/>
  <c r="E55" i="3"/>
  <c r="E344" i="3"/>
  <c r="Q6" i="3"/>
  <c r="E262" i="3"/>
  <c r="E156" i="3"/>
  <c r="E77" i="3"/>
  <c r="E212" i="3"/>
  <c r="E178" i="3"/>
  <c r="E498" i="3"/>
  <c r="E486" i="3"/>
  <c r="E223" i="3"/>
  <c r="E560" i="3"/>
  <c r="E179" i="3"/>
  <c r="Y6" i="3"/>
  <c r="E127" i="3"/>
  <c r="E66" i="3"/>
  <c r="E307" i="3"/>
  <c r="E163" i="3"/>
  <c r="E98" i="3"/>
  <c r="E59" i="3"/>
  <c r="E258" i="3"/>
  <c r="E417" i="3"/>
  <c r="E449" i="3"/>
  <c r="E442" i="3"/>
  <c r="E575" i="3"/>
  <c r="E148" i="3"/>
  <c r="E242" i="3"/>
  <c r="E108" i="3"/>
  <c r="E401" i="3"/>
  <c r="J6" i="3"/>
  <c r="E440" i="3"/>
  <c r="E427" i="3"/>
  <c r="E393" i="3"/>
  <c r="E188" i="3"/>
  <c r="E545" i="3"/>
  <c r="E406" i="3"/>
  <c r="E171" i="3"/>
  <c r="E488" i="3"/>
  <c r="E58" i="3"/>
  <c r="E375" i="3"/>
  <c r="E348" i="3"/>
  <c r="E297" i="3"/>
  <c r="E155" i="3"/>
  <c r="E131" i="3"/>
  <c r="E90" i="3"/>
  <c r="E436" i="3"/>
  <c r="E460" i="3"/>
  <c r="E582" i="3"/>
  <c r="E566" i="3"/>
  <c r="E459" i="3"/>
  <c r="E398" i="3"/>
  <c r="E464" i="3"/>
  <c r="E552" i="3"/>
  <c r="E312" i="3"/>
  <c r="E167" i="3"/>
  <c r="E244" i="3"/>
  <c r="E243" i="3"/>
  <c r="E225" i="3"/>
  <c r="E198" i="3"/>
  <c r="E41" i="3"/>
  <c r="E26" i="3"/>
  <c r="E470" i="3"/>
  <c r="E494" i="3"/>
  <c r="E556" i="3"/>
  <c r="E451" i="3"/>
  <c r="E512" i="3"/>
  <c r="E456" i="3"/>
  <c r="T6" i="3"/>
  <c r="E525" i="3"/>
  <c r="E173" i="3"/>
  <c r="E140" i="3"/>
  <c r="E205" i="3"/>
  <c r="E181" i="3"/>
  <c r="E277" i="3"/>
  <c r="E465" i="3"/>
  <c r="E454" i="3"/>
  <c r="E583" i="3"/>
  <c r="E293" i="3"/>
  <c r="E578" i="3"/>
  <c r="E245" i="3"/>
  <c r="E290" i="3"/>
  <c r="E550" i="3"/>
  <c r="E395" i="3"/>
  <c r="E114" i="3"/>
  <c r="E230" i="3"/>
  <c r="E320" i="3"/>
  <c r="V6" i="3"/>
  <c r="E559" i="3"/>
  <c r="E151" i="3"/>
  <c r="E396" i="3"/>
  <c r="E516" i="3"/>
  <c r="N6" i="3"/>
  <c r="E553" i="3"/>
  <c r="E125" i="3"/>
  <c r="E30" i="3"/>
  <c r="E316" i="3"/>
  <c r="E166" i="3"/>
  <c r="E88" i="3"/>
  <c r="E444" i="3"/>
  <c r="E558" i="3"/>
  <c r="P6" i="3"/>
  <c r="AG6" i="3"/>
  <c r="E164" i="3"/>
  <c r="E236" i="3"/>
  <c r="E580" i="3"/>
  <c r="E274" i="3"/>
  <c r="E73" i="3"/>
  <c r="AE6" i="3"/>
  <c r="E437" i="3"/>
  <c r="E120" i="3"/>
  <c r="E238" i="3"/>
  <c r="E246" i="3"/>
  <c r="AI6" i="3"/>
  <c r="E263" i="3"/>
  <c r="E135" i="3"/>
  <c r="E535" i="3"/>
  <c r="E172" i="3"/>
  <c r="E278" i="3"/>
  <c r="E189" i="3"/>
  <c r="E335" i="3"/>
  <c r="AB6" i="3"/>
  <c r="E570" i="3"/>
  <c r="E311" i="3"/>
  <c r="E247" i="3"/>
  <c r="E579" i="3"/>
  <c r="AJ6" i="3"/>
  <c r="E268" i="3"/>
  <c r="E217" i="3"/>
  <c r="E572" i="3"/>
  <c r="E273" i="3"/>
  <c r="E182" i="3"/>
  <c r="E28" i="3"/>
  <c r="E531" i="3"/>
  <c r="E345" i="3"/>
  <c r="E485" i="3"/>
  <c r="Z6" i="3"/>
  <c r="E204" i="3"/>
  <c r="E368" i="3"/>
  <c r="E74" i="3"/>
  <c r="E315" i="3"/>
  <c r="E203" i="3"/>
  <c r="E429" i="3"/>
  <c r="E481" i="3"/>
  <c r="E177" i="3"/>
  <c r="E434" i="3"/>
  <c r="AY6" i="3"/>
  <c r="E57" i="40"/>
  <c r="F57" i="40" s="1"/>
  <c r="E61" i="39"/>
  <c r="F61" i="39" s="1"/>
  <c r="E56" i="40"/>
  <c r="F56" i="40" s="1"/>
  <c r="E60" i="39"/>
  <c r="F60" i="39" s="1"/>
  <c r="E59" i="40"/>
  <c r="F59" i="40" s="1"/>
  <c r="E63" i="39"/>
  <c r="F63" i="39" s="1"/>
  <c r="F31" i="6" l="1"/>
  <c r="E27" i="6"/>
  <c r="C8" i="81"/>
  <c r="C11" i="81"/>
  <c r="H6" i="3"/>
  <c r="C24" i="11"/>
  <c r="C20" i="11"/>
  <c r="C25" i="11" s="1"/>
  <c r="C42" i="11"/>
  <c r="C39" i="11"/>
  <c r="C43" i="11" s="1"/>
  <c r="D3" i="6"/>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521" i="3"/>
  <c r="AY143" i="3"/>
  <c r="AY265" i="3"/>
  <c r="AY402" i="3"/>
  <c r="AY64" i="3"/>
  <c r="AY22" i="3"/>
  <c r="AY140" i="3"/>
  <c r="AY461" i="3"/>
  <c r="AY504" i="3"/>
  <c r="AY213" i="3"/>
  <c r="AY86" i="3"/>
  <c r="AY331" i="3"/>
  <c r="AY35" i="3"/>
  <c r="AY579" i="3"/>
  <c r="AY313" i="3"/>
  <c r="AY189" i="3"/>
  <c r="AY536" i="3"/>
  <c r="AY275" i="3"/>
  <c r="AY286" i="3"/>
  <c r="AY573" i="3"/>
  <c r="AY350" i="3"/>
  <c r="AY508" i="3"/>
  <c r="AY356" i="3"/>
  <c r="AY222" i="3"/>
  <c r="AY89" i="3"/>
  <c r="AY425" i="3"/>
  <c r="AY495" i="3"/>
  <c r="AY462" i="3"/>
  <c r="AY242" i="3"/>
  <c r="AY109" i="3"/>
  <c r="AY247" i="3"/>
  <c r="AY190" i="3"/>
  <c r="AY533" i="3"/>
  <c r="AY372" i="3"/>
  <c r="AY473" i="3"/>
  <c r="AY50" i="3"/>
  <c r="AY276"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443" i="3"/>
  <c r="AY500" i="3"/>
  <c r="BP6" i="3"/>
  <c r="AY361" i="3"/>
  <c r="AY339" i="3"/>
  <c r="AY482" i="3"/>
  <c r="AY537" i="3"/>
  <c r="AY235" i="3"/>
  <c r="AY459" i="3"/>
  <c r="AY159" i="3"/>
  <c r="AY405" i="3"/>
  <c r="AY280" i="3"/>
  <c r="AY531" i="3"/>
  <c r="AY453" i="3"/>
  <c r="AY266" i="3"/>
  <c r="AY519" i="3"/>
  <c r="AY480" i="3"/>
  <c r="AY507" i="3"/>
  <c r="AY20" i="3"/>
  <c r="AY212" i="3"/>
  <c r="AY49" i="3"/>
  <c r="AY435" i="3"/>
  <c r="AY40" i="3"/>
  <c r="AY146" i="3"/>
  <c r="AY481" i="3"/>
  <c r="AY90" i="3"/>
  <c r="BQ6" i="3"/>
  <c r="AY348" i="3"/>
  <c r="AY166" i="3"/>
  <c r="AY397" i="3"/>
  <c r="AY133" i="3"/>
  <c r="AY61" i="3"/>
  <c r="AY420" i="3"/>
  <c r="AY26" i="3"/>
  <c r="AY261" i="3"/>
  <c r="AY225"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270" i="3"/>
  <c r="AY193" i="3"/>
  <c r="AY539" i="3"/>
  <c r="AY343" i="3"/>
  <c r="AY455" i="3"/>
  <c r="AY191" i="3"/>
  <c r="AY556" i="3"/>
  <c r="AY525" i="3"/>
  <c r="AY340" i="3"/>
  <c r="AY150" i="3"/>
  <c r="AY389"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59" i="3"/>
  <c r="AY155" i="3"/>
  <c r="AY23" i="3"/>
  <c r="AY83"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188" i="3"/>
  <c r="AY115" i="3"/>
  <c r="AY176"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196" i="3"/>
  <c r="AY303" i="3"/>
  <c r="AY382" i="3"/>
  <c r="AY253" i="3"/>
  <c r="AY111" i="3"/>
  <c r="AY152" i="3"/>
  <c r="AY95" i="3"/>
  <c r="AY144" i="3"/>
  <c r="AY34" i="3"/>
  <c r="AY67" i="3"/>
  <c r="AY366" i="3"/>
  <c r="AY236" i="3"/>
  <c r="AY168" i="3"/>
  <c r="AY281" i="3"/>
  <c r="AY42" i="3"/>
  <c r="AY124" i="3"/>
  <c r="AY207" i="3"/>
  <c r="AY51" i="3"/>
  <c r="AY87" i="3"/>
  <c r="D34" i="43"/>
  <c r="E34" i="43" s="1"/>
  <c r="C31" i="43" s="1"/>
  <c r="E33" i="43"/>
  <c r="D1" i="43"/>
  <c r="AC6" i="3"/>
  <c r="E33" i="82"/>
  <c r="C30" i="82" s="1"/>
  <c r="B2" i="82" s="1"/>
  <c r="D34" i="82"/>
  <c r="E34" i="82" s="1"/>
  <c r="C31" i="82" s="1"/>
  <c r="E65" i="39"/>
  <c r="F56" i="39"/>
  <c r="F65" i="39" s="1"/>
  <c r="B2" i="39" s="1"/>
  <c r="B3" i="39" s="1"/>
  <c r="C14" i="12"/>
  <c r="C16" i="12" s="1"/>
  <c r="D17" i="12"/>
  <c r="C17" i="12" s="1"/>
  <c r="D10" i="69"/>
  <c r="D20" i="12"/>
  <c r="C20" i="12" s="1"/>
  <c r="C18" i="12" s="1"/>
  <c r="D10" i="11"/>
  <c r="C10" i="11" s="1"/>
  <c r="E31" i="6" l="1"/>
  <c r="K25" i="6"/>
  <c r="M25" i="6" s="1"/>
  <c r="I25" i="6" s="1"/>
  <c r="S25" i="6" s="1"/>
  <c r="K20" i="6"/>
  <c r="K24" i="6"/>
  <c r="M24" i="6" s="1"/>
  <c r="I24" i="6" s="1"/>
  <c r="S24" i="6" s="1"/>
  <c r="K26" i="6"/>
  <c r="M26" i="6" s="1"/>
  <c r="I26" i="6" s="1"/>
  <c r="S26" i="6" s="1"/>
  <c r="K21" i="6"/>
  <c r="M21" i="6" s="1"/>
  <c r="I21" i="6" s="1"/>
  <c r="S21" i="6" s="1"/>
  <c r="K23" i="6"/>
  <c r="M23" i="6" s="1"/>
  <c r="I23" i="6" s="1"/>
  <c r="S23" i="6" s="1"/>
  <c r="K22" i="6"/>
  <c r="M22" i="6" s="1"/>
  <c r="I22" i="6" s="1"/>
  <c r="S22" i="6" s="1"/>
  <c r="K19" i="6"/>
  <c r="D1" i="82"/>
  <c r="C46" i="11"/>
  <c r="C45" i="11" s="1"/>
  <c r="B3" i="82"/>
  <c r="E61" i="40"/>
  <c r="F61" i="40" s="1"/>
  <c r="B2" i="40" s="1"/>
  <c r="B3" i="40" s="1"/>
  <c r="D22" i="6"/>
  <c r="D26" i="6"/>
  <c r="D19" i="6"/>
  <c r="C18" i="4"/>
  <c r="D25" i="6"/>
  <c r="H22" i="6"/>
  <c r="H24" i="6"/>
  <c r="D11" i="6"/>
  <c r="H21" i="6"/>
  <c r="D14" i="6"/>
  <c r="D13" i="6"/>
  <c r="D29" i="6"/>
  <c r="D6" i="6"/>
  <c r="L19" i="9"/>
  <c r="D21" i="6"/>
  <c r="R21" i="6" s="1"/>
  <c r="D23" i="6"/>
  <c r="D24" i="6"/>
  <c r="R24" i="6" s="1"/>
  <c r="D8" i="6"/>
  <c r="D20" i="6"/>
  <c r="H25" i="6"/>
  <c r="H23" i="6"/>
  <c r="H26" i="6"/>
  <c r="D28" i="6"/>
  <c r="D5" i="6"/>
  <c r="D9" i="6"/>
  <c r="D15" i="6"/>
  <c r="D12" i="6"/>
  <c r="D10" i="6"/>
  <c r="M19" i="9"/>
  <c r="C118" i="9" s="1"/>
  <c r="E6" i="3"/>
  <c r="C10" i="81"/>
  <c r="C12" i="81"/>
  <c r="C9" i="81"/>
  <c r="C10" i="69"/>
  <c r="C8" i="69" s="1"/>
  <c r="C5" i="69" s="1"/>
  <c r="D19" i="69"/>
  <c r="C21" i="12"/>
  <c r="C30" i="43"/>
  <c r="B2" i="43" s="1"/>
  <c r="B3" i="43" s="1"/>
  <c r="C6" i="68"/>
  <c r="C41" i="11"/>
  <c r="C28" i="11"/>
  <c r="C27" i="11" s="1"/>
  <c r="C22" i="11"/>
  <c r="C49" i="11" l="1"/>
  <c r="C51" i="11" s="1"/>
  <c r="C13" i="81"/>
  <c r="C31" i="11"/>
  <c r="C52" i="11" s="1"/>
  <c r="B2" i="11" s="1"/>
  <c r="B3" i="11" s="1"/>
  <c r="D30" i="6"/>
  <c r="K27" i="6"/>
  <c r="M19" i="6"/>
  <c r="S6" i="1"/>
  <c r="S7" i="1"/>
  <c r="M20" i="6"/>
  <c r="I20" i="6" s="1"/>
  <c r="C14" i="81"/>
  <c r="C20" i="81" s="1"/>
  <c r="C19" i="81" s="1"/>
  <c r="C19" i="69"/>
  <c r="C24" i="69" s="1"/>
  <c r="D37" i="69"/>
  <c r="C37" i="69" s="1"/>
  <c r="C33" i="69" s="1"/>
  <c r="C7" i="68"/>
  <c r="C22" i="12"/>
  <c r="C23" i="69"/>
  <c r="D16" i="6"/>
  <c r="R23" i="6"/>
  <c r="C21" i="9"/>
  <c r="D21" i="9"/>
  <c r="G21" i="9"/>
  <c r="D27" i="6"/>
  <c r="D31" i="6" s="1"/>
  <c r="R22" i="6"/>
  <c r="C56" i="11"/>
  <c r="C57" i="11" s="1"/>
  <c r="R25" i="6"/>
  <c r="A10" i="51"/>
  <c r="B9" i="72" s="1"/>
  <c r="A7" i="51"/>
  <c r="B7" i="72" s="1"/>
  <c r="C4" i="52"/>
  <c r="B45" i="72" s="1"/>
  <c r="R26" i="6"/>
  <c r="C17" i="15"/>
  <c r="D10" i="68"/>
  <c r="D19" i="68" l="1"/>
  <c r="D37" i="68" s="1"/>
  <c r="C37" i="68" s="1"/>
  <c r="C10" i="68"/>
  <c r="C8" i="68" s="1"/>
  <c r="C5" i="68" s="1"/>
  <c r="S20" i="6"/>
  <c r="H20" i="6"/>
  <c r="R20" i="6" s="1"/>
  <c r="R7" i="1" s="1"/>
  <c r="T6" i="1"/>
  <c r="S16" i="1"/>
  <c r="AR6" i="1"/>
  <c r="E6" i="70"/>
  <c r="E2" i="70" s="1"/>
  <c r="AQ6" i="1"/>
  <c r="T7" i="1"/>
  <c r="AQ7" i="1"/>
  <c r="AR7" i="1"/>
  <c r="M27" i="6"/>
  <c r="I19" i="6"/>
  <c r="C20" i="69"/>
  <c r="C25" i="69" s="1"/>
  <c r="C30" i="12"/>
  <c r="C28" i="12" s="1"/>
  <c r="C39" i="69"/>
  <c r="C43" i="69" s="1"/>
  <c r="C42" i="69"/>
  <c r="I5" i="6"/>
  <c r="I6" i="6"/>
  <c r="C22" i="69"/>
  <c r="C27" i="12"/>
  <c r="C25" i="12" s="1"/>
  <c r="C17" i="81"/>
  <c r="C16" i="81" s="1"/>
  <c r="C34" i="68"/>
  <c r="C14" i="15"/>
  <c r="C15" i="15" l="1"/>
  <c r="C18" i="15"/>
  <c r="C35" i="68"/>
  <c r="C38" i="68"/>
  <c r="C20" i="68"/>
  <c r="C25" i="68" s="1"/>
  <c r="C23" i="68"/>
  <c r="T16" i="1"/>
  <c r="I27" i="6"/>
  <c r="H19" i="6"/>
  <c r="S19" i="6"/>
  <c r="S27" i="6" s="1"/>
  <c r="C28" i="69"/>
  <c r="C27" i="69" s="1"/>
  <c r="C31" i="69" s="1"/>
  <c r="C32" i="12"/>
  <c r="B2" i="12" s="1"/>
  <c r="B3" i="12" s="1"/>
  <c r="C41" i="69"/>
  <c r="C46" i="69"/>
  <c r="C45" i="69" s="1"/>
  <c r="C23" i="81"/>
  <c r="C28" i="68" l="1"/>
  <c r="C27" i="68" s="1"/>
  <c r="C22" i="68"/>
  <c r="C19" i="15"/>
  <c r="C33" i="68"/>
  <c r="C39" i="68" s="1"/>
  <c r="C46" i="68" s="1"/>
  <c r="C45" i="68" s="1"/>
  <c r="R19" i="6"/>
  <c r="H27" i="6"/>
  <c r="C20" i="15"/>
  <c r="C26" i="15" s="1"/>
  <c r="C49" i="69"/>
  <c r="C51" i="69" s="1"/>
  <c r="C52" i="69" s="1"/>
  <c r="B2" i="69" s="1"/>
  <c r="B3" i="69" s="1"/>
  <c r="C26" i="81"/>
  <c r="C7" i="81"/>
  <c r="C27" i="81" s="1"/>
  <c r="C31" i="68" l="1"/>
  <c r="C42" i="68"/>
  <c r="C23" i="15"/>
  <c r="C29" i="15" s="1"/>
  <c r="J59" i="15" s="1"/>
  <c r="J60" i="15" s="1"/>
  <c r="R27" i="6"/>
  <c r="R6" i="1"/>
  <c r="C43" i="68"/>
  <c r="C41" i="68" s="1"/>
  <c r="C49" i="68" s="1"/>
  <c r="C51" i="68" s="1"/>
  <c r="C57" i="69"/>
  <c r="C56" i="69" s="1"/>
  <c r="C24" i="81"/>
  <c r="M21" i="15"/>
  <c r="F35" i="15"/>
  <c r="C57" i="15" l="1"/>
  <c r="C64" i="15" s="1"/>
  <c r="C13" i="15"/>
  <c r="C75" i="15" s="1"/>
  <c r="J14" i="15"/>
  <c r="J22" i="15" s="1"/>
  <c r="Q49" i="15"/>
  <c r="C36" i="15"/>
  <c r="J20" i="15"/>
  <c r="J17" i="15" s="1"/>
  <c r="F63" i="15"/>
  <c r="C62" i="15" s="1"/>
  <c r="C59" i="15" s="1"/>
  <c r="C34" i="15"/>
  <c r="C31" i="15" s="1"/>
  <c r="R16" i="1"/>
  <c r="C52" i="68"/>
  <c r="B2" i="68" s="1"/>
  <c r="J13" i="15"/>
  <c r="J23" i="15" s="1"/>
  <c r="L46" i="15"/>
  <c r="Q48" i="15"/>
  <c r="B3" i="68"/>
  <c r="C56" i="15" l="1"/>
  <c r="C65" i="15" s="1"/>
  <c r="C58" i="15" s="1"/>
  <c r="C67" i="15" s="1"/>
  <c r="C68" i="15" s="1"/>
  <c r="C71" i="15" s="1"/>
  <c r="C37" i="15"/>
  <c r="C30" i="15" s="1"/>
  <c r="C39" i="15" s="1"/>
  <c r="Q70" i="15"/>
  <c r="C57" i="68"/>
  <c r="C56" i="68" s="1"/>
  <c r="J16" i="15"/>
  <c r="J25" i="15" s="1"/>
  <c r="L51" i="15"/>
  <c r="Q67" i="15" l="1"/>
  <c r="C80" i="15"/>
  <c r="C79" i="15" s="1"/>
  <c r="Q69" i="15"/>
  <c r="Q68" i="15" s="1"/>
  <c r="C40" i="15"/>
  <c r="B2" i="15" l="1"/>
  <c r="D14" i="74" s="1"/>
  <c r="Q56" i="15"/>
  <c r="Q62" i="15" s="1"/>
  <c r="C43" i="15"/>
  <c r="C46" i="15"/>
  <c r="Q47" i="15"/>
  <c r="Q53" i="15" s="1"/>
  <c r="Q65" i="15"/>
  <c r="Q75" i="15" s="1"/>
  <c r="C83" i="15"/>
  <c r="C82" i="15" s="1"/>
  <c r="AO6" i="1"/>
  <c r="E14" i="74" l="1"/>
  <c r="B5" i="74"/>
  <c r="D5" i="74" s="1"/>
  <c r="F14" i="74"/>
  <c r="B6" i="70"/>
  <c r="B2" i="70" s="1"/>
  <c r="B3" i="70" s="1"/>
  <c r="C3" i="81"/>
  <c r="J6" i="81" s="1"/>
  <c r="B3" i="15"/>
  <c r="C4" i="81" l="1"/>
  <c r="C29" i="81" s="1"/>
  <c r="C30" i="81" s="1"/>
  <c r="D36" i="81" s="1"/>
  <c r="G35" i="81" s="1"/>
  <c r="D37" i="81" l="1"/>
  <c r="C38" i="81" s="1"/>
  <c r="C39" i="81" s="1"/>
  <c r="J9" i="81"/>
  <c r="G36" i="81"/>
  <c r="H37" i="81" s="1"/>
  <c r="E38" i="81" l="1"/>
  <c r="E39" i="81" s="1"/>
  <c r="J10" i="81"/>
  <c r="G37" i="81"/>
  <c r="B31" i="72"/>
  <c r="D15" i="53"/>
  <c r="B47" i="72"/>
  <c r="D4" i="52"/>
  <c r="C86" i="9"/>
  <c r="C93" i="9"/>
  <c r="B52" i="72"/>
  <c r="G4" i="52"/>
  <c r="N61" i="9"/>
  <c r="N59" i="9"/>
  <c r="N60" i="9"/>
  <c r="E81" i="9"/>
  <c r="E80" i="9"/>
  <c r="C80" i="9"/>
  <c r="B30" i="72"/>
  <c r="B20" i="72"/>
  <c r="C5" i="74"/>
  <c r="B49" i="72"/>
  <c r="D5" i="52"/>
  <c r="D118" i="9"/>
  <c r="D119" i="9"/>
  <c r="E97" i="9"/>
  <c r="C96" i="9"/>
  <c r="E96" i="9"/>
  <c r="F119" i="9"/>
  <c r="F5" i="52"/>
  <c r="B53" i="72"/>
  <c r="M48" i="9"/>
  <c r="D9" i="52"/>
  <c r="D123" i="9"/>
  <c r="C104" i="9"/>
  <c r="H4" i="52"/>
  <c r="C105" i="9"/>
  <c r="I4" i="52"/>
  <c r="C72" i="9"/>
  <c r="C79" i="9"/>
  <c r="C81" i="9"/>
  <c r="D53" i="9"/>
  <c r="D52" i="9"/>
  <c r="N58" i="9"/>
  <c r="D55" i="9"/>
  <c r="M53" i="9"/>
  <c r="N57" i="9"/>
  <c r="P57" i="9"/>
  <c r="D122" i="9"/>
  <c r="D8" i="52"/>
  <c r="G118" i="9"/>
  <c r="F118" i="9"/>
  <c r="F4" i="52"/>
  <c r="B51" i="72"/>
  <c r="C85" i="9"/>
  <c r="C95" i="9"/>
  <c r="C97" i="9"/>
  <c r="D58" i="9"/>
  <c r="D56" i="9"/>
  <c r="M54" i="9"/>
  <c r="D59" i="9"/>
  <c r="M55" i="9"/>
  <c r="D13" i="53"/>
  <c r="D14" i="53"/>
  <c r="B32" i="72"/>
  <c r="D5" i="53"/>
  <c r="D6" i="53"/>
  <c r="B22" i="72"/>
  <c r="H102" i="9"/>
  <c r="D7" i="53"/>
  <c r="B21" i="72"/>
  <c r="H107" i="9"/>
  <c r="H108" i="9"/>
  <c r="C6" i="74"/>
  <c r="H119" i="9"/>
  <c r="H5" i="52"/>
  <c r="E118" i="9"/>
  <c r="E4" i="52"/>
  <c r="B48" i="72"/>
  <c r="C78" i="9"/>
  <c r="C73"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3E536EA-0149-4276-AF04-28C548EDE276}">
      <text>
        <r>
          <rPr>
            <b/>
            <sz val="9"/>
            <color indexed="81"/>
            <rFont val="宋体"/>
            <family val="3"/>
            <charset val="134"/>
          </rPr>
          <t>对应区片地价表</t>
        </r>
        <r>
          <rPr>
            <sz val="9"/>
            <color indexed="81"/>
            <rFont val="宋体"/>
            <family val="3"/>
            <charset val="134"/>
          </rPr>
          <t xml:space="preserve">
</t>
        </r>
      </text>
    </comment>
    <comment ref="Y9" authorId="1" shapeId="0" xr:uid="{B82374DD-D4BB-4930-A51E-83650F357314}">
      <text>
        <r>
          <rPr>
            <sz val="11"/>
            <color indexed="81"/>
            <rFont val="宋体"/>
            <family val="3"/>
            <charset val="134"/>
          </rPr>
          <t xml:space="preserve">录入层数，将对应的结果录入至左侧相应层的楼层修正系数单元格中
</t>
        </r>
      </text>
    </comment>
    <comment ref="C16" authorId="1" shapeId="0" xr:uid="{26004484-C177-4A1B-9695-E238C7915273}">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E0886FF-09FB-4E49-875C-7C667A2A4865}">
      <text>
        <r>
          <rPr>
            <sz val="12"/>
            <color indexed="81"/>
            <rFont val="宋体"/>
            <family val="3"/>
            <charset val="134"/>
          </rPr>
          <t>1.05~1.1</t>
        </r>
        <r>
          <rPr>
            <sz val="9"/>
            <color indexed="81"/>
            <rFont val="宋体"/>
            <family val="3"/>
            <charset val="134"/>
          </rPr>
          <t xml:space="preserve">
</t>
        </r>
      </text>
    </comment>
    <comment ref="E16" authorId="1" shapeId="0" xr:uid="{E3C6C28B-095A-4005-915F-2D09430F6242}">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BF77D013-3559-46FB-8D8A-FA05660DCB2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A3A9CE4E-3171-4CFB-AAC1-21DA0D91B16D}">
      <text>
        <r>
          <rPr>
            <b/>
            <sz val="14"/>
            <color indexed="81"/>
            <rFont val="宋体"/>
            <family val="3"/>
            <charset val="134"/>
          </rPr>
          <t>工业选“中心城区”</t>
        </r>
        <r>
          <rPr>
            <sz val="9"/>
            <color indexed="81"/>
            <rFont val="宋体"/>
            <family val="3"/>
            <charset val="134"/>
          </rPr>
          <t xml:space="preserve">
</t>
        </r>
      </text>
    </comment>
    <comment ref="B35" authorId="4" shapeId="0" xr:uid="{BA69E000-560F-4918-87BA-54EAEE96E74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E5F9870B-737F-49B8-8314-6BE6743B8D68}">
      <text>
        <r>
          <rPr>
            <sz val="9"/>
            <color indexed="81"/>
            <rFont val="宋体"/>
            <family val="3"/>
            <charset val="134"/>
          </rPr>
          <t xml:space="preserve">需在此处填写剩余土地年限
</t>
        </r>
      </text>
    </comment>
    <comment ref="C111" authorId="0" shapeId="0" xr:uid="{2A999191-5A0B-4C9B-9895-761A6CA24BA4}">
      <text>
        <r>
          <rPr>
            <b/>
            <sz val="9"/>
            <color indexed="81"/>
            <rFont val="宋体"/>
            <family val="3"/>
            <charset val="134"/>
          </rPr>
          <t xml:space="preserve">所在楼层
</t>
        </r>
        <r>
          <rPr>
            <sz val="9"/>
            <color indexed="81"/>
            <rFont val="宋体"/>
            <family val="3"/>
            <charset val="134"/>
          </rPr>
          <t xml:space="preserve">
</t>
        </r>
      </text>
    </comment>
    <comment ref="D111" authorId="0" shapeId="0" xr:uid="{B1941317-9270-4905-BACF-92544D24DFFE}">
      <text>
        <r>
          <rPr>
            <b/>
            <sz val="9"/>
            <color indexed="81"/>
            <rFont val="宋体"/>
            <family val="3"/>
            <charset val="134"/>
          </rPr>
          <t xml:space="preserve">所在楼层
</t>
        </r>
        <r>
          <rPr>
            <sz val="9"/>
            <color indexed="81"/>
            <rFont val="宋体"/>
            <family val="3"/>
            <charset val="134"/>
          </rPr>
          <t xml:space="preserve">
</t>
        </r>
      </text>
    </comment>
    <comment ref="E111" authorId="0" shapeId="0" xr:uid="{41D8627B-DB9A-4A1B-A831-49837C981121}">
      <text>
        <r>
          <rPr>
            <b/>
            <sz val="9"/>
            <color indexed="81"/>
            <rFont val="宋体"/>
            <family val="3"/>
            <charset val="134"/>
          </rPr>
          <t xml:space="preserve">所在楼层
</t>
        </r>
        <r>
          <rPr>
            <sz val="9"/>
            <color indexed="81"/>
            <rFont val="宋体"/>
            <family val="3"/>
            <charset val="134"/>
          </rPr>
          <t xml:space="preserve">
</t>
        </r>
      </text>
    </comment>
    <comment ref="F111" authorId="0" shapeId="0" xr:uid="{E727CB69-9E7D-41AD-90C2-221640B25F3F}">
      <text>
        <r>
          <rPr>
            <b/>
            <sz val="9"/>
            <color indexed="81"/>
            <rFont val="宋体"/>
            <family val="3"/>
            <charset val="134"/>
          </rPr>
          <t xml:space="preserve">所在楼层
</t>
        </r>
        <r>
          <rPr>
            <sz val="9"/>
            <color indexed="81"/>
            <rFont val="宋体"/>
            <family val="3"/>
            <charset val="134"/>
          </rPr>
          <t xml:space="preserve">
</t>
        </r>
      </text>
    </comment>
    <comment ref="G111" authorId="0" shapeId="0" xr:uid="{EBD83460-43F3-4F5E-AF9C-279A0A542DB6}">
      <text>
        <r>
          <rPr>
            <b/>
            <sz val="9"/>
            <color indexed="81"/>
            <rFont val="宋体"/>
            <family val="3"/>
            <charset val="134"/>
          </rPr>
          <t xml:space="preserve">所在楼层
</t>
        </r>
        <r>
          <rPr>
            <sz val="9"/>
            <color indexed="81"/>
            <rFont val="宋体"/>
            <family val="3"/>
            <charset val="134"/>
          </rPr>
          <t xml:space="preserve">
</t>
        </r>
      </text>
    </comment>
    <comment ref="H111" authorId="0" shapeId="0" xr:uid="{7181A222-11F9-4F52-AF96-5D9C08273BAC}">
      <text>
        <r>
          <rPr>
            <b/>
            <sz val="9"/>
            <color indexed="81"/>
            <rFont val="宋体"/>
            <family val="3"/>
            <charset val="134"/>
          </rPr>
          <t xml:space="preserve">所在楼层
</t>
        </r>
        <r>
          <rPr>
            <sz val="9"/>
            <color indexed="81"/>
            <rFont val="宋体"/>
            <family val="3"/>
            <charset val="134"/>
          </rPr>
          <t xml:space="preserve">
</t>
        </r>
      </text>
    </comment>
    <comment ref="I111" authorId="0" shapeId="0" xr:uid="{24468052-5E95-4485-AB43-15A8ABA883CE}">
      <text>
        <r>
          <rPr>
            <b/>
            <sz val="9"/>
            <color indexed="81"/>
            <rFont val="宋体"/>
            <family val="3"/>
            <charset val="134"/>
          </rPr>
          <t xml:space="preserve">所在楼层
</t>
        </r>
        <r>
          <rPr>
            <sz val="9"/>
            <color indexed="81"/>
            <rFont val="宋体"/>
            <family val="3"/>
            <charset val="134"/>
          </rPr>
          <t xml:space="preserve">
</t>
        </r>
      </text>
    </comment>
    <comment ref="J111" authorId="0" shapeId="0" xr:uid="{851E0F96-F08F-4EE4-A2DB-38799CB84570}">
      <text>
        <r>
          <rPr>
            <b/>
            <sz val="9"/>
            <color indexed="81"/>
            <rFont val="宋体"/>
            <family val="3"/>
            <charset val="134"/>
          </rPr>
          <t xml:space="preserve">所在楼层
</t>
        </r>
        <r>
          <rPr>
            <sz val="9"/>
            <color indexed="81"/>
            <rFont val="宋体"/>
            <family val="3"/>
            <charset val="134"/>
          </rPr>
          <t xml:space="preserve">
</t>
        </r>
      </text>
    </comment>
    <comment ref="K111" authorId="0" shapeId="0" xr:uid="{C1931541-9A0E-4514-A444-F94B967B007D}">
      <text>
        <r>
          <rPr>
            <b/>
            <sz val="9"/>
            <color indexed="81"/>
            <rFont val="宋体"/>
            <family val="3"/>
            <charset val="134"/>
          </rPr>
          <t xml:space="preserve">所在楼层
</t>
        </r>
        <r>
          <rPr>
            <sz val="9"/>
            <color indexed="81"/>
            <rFont val="宋体"/>
            <family val="3"/>
            <charset val="134"/>
          </rPr>
          <t xml:space="preserve">
</t>
        </r>
      </text>
    </comment>
    <comment ref="L111" authorId="0" shapeId="0" xr:uid="{29E09F83-EB1A-43B7-ABAF-2216BE951028}">
      <text>
        <r>
          <rPr>
            <b/>
            <sz val="9"/>
            <color indexed="81"/>
            <rFont val="宋体"/>
            <family val="3"/>
            <charset val="134"/>
          </rPr>
          <t xml:space="preserve">所在楼层
</t>
        </r>
        <r>
          <rPr>
            <sz val="9"/>
            <color indexed="81"/>
            <rFont val="宋体"/>
            <family val="3"/>
            <charset val="134"/>
          </rPr>
          <t xml:space="preserve">
</t>
        </r>
      </text>
    </comment>
    <comment ref="M111" authorId="0" shapeId="0" xr:uid="{2A1066D6-58BF-41E6-B7D8-6ACDABD86D2B}">
      <text>
        <r>
          <rPr>
            <b/>
            <sz val="9"/>
            <color indexed="81"/>
            <rFont val="宋体"/>
            <family val="3"/>
            <charset val="134"/>
          </rPr>
          <t xml:space="preserve">所在楼层
</t>
        </r>
        <r>
          <rPr>
            <sz val="9"/>
            <color indexed="81"/>
            <rFont val="宋体"/>
            <family val="3"/>
            <charset val="134"/>
          </rPr>
          <t xml:space="preserve">
</t>
        </r>
      </text>
    </comment>
    <comment ref="N111" authorId="0" shapeId="0" xr:uid="{1EC70F54-4569-4CAD-950D-48F7B7D924CC}">
      <text>
        <r>
          <rPr>
            <b/>
            <sz val="9"/>
            <color indexed="81"/>
            <rFont val="宋体"/>
            <family val="3"/>
            <charset val="134"/>
          </rPr>
          <t xml:space="preserve">所在楼层
</t>
        </r>
        <r>
          <rPr>
            <sz val="9"/>
            <color indexed="81"/>
            <rFont val="宋体"/>
            <family val="3"/>
            <charset val="134"/>
          </rPr>
          <t xml:space="preserve">
</t>
        </r>
      </text>
    </comment>
    <comment ref="D116" authorId="0" shapeId="0" xr:uid="{A2288551-6047-458D-83F3-72377BF85C7C}">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<sst xmlns="http://schemas.openxmlformats.org/spreadsheetml/2006/main" count="8805" uniqueCount="3692">
  <si>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</si>
  <si>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</si>
  <si>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</si>
  <si>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</si>
  <si>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</si>
  <si>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</si>
  <si>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</si>
  <si>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</si>
  <si>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</si>
  <si>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</si>
  <si>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</si>
  <si>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</si>
  <si>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</si>
  <si>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</si>
  <si>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</si>
  <si>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</si>
  <si>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</si>
  <si>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</si>
  <si>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</si>
  <si>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</si>
  <si>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</si>
  <si>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</si>
  <si>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</si>
  <si>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</si>
  <si>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</si>
  <si>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</si>
  <si>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</si>
  <si>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</si>
  <si>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</si>
  <si>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</si>
  <si>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</si>
  <si>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</si>
  <si>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</si>
  <si>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</si>
  <si>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</si>
  <si>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</si>
  <si>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</si>
  <si>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</si>
  <si>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</si>
  <si>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</si>
  <si>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</si>
  <si>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</si>
  <si>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</si>
  <si>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</si>
  <si>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</si>
  <si>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</si>
  <si>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</si>
  <si>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</si>
  <si>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</si>
  <si>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</si>
  <si>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</si>
  <si>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</si>
  <si>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</si>
  <si>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</si>
  <si>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</si>
  <si>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</si>
  <si>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</si>
  <si>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</si>
  <si>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</si>
  <si>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</si>
  <si>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</si>
  <si>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</si>
  <si>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</si>
  <si>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</si>
  <si>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</si>
  <si>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</si>
  <si>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</si>
  <si>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</si>
  <si>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</si>
  <si>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</si>
  <si>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</si>
  <si>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</si>
  <si>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</si>
  <si>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</si>
  <si>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</si>
  <si>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</si>
  <si>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</si>
  <si>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</si>
  <si>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</si>
  <si>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</si>
  <si>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</si>
  <si>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</si>
  <si>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</si>
  <si>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</si>
  <si>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</si>
  <si>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</si>
  <si>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</si>
  <si>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</si>
  <si>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</si>
  <si>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</si>
  <si>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</si>
  <si>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</si>
  <si>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</si>
  <si>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</si>
  <si>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</si>
  <si>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</si>
  <si>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</si>
  <si>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</si>
  <si>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</si>
  <si>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</si>
  <si>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</si>
  <si>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</si>
  <si>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</si>
  <si>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</si>
  <si>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</si>
  <si>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</si>
  <si>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</si>
  <si>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</si>
  <si>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</si>
  <si>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</si>
  <si>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</si>
  <si>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</si>
  <si>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</si>
  <si>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</si>
  <si>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</si>
  <si>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</si>
  <si>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</si>
  <si>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</si>
  <si>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</si>
  <si>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</si>
  <si>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</si>
  <si>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</si>
  <si>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</si>
  <si>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</si>
  <si>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</si>
  <si>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</si>
  <si>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</si>
  <si>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</si>
  <si>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</si>
  <si>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</si>
  <si>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</si>
  <si>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</si>
  <si>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</si>
  <si>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</si>
  <si>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</si>
  <si>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</si>
  <si>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</si>
  <si>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</si>
  <si>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</si>
  <si>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</si>
  <si>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</si>
  <si>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</si>
  <si>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</si>
  <si>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</si>
  <si>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</si>
  <si>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</si>
  <si>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</si>
  <si>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</si>
  <si>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</si>
  <si>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</si>
  <si>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</si>
  <si>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</si>
  <si>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</si>
  <si>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</si>
  <si>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</si>
  <si>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</si>
  <si>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</si>
  <si>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</si>
  <si>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</si>
  <si>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</si>
  <si>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</si>
  <si>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</si>
  <si>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</si>
  <si>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</si>
  <si>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</si>
  <si>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</si>
  <si>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</si>
  <si>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</si>
  <si>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</si>
  <si>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</si>
  <si>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</si>
  <si>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</si>
  <si>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</si>
  <si>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</si>
  <si>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</si>
  <si>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</si>
  <si>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</si>
  <si>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</si>
  <si>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</si>
  <si>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</si>
  <si>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</si>
  <si>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</si>
  <si>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</si>
  <si>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</si>
  <si>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</si>
  <si>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</si>
  <si>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</si>
  <si>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</si>
  <si>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</si>
  <si>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</si>
  <si>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</si>
  <si>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</si>
  <si>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</si>
  <si>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</si>
  <si>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</si>
  <si>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</si>
  <si>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</si>
  <si>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</si>
  <si>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</si>
  <si>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</si>
  <si>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</si>
  <si>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</si>
  <si>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</si>
  <si>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</si>
  <si>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</si>
  <si>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</si>
  <si>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</si>
  <si>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</si>
  <si>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</si>
  <si>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</si>
  <si>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</si>
  <si>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</si>
  <si>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</si>
  <si>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</si>
  <si>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</si>
  <si>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</si>
  <si>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</si>
  <si>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</si>
  <si>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</si>
  <si>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</si>
  <si>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</si>
  <si>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</si>
  <si>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</si>
  <si>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</si>
  <si>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</si>
  <si>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</si>
  <si>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</si>
  <si>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</si>
  <si>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</si>
  <si>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</si>
  <si>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</si>
  <si>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</si>
  <si>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</si>
  <si>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</si>
  <si>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</si>
  <si>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</si>
  <si>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</si>
  <si>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</si>
  <si>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</si>
  <si>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</si>
  <si>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</si>
  <si>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</si>
  <si>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</si>
  <si>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</si>
  <si>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</si>
  <si>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</si>
  <si>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</si>
  <si>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</si>
  <si>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</si>
  <si>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</si>
  <si>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</si>
  <si>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</si>
  <si>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</si>
  <si>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</si>
  <si>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</si>
  <si>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</si>
  <si>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</si>
  <si>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</si>
  <si>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</si>
  <si>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</si>
  <si>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</si>
  <si>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</si>
  <si>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</si>
  <si>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</si>
  <si>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</si>
  <si>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</si>
  <si>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</si>
  <si>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</si>
  <si>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</si>
  <si>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</si>
  <si>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</si>
  <si>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</si>
  <si>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</si>
  <si>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</si>
  <si>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</si>
  <si>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</si>
  <si>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</si>
  <si>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</si>
  <si>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</si>
  <si>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</si>
  <si>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</si>
  <si>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</si>
  <si>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</si>
  <si>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</si>
  <si>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</si>
  <si>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</si>
  <si>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</si>
  <si>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</si>
  <si>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</si>
  <si>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</si>
  <si>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</si>
  <si>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</si>
  <si>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</si>
  <si>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</si>
  <si>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</si>
  <si>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</si>
  <si>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</si>
  <si>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</si>
  <si>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</si>
  <si>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</si>
  <si>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</si>
  <si>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</si>
  <si>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</si>
  <si>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</si>
  <si>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</si>
  <si>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</si>
  <si>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</si>
  <si>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</si>
  <si>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</si>
  <si>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</si>
  <si>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</si>
  <si>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</si>
  <si>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</si>
  <si>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</si>
  <si>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</si>
  <si>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</si>
  <si>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</si>
  <si>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</si>
  <si>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</si>
  <si>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</si>
  <si>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</si>
  <si>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</si>
  <si>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</si>
  <si>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</si>
  <si>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</si>
  <si>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</si>
  <si>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</si>
  <si>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</si>
  <si>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</si>
  <si>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</si>
  <si>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</si>
  <si>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</si>
  <si>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</si>
  <si>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</si>
  <si>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</si>
  <si>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</si>
  <si>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</si>
  <si>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</si>
  <si>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</si>
  <si>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</si>
  <si>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</si>
  <si>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</si>
  <si>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</si>
  <si>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</si>
  <si>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</si>
  <si>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</si>
  <si>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</si>
  <si>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</si>
  <si>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</si>
  <si>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</si>
  <si>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</si>
  <si>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</si>
  <si>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</si>
  <si>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</si>
  <si>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</si>
  <si>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</si>
  <si>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</si>
  <si>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</si>
  <si>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</si>
  <si>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</si>
  <si>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</si>
  <si>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</si>
  <si>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</si>
  <si>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</si>
  <si>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</si>
  <si>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</si>
  <si>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</si>
  <si>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</si>
  <si>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</si>
  <si>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</si>
  <si>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</si>
  <si>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</si>
  <si>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</si>
  <si>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</si>
  <si>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</si>
  <si>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</si>
  <si>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</si>
  <si>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</si>
  <si>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</si>
  <si>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</si>
  <si>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</si>
  <si>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</si>
  <si>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</si>
  <si>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</si>
  <si>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</si>
  <si>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</si>
  <si>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</si>
  <si>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</si>
  <si>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</si>
  <si>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</si>
  <si>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</si>
  <si>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</si>
  <si>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</si>
  <si>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</si>
  <si>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</si>
  <si>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</si>
  <si>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</si>
  <si>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</si>
  <si>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</si>
  <si>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</si>
  <si>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</si>
  <si>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</si>
  <si>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</si>
  <si>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</si>
  <si>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</si>
  <si>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</si>
  <si>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</si>
  <si>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</si>
  <si>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</si>
  <si>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</si>
  <si>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</si>
  <si>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</si>
  <si>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</si>
  <si>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</si>
  <si>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</si>
  <si>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</si>
  <si>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</si>
  <si>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</si>
  <si>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</si>
  <si>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</si>
  <si>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</si>
  <si>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</si>
  <si>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</si>
  <si>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</si>
  <si>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</si>
  <si>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</si>
  <si>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</si>
  <si>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</si>
  <si>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</si>
  <si>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</si>
  <si>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</si>
  <si>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</si>
  <si>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</si>
  <si>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</si>
  <si>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</si>
  <si>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</si>
  <si>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</si>
  <si>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</si>
  <si>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</si>
  <si>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</si>
  <si>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</si>
  <si>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</si>
  <si>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</si>
  <si>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</si>
  <si>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</si>
  <si>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</si>
  <si>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</si>
  <si>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</si>
  <si>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</si>
  <si>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</si>
  <si>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</si>
  <si>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</si>
  <si>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</si>
  <si>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</si>
  <si>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</si>
  <si>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</si>
  <si>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</si>
  <si>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</si>
  <si>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</si>
  <si>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</si>
  <si>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</si>
  <si>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</si>
  <si>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</si>
  <si>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</si>
  <si>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</si>
  <si>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</si>
  <si>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</si>
  <si>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</si>
  <si>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</si>
  <si>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</si>
  <si>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</si>
  <si>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</si>
  <si>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</si>
  <si>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</si>
  <si>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</si>
  <si>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</si>
  <si>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</si>
  <si>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</si>
  <si>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</si>
  <si>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</si>
  <si>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</si>
  <si>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</si>
  <si>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</si>
  <si>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</si>
  <si>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</si>
  <si>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</si>
  <si>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</si>
  <si>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</si>
  <si>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</si>
  <si>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</si>
  <si>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</si>
  <si>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</si>
  <si>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</si>
  <si>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</si>
  <si>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</si>
  <si>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</si>
  <si>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</si>
  <si>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</si>
  <si>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</si>
  <si>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</si>
  <si>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</si>
  <si>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</si>
  <si>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</si>
  <si>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</si>
  <si>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</si>
  <si>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</si>
  <si>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</si>
  <si>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</si>
  <si>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</si>
  <si>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</si>
  <si>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</si>
  <si>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</si>
  <si>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</si>
  <si>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</si>
  <si>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</si>
  <si>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</si>
  <si>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</si>
  <si>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</si>
  <si>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</si>
  <si>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</si>
  <si>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</si>
  <si>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</si>
  <si>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</si>
  <si>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</si>
  <si>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</si>
  <si>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</si>
  <si>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</si>
  <si>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</si>
  <si>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</si>
  <si>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</si>
  <si>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</si>
  <si>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</si>
  <si>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</si>
  <si>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</si>
  <si>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</si>
  <si>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</si>
  <si>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</si>
  <si>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</si>
  <si>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</si>
  <si>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</si>
  <si>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</si>
  <si>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</si>
  <si>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</si>
  <si>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</si>
  <si>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</si>
  <si>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</si>
  <si>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</si>
  <si>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</si>
  <si>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</si>
  <si>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</si>
  <si>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</si>
  <si>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</si>
  <si>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</si>
  <si>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</si>
  <si>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</si>
  <si>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</si>
  <si>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</si>
  <si>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</si>
  <si>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</si>
  <si>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</si>
  <si>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</si>
  <si>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</si>
  <si>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</si>
  <si>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</si>
  <si>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</si>
  <si>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</si>
  <si>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</si>
  <si>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</si>
  <si>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</si>
  <si>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</si>
  <si>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</si>
  <si>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</si>
  <si>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</si>
  <si>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</si>
  <si>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</si>
  <si>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</si>
  <si>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</si>
  <si>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</si>
  <si>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</si>
  <si>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</si>
  <si>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</si>
  <si>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</si>
  <si>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</si>
  <si>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</si>
  <si>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</si>
  <si>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</si>
  <si>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</si>
  <si>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</si>
  <si>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</si>
  <si>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</si>
  <si>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</si>
  <si>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</si>
  <si>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</si>
  <si>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</si>
  <si>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</si>
  <si>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</si>
  <si>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</si>
  <si>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</si>
  <si>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</si>
  <si>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</si>
  <si>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</si>
  <si>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</si>
  <si>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</si>
  <si>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</si>
  <si>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</si>
  <si>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</si>
  <si>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</si>
  <si>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</si>
  <si>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</si>
  <si>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</si>
  <si>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</si>
  <si>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</si>
  <si>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</si>
  <si>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</si>
  <si>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</si>
  <si>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</si>
  <si>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</si>
  <si>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</si>
  <si>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</si>
  <si>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</si>
  <si>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</si>
  <si>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</si>
  <si>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</si>
  <si>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</si>
  <si>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</si>
  <si>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</si>
  <si>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</si>
  <si>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</si>
  <si>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</si>
  <si>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</si>
  <si>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</si>
  <si>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</si>
  <si>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</si>
  <si>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</si>
  <si>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</si>
  <si>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</si>
  <si>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</si>
  <si>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</si>
  <si>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</si>
  <si>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</si>
  <si>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</si>
  <si>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</si>
  <si>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</si>
  <si>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</si>
  <si>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</si>
  <si>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</si>
  <si>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</si>
  <si>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</si>
  <si>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</si>
  <si>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</si>
  <si>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</si>
  <si>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</si>
  <si>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</si>
  <si>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</si>
  <si>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</si>
  <si>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</si>
  <si>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</si>
  <si>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</si>
  <si>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</si>
  <si>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</si>
  <si>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</si>
  <si>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</si>
  <si>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</si>
  <si>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</si>
  <si>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</si>
  <si>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</si>
  <si>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</si>
  <si>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</si>
  <si>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</si>
  <si>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</si>
  <si>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</si>
  <si>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</si>
  <si>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</si>
  <si>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</si>
  <si>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</si>
  <si>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</si>
  <si>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</si>
  <si>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</si>
  <si>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</si>
  <si>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</si>
  <si>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</si>
  <si>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</si>
  <si>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</si>
  <si>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</si>
  <si>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</si>
  <si>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</si>
  <si>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</si>
  <si>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</si>
  <si>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</si>
  <si>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</si>
  <si>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</si>
  <si>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</si>
  <si>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</si>
  <si>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</si>
  <si>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</si>
  <si>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</si>
  <si>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</si>
  <si>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</si>
  <si>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</si>
  <si>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</si>
  <si>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</si>
  <si>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</si>
  <si>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</si>
  <si>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</si>
  <si>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</si>
  <si>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</si>
  <si>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</si>
  <si>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</si>
  <si>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</si>
  <si>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</si>
  <si>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</si>
  <si>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</si>
  <si>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</si>
  <si>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</si>
  <si>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</si>
  <si>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</si>
  <si>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</si>
  <si>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</si>
  <si>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</si>
  <si>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</si>
  <si>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</si>
  <si>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</si>
  <si>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</si>
  <si>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</si>
  <si>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</si>
  <si>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</si>
  <si>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</si>
  <si>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</si>
  <si>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</si>
  <si>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</si>
  <si>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</si>
  <si>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</si>
  <si>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</si>
  <si>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</si>
  <si>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</si>
  <si>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</si>
  <si>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</si>
  <si>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</si>
  <si>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</si>
  <si>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</si>
  <si>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</si>
  <si>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</si>
  <si>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</si>
  <si>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</si>
  <si>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</si>
  <si>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</si>
  <si>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</si>
  <si>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</si>
  <si>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</si>
  <si>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</si>
  <si>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</si>
  <si>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</si>
  <si>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</si>
  <si>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</si>
  <si>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</si>
  <si>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</si>
  <si>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</si>
  <si>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</si>
  <si>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</si>
  <si>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</si>
  <si>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</si>
  <si>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</si>
  <si>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</si>
  <si>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</si>
  <si>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</si>
  <si>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</si>
  <si>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</si>
  <si>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</si>
  <si>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</si>
  <si>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</si>
  <si>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</si>
  <si>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</si>
  <si>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</si>
  <si>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</si>
  <si>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</si>
  <si>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</si>
  <si>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</si>
  <si>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</si>
  <si>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</si>
  <si>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</si>
  <si>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</si>
  <si>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</si>
  <si>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</si>
  <si>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</si>
  <si>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</si>
  <si>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</si>
  <si>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</si>
  <si>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</si>
  <si>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</si>
  <si>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</si>
  <si>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</si>
  <si>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</si>
  <si>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</si>
  <si>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</si>
  <si>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</si>
  <si>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</si>
  <si>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</si>
  <si>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</si>
  <si>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</si>
  <si>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</si>
  <si>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</si>
  <si>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</si>
  <si>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</si>
  <si>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</si>
  <si>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</si>
  <si>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</si>
  <si>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</si>
  <si>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</si>
  <si>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</si>
  <si>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</si>
  <si>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</si>
  <si>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</si>
  <si>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</si>
  <si>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</si>
  <si>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</si>
  <si>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</si>
  <si>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</si>
  <si>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</si>
  <si>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</si>
  <si>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</si>
  <si>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</si>
  <si>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</si>
  <si>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</si>
  <si>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</si>
  <si>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</si>
  <si>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</si>
  <si>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</si>
  <si>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</si>
  <si>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</si>
  <si>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</si>
  <si>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</si>
  <si>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</si>
  <si>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</si>
  <si>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</si>
  <si>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</si>
  <si>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</si>
  <si>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</si>
  <si>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</si>
  <si>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</si>
  <si>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</si>
  <si>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</si>
  <si>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</si>
  <si>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</si>
  <si>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</si>
  <si>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</si>
  <si>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</si>
  <si>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</si>
  <si>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</si>
  <si>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</si>
  <si>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</si>
  <si>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</si>
  <si>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</si>
  <si>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</si>
  <si>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</si>
  <si>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</si>
  <si>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</si>
  <si>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</si>
  <si>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</si>
  <si>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</si>
  <si>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</si>
  <si>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</si>
  <si>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</si>
  <si>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</si>
  <si>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</si>
  <si>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</si>
  <si>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</si>
  <si>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</si>
  <si>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</si>
  <si>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</si>
  <si>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</si>
  <si>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</si>
  <si>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</si>
  <si>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</si>
  <si>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</si>
  <si>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</si>
  <si>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</si>
  <si>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</si>
  <si>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</si>
  <si>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</si>
  <si>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</si>
  <si>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</si>
  <si>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</si>
  <si>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</si>
  <si>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</si>
  <si>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</si>
  <si>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</si>
  <si>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</si>
  <si>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</si>
  <si>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</si>
  <si>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</si>
  <si>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</si>
  <si>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</si>
  <si>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</si>
  <si>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</si>
  <si>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</si>
  <si>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</si>
  <si>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</si>
  <si>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</si>
  <si>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</si>
  <si>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</si>
  <si>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</si>
  <si>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</si>
  <si>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</si>
  <si>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</si>
  <si>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</si>
  <si>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</si>
  <si>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</si>
  <si>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</si>
  <si>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</si>
  <si>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</si>
  <si>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</si>
  <si>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</si>
  <si>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</si>
  <si>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</si>
  <si>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</si>
  <si>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</si>
  <si>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</si>
  <si>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</si>
  <si>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</si>
  <si>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</si>
  <si>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</si>
  <si>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</si>
  <si>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</si>
  <si>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</si>
  <si>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</si>
  <si>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</si>
  <si>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</si>
  <si>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</si>
  <si>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</si>
  <si>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</si>
  <si>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</si>
  <si>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</si>
  <si>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</si>
  <si>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</si>
  <si>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</si>
  <si>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</si>
  <si>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</si>
  <si>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</si>
  <si>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</si>
  <si>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</si>
  <si>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</si>
  <si>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</si>
  <si>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</si>
  <si>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</si>
  <si>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</si>
  <si>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</si>
  <si>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</si>
  <si>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</si>
  <si>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</si>
  <si>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</si>
  <si>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</si>
  <si>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</si>
  <si>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</si>
  <si>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</si>
  <si>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</si>
  <si>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</si>
  <si>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</si>
  <si>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</si>
  <si>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</si>
  <si>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</si>
  <si>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</si>
  <si>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</si>
  <si>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</si>
  <si>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</si>
  <si>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</si>
  <si>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</si>
  <si>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</si>
  <si>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</si>
  <si>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</si>
  <si>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</si>
  <si>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</si>
  <si>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</si>
  <si>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</si>
  <si>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</si>
  <si>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</si>
  <si>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</si>
  <si>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</si>
  <si>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</si>
  <si>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</si>
  <si>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</si>
  <si>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</si>
  <si>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</si>
  <si>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</si>
  <si>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</si>
  <si>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</si>
  <si>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</si>
  <si>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</si>
  <si>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</si>
  <si>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</si>
  <si>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</si>
  <si>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</si>
  <si>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</si>
  <si>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</si>
  <si>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</si>
  <si>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</si>
  <si>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</si>
  <si>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</si>
  <si>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</si>
  <si>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</si>
  <si>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</si>
  <si>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</si>
  <si>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</si>
  <si>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</si>
  <si>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</si>
  <si>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</si>
  <si>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</si>
  <si>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</si>
  <si>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</si>
  <si>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</si>
  <si>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</si>
  <si>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</si>
  <si>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</si>
  <si>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</si>
  <si>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</si>
  <si>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</si>
  <si>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</si>
  <si>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</si>
  <si>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</si>
  <si>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</si>
  <si>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</si>
  <si>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</si>
  <si>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</si>
  <si>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</si>
  <si>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</si>
  <si>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</si>
  <si>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</si>
  <si>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</si>
  <si>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</si>
  <si>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</si>
  <si>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</si>
  <si>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</si>
  <si>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</si>
  <si>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</si>
  <si>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</si>
  <si>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</si>
  <si>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</si>
  <si>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</si>
  <si>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</si>
  <si>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</si>
  <si>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</si>
  <si>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</si>
  <si>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</si>
  <si>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</si>
  <si>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</si>
  <si>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</si>
  <si>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</si>
  <si>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</si>
  <si>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</si>
  <si>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</si>
  <si>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</si>
  <si>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</si>
  <si>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</si>
  <si>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</si>
  <si>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</si>
  <si>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</si>
  <si>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</si>
  <si>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</si>
  <si>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</si>
  <si>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</si>
  <si>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</si>
  <si>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</si>
  <si>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</si>
  <si>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</si>
  <si>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</si>
  <si>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</si>
  <si>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</si>
  <si>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</si>
  <si>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</si>
  <si>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</si>
  <si>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</si>
  <si>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</si>
  <si>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</si>
  <si>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</si>
  <si>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</si>
  <si>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</si>
  <si>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</si>
  <si>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</si>
  <si>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</si>
  <si>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</si>
  <si>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</si>
  <si>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</si>
  <si>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</si>
  <si>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</si>
  <si>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</si>
  <si>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</si>
  <si>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</si>
  <si>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</si>
  <si>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</si>
  <si>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</si>
  <si>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</si>
  <si>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</si>
  <si>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</si>
  <si>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</si>
  <si>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</si>
  <si>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</si>
  <si>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</si>
  <si>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</si>
  <si>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</si>
  <si>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</si>
  <si>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</si>
  <si>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</si>
  <si>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</si>
  <si>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</si>
  <si>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</si>
  <si>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</si>
  <si>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</si>
  <si>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</si>
  <si>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</si>
  <si>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</si>
  <si>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</si>
  <si>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</si>
  <si>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</si>
  <si>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</si>
  <si>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</si>
  <si>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</si>
  <si>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</si>
  <si>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</si>
  <si>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</si>
  <si>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</si>
  <si>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</si>
  <si>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</si>
  <si>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</si>
  <si>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</si>
  <si>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</si>
  <si>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</si>
  <si>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</si>
  <si>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</si>
  <si>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</si>
  <si>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</si>
  <si>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</si>
  <si>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</si>
  <si>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</si>
  <si>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</si>
  <si>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</si>
  <si>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</si>
  <si>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</si>
  <si>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</si>
  <si>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</si>
  <si>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</si>
  <si>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</si>
  <si>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</si>
  <si>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</si>
  <si>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</si>
  <si>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</si>
  <si>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</si>
  <si>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</si>
  <si>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</si>
  <si>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</si>
  <si>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</si>
  <si>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</si>
  <si>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</si>
  <si>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</si>
  <si>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</si>
  <si>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</si>
  <si>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</si>
  <si>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</si>
  <si>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</si>
  <si>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</si>
  <si>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</si>
  <si>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</si>
  <si>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</si>
  <si>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</si>
  <si>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</si>
  <si>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</si>
  <si>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</si>
  <si>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</si>
  <si>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</si>
  <si>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</si>
  <si>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</si>
  <si>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</si>
  <si>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</si>
  <si>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</si>
  <si>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</si>
  <si>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</si>
  <si>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</si>
  <si>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</si>
  <si>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</si>
  <si>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</si>
  <si>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</si>
  <si>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</si>
  <si>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</si>
  <si>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</si>
  <si>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</si>
  <si>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</si>
  <si>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</si>
  <si>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</si>
  <si>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</si>
  <si>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</si>
  <si>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</si>
  <si>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</si>
  <si>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</si>
  <si>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</si>
  <si>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</si>
  <si>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</si>
  <si>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</si>
  <si>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</si>
  <si>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</si>
  <si>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</si>
  <si>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</si>
  <si>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</si>
  <si>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</si>
  <si>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</si>
  <si>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</si>
  <si>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</si>
  <si>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</si>
  <si>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</si>
  <si>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</si>
  <si>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</si>
  <si>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</si>
  <si>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</si>
  <si>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</si>
  <si>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</si>
  <si>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</si>
  <si>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</si>
  <si>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</si>
  <si>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</si>
  <si>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</si>
  <si>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</si>
  <si>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</si>
  <si>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</si>
  <si>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</si>
  <si>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</si>
  <si>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</si>
  <si>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</si>
  <si>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</si>
  <si>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</si>
  <si>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</si>
  <si>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</si>
  <si>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</si>
  <si>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</si>
  <si>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</si>
  <si>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</si>
  <si>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</si>
  <si>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</si>
  <si>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</si>
  <si>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</si>
  <si>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</si>
  <si>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</si>
  <si>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</si>
  <si>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</si>
  <si>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</si>
  <si>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</si>
  <si>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</si>
  <si>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</si>
  <si>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</si>
  <si>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</si>
  <si>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</si>
  <si>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</si>
  <si>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</si>
  <si>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</si>
  <si>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</si>
  <si>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</si>
  <si>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</si>
  <si>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</si>
  <si>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</si>
  <si>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</si>
  <si>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</si>
  <si>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</si>
  <si>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</si>
  <si>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</si>
  <si>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</si>
  <si>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</si>
  <si>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</si>
  <si>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</si>
  <si>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</si>
  <si>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</si>
  <si>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</si>
  <si>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</si>
  <si>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</si>
  <si>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</si>
  <si>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</si>
  <si>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</si>
  <si>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</si>
  <si>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</si>
  <si>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</si>
  <si>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</si>
  <si>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</si>
  <si>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</si>
  <si>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</si>
  <si>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</si>
  <si>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</si>
  <si>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</si>
  <si>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</si>
  <si>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</si>
  <si>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</si>
  <si>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</si>
  <si>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</si>
  <si>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</si>
  <si>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</si>
  <si>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</si>
  <si>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</si>
  <si>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</si>
  <si>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</si>
  <si>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</si>
  <si>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</si>
  <si>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</si>
  <si>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</si>
  <si>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</si>
  <si>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</si>
  <si>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</si>
  <si>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</si>
  <si>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</si>
  <si>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</si>
  <si>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</si>
  <si>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</si>
  <si>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</si>
  <si>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</si>
  <si>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</si>
  <si>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</si>
  <si>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</si>
  <si>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</si>
  <si>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</si>
  <si>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</si>
  <si>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</si>
  <si>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</si>
  <si>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</si>
  <si>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</si>
  <si>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</si>
  <si>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</si>
  <si>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</si>
  <si>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</si>
  <si>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</si>
  <si>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</si>
  <si>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</si>
  <si>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</si>
  <si>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</si>
  <si>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</si>
  <si>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</si>
  <si>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</si>
  <si>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</si>
  <si>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</si>
  <si>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</si>
  <si>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</si>
  <si>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</si>
  <si>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</si>
  <si>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</si>
  <si>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</si>
  <si>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</si>
  <si>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</si>
  <si>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</si>
  <si>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</si>
  <si>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</si>
  <si>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</si>
  <si>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</si>
  <si>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</si>
  <si>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</si>
  <si>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</si>
  <si>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</si>
  <si>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</si>
  <si>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</si>
  <si>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</si>
  <si>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</si>
  <si>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</si>
  <si>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</si>
  <si>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</si>
  <si>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</si>
  <si>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</si>
  <si>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</si>
  <si>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</si>
  <si>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</si>
  <si>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</si>
  <si>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</si>
  <si>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</si>
  <si>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</si>
  <si>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</si>
  <si>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</si>
  <si>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</si>
  <si>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</si>
  <si>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</si>
  <si>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</si>
  <si>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</si>
  <si>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</si>
  <si>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</si>
  <si>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</si>
  <si>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</si>
  <si>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</si>
  <si>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</si>
  <si>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</si>
  <si>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</si>
  <si>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</si>
  <si>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</si>
  <si>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</si>
  <si>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</si>
  <si>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</si>
  <si>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</si>
  <si>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</si>
  <si>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</si>
  <si>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</si>
  <si>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</si>
  <si>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</si>
  <si>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</si>
  <si>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</si>
  <si>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</si>
  <si>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</si>
  <si>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</si>
  <si>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</si>
  <si>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</si>
  <si>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</si>
  <si>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</si>
  <si>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</si>
  <si>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</si>
  <si>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</si>
  <si>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</si>
  <si>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</si>
  <si>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</si>
  <si>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</si>
  <si>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</si>
  <si>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</si>
  <si>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</si>
  <si>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</si>
  <si>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</si>
  <si>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</si>
  <si>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</si>
  <si>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</si>
  <si>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</si>
  <si>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</si>
  <si>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</si>
  <si>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</si>
  <si>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</si>
  <si>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</si>
  <si>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</si>
  <si>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</si>
  <si>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</si>
  <si>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</si>
  <si>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</si>
  <si>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</si>
  <si>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</si>
  <si>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</si>
  <si>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</si>
  <si>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</si>
  <si>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</si>
  <si>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</si>
  <si>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</si>
  <si>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</si>
  <si>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</si>
  <si>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</si>
  <si>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</si>
  <si>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</si>
  <si>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</si>
  <si>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</si>
  <si>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</si>
  <si>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</si>
  <si>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</si>
  <si>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</si>
  <si>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</si>
  <si>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</si>
  <si>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</si>
  <si>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</si>
  <si>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</si>
  <si>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</si>
  <si>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</si>
  <si>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</si>
  <si>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</si>
  <si>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</si>
  <si>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</si>
  <si>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</si>
  <si>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</si>
  <si>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</si>
  <si>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</si>
  <si>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</si>
  <si>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</si>
  <si>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</si>
  <si>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</si>
  <si>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</si>
  <si>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</si>
  <si>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</si>
  <si>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</si>
  <si>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</si>
  <si>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</si>
  <si>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</si>
  <si>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</si>
  <si>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</si>
  <si>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</si>
  <si>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</si>
  <si>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</si>
  <si>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</si>
  <si>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</si>
  <si>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</si>
  <si>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</si>
  <si>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</si>
  <si>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</si>
  <si>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</si>
  <si>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</si>
  <si>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</si>
  <si>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</si>
  <si>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</si>
  <si>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</si>
  <si>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</si>
  <si>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</si>
  <si>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</si>
  <si>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</si>
  <si>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</si>
  <si>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</si>
  <si>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</si>
  <si>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</si>
  <si>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</si>
  <si>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</si>
  <si>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</si>
  <si>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</si>
  <si>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</si>
  <si>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</si>
  <si>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</si>
  <si>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</si>
  <si>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</si>
  <si>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</si>
  <si>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</si>
  <si>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</si>
  <si>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</si>
  <si>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</si>
  <si>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</si>
  <si>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</si>
  <si>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</si>
  <si>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</si>
  <si>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</si>
  <si>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</si>
  <si>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</si>
  <si>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</si>
  <si>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</si>
  <si>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</si>
  <si>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</si>
  <si>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</si>
  <si>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</si>
  <si>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</si>
  <si>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</si>
  <si>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</si>
  <si>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</si>
  <si>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</si>
  <si>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</si>
  <si>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</si>
  <si>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</si>
  <si>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</si>
  <si>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</si>
  <si>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</si>
  <si>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</si>
  <si>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</si>
  <si>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</si>
  <si>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</si>
  <si>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</si>
  <si>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</si>
  <si>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</si>
  <si>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</si>
  <si>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</si>
  <si>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</si>
  <si>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</si>
  <si>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</si>
  <si>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</si>
  <si>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</si>
  <si>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</si>
  <si>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</si>
  <si>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</si>
  <si>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</si>
  <si>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</si>
  <si>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</si>
  <si>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</si>
  <si>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</si>
  <si>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</si>
  <si>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</si>
  <si>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</si>
  <si>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</si>
  <si>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</si>
  <si>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</si>
  <si>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</si>
  <si>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</si>
  <si>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</si>
  <si>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</si>
  <si>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</si>
  <si>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</si>
  <si>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</si>
  <si>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</si>
  <si>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</si>
  <si>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</si>
  <si>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</si>
  <si>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</si>
  <si>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</si>
  <si>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</si>
  <si>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</si>
  <si>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</si>
  <si>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</si>
  <si>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</si>
  <si>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</si>
  <si>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</si>
  <si>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</si>
  <si>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</si>
  <si>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</si>
  <si>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</si>
  <si>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</si>
  <si>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</si>
  <si>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</si>
  <si>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</si>
  <si>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</si>
  <si>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</si>
  <si>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</si>
  <si>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</si>
  <si>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</si>
  <si>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</si>
  <si>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</si>
  <si>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</si>
  <si>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</si>
  <si>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</si>
  <si>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</si>
  <si>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</si>
  <si>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</si>
  <si>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</si>
  <si>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</si>
  <si>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</si>
  <si>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</si>
  <si>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</si>
  <si>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</si>
  <si>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</si>
  <si>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</si>
  <si>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</si>
  <si>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</si>
  <si>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</si>
  <si>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</si>
  <si>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</si>
  <si>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</si>
  <si>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</si>
  <si>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</si>
  <si>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</si>
  <si>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</si>
  <si>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</si>
  <si>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</si>
  <si>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</si>
  <si>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</si>
  <si>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</si>
  <si>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</si>
  <si>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</si>
  <si>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</si>
  <si>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</si>
  <si>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</si>
  <si>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</si>
  <si>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</si>
  <si>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</si>
  <si>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</si>
  <si>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</si>
  <si>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</si>
  <si>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</si>
  <si>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</si>
  <si>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</si>
  <si>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</si>
  <si>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</si>
  <si>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</si>
  <si>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</si>
  <si>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</si>
  <si>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</si>
  <si>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</si>
  <si>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</si>
  <si>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</si>
  <si>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</si>
  <si>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</si>
  <si>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</si>
  <si>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</si>
  <si>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</si>
  <si>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</si>
  <si>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</si>
  <si>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</si>
  <si>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</si>
  <si>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</si>
  <si>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</si>
  <si>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</si>
  <si>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</si>
  <si>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</si>
  <si>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</si>
  <si>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</si>
  <si>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</si>
  <si>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</si>
  <si>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</si>
  <si>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</si>
  <si>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</si>
  <si>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</si>
  <si>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</si>
  <si>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</si>
  <si>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</si>
  <si>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</si>
  <si>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</si>
  <si>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</si>
  <si>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</si>
  <si>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</si>
  <si>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</si>
  <si>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</si>
  <si>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</si>
  <si>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</si>
  <si>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</si>
  <si>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</si>
  <si>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</si>
  <si>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</si>
  <si>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</si>
  <si>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</si>
  <si>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</si>
  <si>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</si>
  <si>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</si>
  <si>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</si>
  <si>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</si>
  <si>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</si>
  <si>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</si>
  <si>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</si>
  <si>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</si>
  <si>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</si>
  <si>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</si>
  <si>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</si>
  <si>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</si>
  <si>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</si>
  <si>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</si>
  <si>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</si>
  <si>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</si>
  <si>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</si>
  <si>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</si>
  <si>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</si>
  <si>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</si>
  <si>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</si>
  <si>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</si>
  <si>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</si>
  <si>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</si>
  <si>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</si>
  <si>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</si>
  <si>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</si>
  <si>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</si>
  <si>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</si>
  <si>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</si>
  <si>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</si>
  <si>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</si>
  <si>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</si>
  <si>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</si>
  <si>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</si>
  <si>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</si>
  <si>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</si>
  <si>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</si>
  <si>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</si>
  <si>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</si>
  <si>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</si>
  <si>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</si>
  <si>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</si>
  <si>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</si>
  <si>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</si>
  <si>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</si>
  <si>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</si>
  <si>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</si>
  <si>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</si>
  <si>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</si>
  <si>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</si>
  <si>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</si>
  <si>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</si>
  <si>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</si>
  <si>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</si>
  <si>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</si>
  <si>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</si>
  <si>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</si>
  <si>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</si>
  <si>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</si>
  <si>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</si>
  <si>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</si>
  <si>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</si>
  <si>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</si>
  <si>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</si>
  <si>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</si>
  <si>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</si>
  <si>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</si>
  <si>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</si>
  <si>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</si>
  <si>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</si>
  <si>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</si>
  <si>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</si>
  <si>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</si>
  <si>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</si>
  <si>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</si>
  <si>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</si>
  <si>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</si>
  <si>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</si>
  <si>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</si>
  <si>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</si>
  <si>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</si>
  <si>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</si>
  <si>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</si>
  <si>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</si>
  <si>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</si>
  <si>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</si>
  <si>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</si>
  <si>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</si>
  <si>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</si>
  <si>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</si>
  <si>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</si>
  <si>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</si>
  <si>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</si>
  <si>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</si>
  <si>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</si>
  <si>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</si>
  <si>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</si>
  <si>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</si>
  <si>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</si>
  <si>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</si>
  <si>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</si>
  <si>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</si>
  <si>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</si>
  <si>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</si>
  <si>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</si>
  <si>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</si>
  <si>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</si>
  <si>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</si>
  <si>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</si>
  <si>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</si>
  <si>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</si>
  <si>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</si>
  <si>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</si>
  <si>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</si>
  <si>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</si>
  <si>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</si>
  <si>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</si>
  <si>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</si>
  <si>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</si>
  <si>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</si>
  <si>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</si>
  <si>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</si>
  <si>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</si>
  <si>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</si>
  <si>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</si>
  <si>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</si>
  <si>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</si>
  <si>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</si>
  <si>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</si>
  <si>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</si>
  <si>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</si>
  <si>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</si>
  <si>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</si>
  <si>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</si>
  <si>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</si>
  <si>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</si>
  <si>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</si>
  <si>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</si>
  <si>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</si>
  <si>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</si>
  <si>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</si>
  <si>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</si>
  <si>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</si>
  <si>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</si>
  <si>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</si>
  <si>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</si>
  <si>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</si>
  <si>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</si>
  <si>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</si>
  <si>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</si>
  <si>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</si>
  <si>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</si>
  <si>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</si>
  <si>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</si>
  <si>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</si>
  <si>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</si>
  <si>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</si>
  <si>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</si>
  <si>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</si>
  <si>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</si>
  <si>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</si>
  <si>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</si>
  <si>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</si>
  <si>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</si>
  <si>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</si>
  <si>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</si>
  <si>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</si>
  <si>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</si>
  <si>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</si>
  <si>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</si>
  <si>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</si>
  <si>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</si>
  <si>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</si>
  <si>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</si>
  <si>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</si>
  <si>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</si>
  <si>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</si>
  <si>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</si>
  <si>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</si>
  <si>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</si>
  <si>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</si>
  <si>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</si>
  <si>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</si>
  <si>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</si>
  <si>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</si>
  <si>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</si>
  <si>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</si>
  <si>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</si>
  <si>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</si>
  <si>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</si>
  <si>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</si>
  <si>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</si>
  <si>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</si>
  <si>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</si>
  <si>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</si>
  <si>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</si>
  <si>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</si>
  <si>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</si>
  <si>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</si>
  <si>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</si>
  <si>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</si>
  <si>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</si>
  <si>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</si>
  <si>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</si>
  <si>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</si>
  <si>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</si>
  <si>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</si>
  <si>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</si>
  <si>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</si>
  <si>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</si>
  <si>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</si>
  <si>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</si>
  <si>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</si>
  <si>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</si>
  <si>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</si>
  <si>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</si>
  <si>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</si>
  <si>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</si>
  <si>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</si>
  <si>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</si>
  <si>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</si>
  <si>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</si>
  <si>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</si>
  <si>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</si>
  <si>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</si>
  <si>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</si>
  <si>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</si>
  <si>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</si>
  <si>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</si>
  <si>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</si>
  <si>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</si>
  <si>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</si>
  <si>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</si>
  <si>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</si>
  <si>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</si>
  <si>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</si>
  <si>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</si>
  <si>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</si>
  <si>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</si>
  <si>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</si>
  <si>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</si>
  <si>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</si>
  <si>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</si>
  <si>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</si>
  <si>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</si>
  <si>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</si>
  <si>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</si>
  <si>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</si>
  <si>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</si>
  <si>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</si>
  <si>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</si>
  <si>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</si>
  <si>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</si>
  <si>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</si>
  <si>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</si>
  <si>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</si>
  <si>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</si>
  <si>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</si>
  <si>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</si>
  <si>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</si>
  <si>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</si>
  <si>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</si>
  <si>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</si>
  <si>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</si>
  <si>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</si>
  <si>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</si>
  <si>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</si>
  <si>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</si>
  <si>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</si>
  <si>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</si>
  <si>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</si>
  <si>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</si>
  <si>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</si>
  <si>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</si>
  <si>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</si>
  <si>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</si>
  <si>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</si>
  <si>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</si>
  <si>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</si>
  <si>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</si>
  <si>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</si>
  <si>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</si>
  <si>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</si>
  <si>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</si>
  <si>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</si>
  <si>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</si>
  <si>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</si>
  <si>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</si>
  <si>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</si>
  <si>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</si>
  <si>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</si>
  <si>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</si>
  <si>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</si>
  <si>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</si>
  <si>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</si>
  <si>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</si>
  <si>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</si>
  <si>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</si>
  <si>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</si>
  <si>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</si>
  <si>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</si>
  <si>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</si>
  <si>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</si>
  <si>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</si>
  <si>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</si>
  <si>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</si>
  <si>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</si>
  <si>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</si>
  <si>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</si>
  <si>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</si>
  <si>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</si>
  <si>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</si>
  <si>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</si>
  <si>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</si>
  <si>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</si>
  <si>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</si>
  <si>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</si>
  <si>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</si>
  <si>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</si>
  <si>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</si>
  <si>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</si>
  <si>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</si>
  <si>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</si>
  <si>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</si>
  <si>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</si>
  <si>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</si>
  <si>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</si>
  <si>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</si>
  <si>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</si>
  <si>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</si>
  <si>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</si>
  <si>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</si>
  <si>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</si>
  <si>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</si>
  <si>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</si>
  <si>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</si>
  <si>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</si>
  <si>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</si>
  <si>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</si>
  <si>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</si>
  <si>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</si>
  <si>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</si>
  <si>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</si>
  <si>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</si>
  <si>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</si>
  <si>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</si>
  <si>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</si>
  <si>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</si>
  <si>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</si>
  <si>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</si>
  <si>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</si>
  <si>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</si>
  <si>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</si>
  <si>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</si>
  <si>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</si>
  <si>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</si>
  <si>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</si>
  <si>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</si>
  <si>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</si>
  <si>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</si>
  <si>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</si>
  <si>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</si>
  <si>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</si>
  <si>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</si>
  <si>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</si>
  <si>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</si>
  <si>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</si>
  <si>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</si>
  <si>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</si>
  <si>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</si>
  <si>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</si>
  <si>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</si>
  <si>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</si>
  <si>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</si>
  <si>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</si>
  <si>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</si>
  <si>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</si>
  <si>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</si>
  <si>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</si>
  <si>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</si>
  <si>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</si>
  <si>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</si>
  <si>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</si>
  <si>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</si>
  <si>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</si>
  <si>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</si>
  <si>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</si>
  <si>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</si>
  <si>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</si>
  <si>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</si>
  <si>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</si>
  <si>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</si>
  <si>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</si>
  <si>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</si>
  <si>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</si>
  <si>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</si>
  <si>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</si>
  <si>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</si>
  <si>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</si>
  <si>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</si>
  <si>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</si>
  <si>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</si>
  <si>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</si>
  <si>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</si>
  <si>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</si>
  <si>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</si>
  <si>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</si>
  <si>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</si>
  <si>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</si>
  <si>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</si>
  <si>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</si>
  <si>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</si>
  <si>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</si>
  <si>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</si>
  <si>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</si>
  <si>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</si>
  <si>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</si>
  <si>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</si>
  <si>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</si>
  <si>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</si>
  <si>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</si>
  <si>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</si>
  <si>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</si>
  <si>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</si>
  <si>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</si>
  <si>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</si>
  <si>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</si>
  <si>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</si>
  <si>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</si>
  <si>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</si>
  <si>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</si>
  <si>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</si>
  <si>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</si>
  <si>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</si>
  <si>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</si>
  <si>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</si>
  <si>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</si>
  <si>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</si>
  <si>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</si>
  <si>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</si>
  <si>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</si>
  <si>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</si>
  <si>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</si>
  <si>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</si>
  <si>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</si>
  <si>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</si>
  <si>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</si>
  <si>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</si>
  <si>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</si>
  <si>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</si>
  <si>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</si>
  <si>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</si>
  <si>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</si>
  <si>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</si>
  <si>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</si>
  <si>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</si>
  <si>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</si>
  <si>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</si>
  <si>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</si>
  <si>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</si>
  <si>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</si>
  <si>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</si>
  <si>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</si>
  <si>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</si>
  <si>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</si>
  <si>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</si>
  <si>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</si>
  <si>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</si>
  <si>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</si>
  <si>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</si>
  <si>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</si>
  <si>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</si>
  <si>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</si>
  <si>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</si>
  <si>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</si>
  <si>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</si>
  <si>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</si>
  <si>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</si>
  <si>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</si>
  <si>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</si>
  <si>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</si>
  <si>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</si>
  <si>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</si>
  <si>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</si>
  <si>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</si>
  <si>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</si>
  <si>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</si>
  <si>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</si>
  <si>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</si>
  <si>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</si>
  <si>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</si>
  <si>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</si>
  <si>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</si>
  <si>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</si>
  <si>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</si>
  <si>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</si>
  <si>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</si>
  <si>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</si>
  <si>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</si>
  <si>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</si>
  <si>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</si>
  <si>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</si>
  <si>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</si>
  <si>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</si>
  <si>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</si>
  <si>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</si>
  <si>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</si>
  <si>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</si>
  <si>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</si>
  <si>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</si>
  <si>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</si>
  <si>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</si>
  <si>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</si>
  <si>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</si>
  <si>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</si>
  <si>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</si>
  <si>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</si>
  <si>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</si>
  <si>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</si>
  <si>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</si>
  <si>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</si>
  <si>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</si>
  <si>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</si>
  <si>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</si>
  <si>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</si>
  <si>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</si>
  <si>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</si>
  <si>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</si>
  <si>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</si>
  <si>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</si>
  <si>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</si>
  <si>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</si>
  <si>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</si>
  <si>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</si>
  <si>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</si>
  <si>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</si>
  <si>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</si>
  <si>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</si>
  <si>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</si>
  <si>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</si>
  <si>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</si>
  <si>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</si>
  <si>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</si>
  <si>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</si>
  <si>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</si>
  <si>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</si>
  <si>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</si>
  <si>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</si>
  <si>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</si>
  <si>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</si>
  <si>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</si>
  <si>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</si>
  <si>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</si>
  <si>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</si>
  <si>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</si>
  <si>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</si>
  <si>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</si>
  <si>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</si>
  <si>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</si>
  <si>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</si>
  <si>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</si>
  <si>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</si>
  <si>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</si>
  <si>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</si>
  <si>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</si>
  <si>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</si>
  <si>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</si>
  <si>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</si>
  <si>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</si>
  <si>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</si>
  <si>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</si>
  <si>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</si>
  <si>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</si>
  <si>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</si>
  <si>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</si>
  <si>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</si>
  <si>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</si>
  <si>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</si>
  <si>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</si>
  <si>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</si>
  <si>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</si>
  <si>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</si>
  <si>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</si>
  <si>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</si>
  <si>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</si>
  <si>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</si>
  <si>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</si>
  <si>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</si>
  <si>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</si>
  <si>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</si>
  <si>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</si>
  <si>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</si>
  <si>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</si>
  <si>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</si>
  <si>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</si>
  <si>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</si>
  <si>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</si>
  <si>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</si>
  <si>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</si>
  <si>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</si>
  <si>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</si>
  <si>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</si>
  <si>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</si>
  <si>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</si>
  <si>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</si>
  <si>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</si>
  <si>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</si>
  <si>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</si>
  <si>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</si>
  <si>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</si>
  <si>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</si>
  <si>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</si>
  <si>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</si>
  <si>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</si>
  <si>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</si>
  <si>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</si>
  <si>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</si>
  <si>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</si>
  <si>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</si>
  <si>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</si>
  <si>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</si>
  <si>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</si>
  <si>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</si>
  <si>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</si>
  <si>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</si>
  <si>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</si>
  <si>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</si>
  <si>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</si>
  <si>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</si>
  <si>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</si>
  <si>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</si>
  <si>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</si>
  <si>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</si>
  <si>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</si>
  <si>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</si>
  <si>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</si>
  <si>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</si>
  <si>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</si>
  <si>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</si>
  <si>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</si>
  <si>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</si>
  <si>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</si>
  <si>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</si>
  <si>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</si>
  <si>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</si>
  <si>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</si>
  <si>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</si>
  <si>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</si>
  <si>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</si>
  <si>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</si>
  <si>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</si>
  <si>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</si>
  <si>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</si>
  <si>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</si>
  <si>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</si>
  <si>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</si>
  <si>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</si>
  <si>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</si>
  <si>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</si>
  <si>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</si>
  <si>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</si>
  <si>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</si>
  <si>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</si>
  <si>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</si>
  <si>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</si>
  <si>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</si>
  <si>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</si>
  <si>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</si>
  <si>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</si>
  <si>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</si>
  <si>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</si>
  <si>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</si>
  <si>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</si>
  <si>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</si>
  <si>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</si>
  <si>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</si>
  <si>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</si>
  <si>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</si>
  <si>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</si>
  <si>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</si>
  <si>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</si>
  <si>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</si>
  <si>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</si>
  <si>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</si>
  <si>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</si>
  <si>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</si>
  <si>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</si>
  <si>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</si>
  <si>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</si>
  <si>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</si>
  <si>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</si>
  <si>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</si>
  <si>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</si>
  <si>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</si>
  <si>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</si>
  <si>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</si>
  <si>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</si>
  <si>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</si>
  <si>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</si>
  <si>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</si>
  <si>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</si>
  <si>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</si>
  <si>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</si>
  <si>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</si>
  <si>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</si>
  <si>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</si>
  <si>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</si>
  <si>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</si>
  <si>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</si>
  <si>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</si>
  <si>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</si>
  <si>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</si>
  <si>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</si>
  <si>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</si>
  <si>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</si>
  <si>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</si>
  <si>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</si>
  <si>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</si>
  <si>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</si>
  <si>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</si>
  <si>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</si>
  <si>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</si>
  <si>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</si>
  <si>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</si>
  <si>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</si>
  <si>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</si>
  <si>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</si>
  <si>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</si>
  <si>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</si>
  <si>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</si>
  <si>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</si>
  <si>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</si>
  <si>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</si>
  <si>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</si>
  <si>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</si>
  <si>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</si>
  <si>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</si>
  <si>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</si>
  <si>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</si>
  <si>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</si>
  <si>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</si>
  <si>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</si>
  <si>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</si>
  <si>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</si>
  <si>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</si>
  <si>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</si>
  <si>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</si>
  <si>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</si>
  <si>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</si>
  <si>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</si>
  <si>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</si>
  <si>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</si>
  <si>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</si>
  <si>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</si>
  <si>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</si>
  <si>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</si>
  <si>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</si>
  <si>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</si>
  <si>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</si>
  <si>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</si>
  <si>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</si>
  <si>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</si>
  <si>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</si>
  <si>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</si>
  <si>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</si>
  <si>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</si>
  <si>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</si>
  <si>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</si>
  <si>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</si>
  <si>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</si>
  <si>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</si>
  <si>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</si>
  <si>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</si>
  <si>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</si>
  <si>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</si>
  <si>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</si>
  <si>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</si>
  <si>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</si>
  <si>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</si>
  <si>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</si>
  <si>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</si>
  <si>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</si>
  <si>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</si>
  <si>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</si>
  <si>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</si>
  <si>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</si>
  <si>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</si>
  <si>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</si>
  <si>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</si>
  <si>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</si>
  <si>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</si>
  <si>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</si>
  <si>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</si>
  <si>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</si>
  <si>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</si>
  <si>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</si>
  <si>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</si>
  <si>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</si>
  <si>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</si>
  <si>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</si>
  <si>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</si>
  <si>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</si>
  <si>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</si>
  <si>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</si>
  <si>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</si>
  <si>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</si>
  <si>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</si>
  <si>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</si>
  <si>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</si>
  <si>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</si>
  <si>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</si>
  <si>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</si>
  <si>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</si>
  <si>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</si>
  <si>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</si>
  <si>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</si>
  <si>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</si>
  <si>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</si>
  <si>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</si>
  <si>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</si>
  <si>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</si>
  <si>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</si>
  <si>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</si>
  <si>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</si>
  <si>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</si>
  <si>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</si>
  <si>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</si>
  <si>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</si>
  <si>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</si>
  <si>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</si>
  <si>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</si>
  <si>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</si>
  <si>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</si>
  <si>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</si>
  <si>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</si>
  <si>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</si>
  <si>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</si>
  <si>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</si>
  <si>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</si>
  <si>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</si>
  <si>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</si>
  <si>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</si>
  <si>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</si>
  <si>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</si>
  <si>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</si>
  <si>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</si>
  <si>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</si>
  <si>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</si>
  <si>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</si>
  <si>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</si>
  <si>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</si>
  <si>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</si>
  <si>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</si>
  <si>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</si>
  <si>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</si>
  <si>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</si>
  <si>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</si>
  <si>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</si>
  <si>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</si>
  <si>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</si>
  <si>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</si>
  <si>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</si>
  <si>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</si>
  <si>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</si>
  <si>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</si>
  <si>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</si>
  <si>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</si>
  <si>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</si>
  <si>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</si>
  <si>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</si>
  <si>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</si>
  <si>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</si>
  <si>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</si>
  <si>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</si>
  <si>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</si>
  <si>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</si>
  <si>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</si>
  <si>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</si>
  <si>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</si>
  <si>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</si>
  <si>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</si>
  <si>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</si>
  <si>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</si>
  <si>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</si>
  <si>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</si>
  <si>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</si>
  <si>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</si>
  <si>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</si>
  <si>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</si>
  <si>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</si>
  <si>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</si>
  <si>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</si>
  <si>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</si>
  <si>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</si>
  <si>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</si>
  <si>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</si>
  <si>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</si>
  <si>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</si>
  <si>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</si>
  <si>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</si>
  <si>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</si>
  <si>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</si>
  <si>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</si>
  <si>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</si>
  <si>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</si>
  <si>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</si>
  <si>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</si>
  <si>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</si>
  <si>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</si>
  <si>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</si>
  <si>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</si>
  <si>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</si>
  <si>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</si>
  <si>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</si>
  <si>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</si>
  <si>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</si>
  <si>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</si>
  <si>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</si>
  <si>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</si>
  <si>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</si>
  <si>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</si>
  <si>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</si>
  <si>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</si>
  <si>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</si>
  <si>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</si>
  <si>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</si>
  <si>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</si>
  <si>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</si>
  <si>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</si>
  <si>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</si>
  <si>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</si>
  <si>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</si>
  <si>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</si>
  <si>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</si>
  <si>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</si>
  <si>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</si>
  <si>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</si>
  <si>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</si>
  <si>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</si>
  <si>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</si>
  <si>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</si>
  <si>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</si>
  <si>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</si>
  <si>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</si>
  <si>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</si>
  <si>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</si>
  <si>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</si>
  <si>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</si>
  <si>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</si>
  <si>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</si>
  <si>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</si>
  <si>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</si>
  <si>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</si>
  <si>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</si>
  <si>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</si>
  <si>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</si>
  <si>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</si>
  <si>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</si>
  <si>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</si>
  <si>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</si>
  <si>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</si>
  <si>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</si>
  <si>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</si>
  <si>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</si>
  <si>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</si>
  <si>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</si>
  <si>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</si>
  <si>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</si>
  <si>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</si>
  <si>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</si>
  <si>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</si>
  <si>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</si>
  <si>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</si>
  <si>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</si>
  <si>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</si>
  <si>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</si>
  <si>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</si>
  <si>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</si>
  <si>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</si>
  <si>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</si>
  <si>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</si>
  <si>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</si>
  <si>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</si>
  <si>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</si>
  <si>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</si>
  <si>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</si>
  <si>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</si>
  <si>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</si>
  <si>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</si>
  <si>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</si>
  <si>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</si>
  <si>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</si>
  <si>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</si>
  <si>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</si>
  <si>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</si>
  <si>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</si>
  <si>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</si>
  <si>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</si>
  <si>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</si>
  <si>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</si>
  <si>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</si>
  <si>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</si>
  <si>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</si>
  <si>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</si>
  <si>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</si>
  <si>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</si>
  <si>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</si>
  <si>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</si>
  <si>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</si>
  <si>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</si>
  <si>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</si>
  <si>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</si>
  <si>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</si>
  <si>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</si>
  <si>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</si>
  <si>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</si>
  <si>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</si>
  <si>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</si>
  <si>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</si>
  <si>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</si>
  <si>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</si>
  <si>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</si>
  <si>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</si>
  <si>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</si>
  <si>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</si>
  <si>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</si>
  <si>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</si>
  <si>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</si>
  <si>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</si>
  <si>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</si>
  <si>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</si>
  <si>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</si>
  <si>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</si>
  <si>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</si>
  <si>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</si>
  <si>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</si>
  <si>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</si>
  <si>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</si>
  <si>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</si>
  <si>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</si>
  <si>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</si>
  <si>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</si>
  <si>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</si>
  <si>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</si>
  <si>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</si>
  <si>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</si>
  <si>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</si>
  <si>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</si>
  <si>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</si>
  <si>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</si>
  <si>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</si>
  <si>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</si>
  <si>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</si>
  <si>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</si>
  <si>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</si>
  <si>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</si>
  <si>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</si>
  <si>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</si>
  <si>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</si>
  <si>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</si>
  <si>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</si>
  <si>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</si>
  <si>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</si>
  <si>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</si>
  <si>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</si>
  <si>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</si>
  <si>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</si>
  <si>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</si>
  <si>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</si>
  <si>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</si>
  <si>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</si>
  <si>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</si>
  <si>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</si>
  <si>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</si>
  <si>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</si>
  <si>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</si>
  <si>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</si>
  <si>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</si>
  <si>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</si>
  <si>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</si>
  <si>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</si>
  <si>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</si>
  <si>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</si>
  <si>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</si>
  <si>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</si>
  <si>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</si>
  <si>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</si>
  <si>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</si>
  <si>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</si>
  <si>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</si>
  <si>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</si>
  <si>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</si>
  <si>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</si>
  <si>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</si>
  <si>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</si>
  <si>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</si>
  <si>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</si>
  <si>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</si>
  <si>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</si>
  <si>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</si>
  <si>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</si>
  <si>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</si>
  <si>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</si>
  <si>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</si>
  <si>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</si>
  <si>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</si>
  <si>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</si>
  <si>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</si>
  <si>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</si>
  <si>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</si>
  <si>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</si>
  <si>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</si>
  <si>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</si>
  <si>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</si>
  <si>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</si>
  <si>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</si>
  <si>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</si>
  <si>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</si>
  <si>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</si>
  <si>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</si>
  <si>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</si>
  <si>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</si>
  <si>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</si>
  <si>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</si>
  <si>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</si>
  <si>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</si>
  <si>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</si>
  <si>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</si>
  <si>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</si>
  <si>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</si>
  <si>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</si>
  <si>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</si>
  <si>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</si>
  <si>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</si>
  <si>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</si>
  <si>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</si>
  <si>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</si>
  <si>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</si>
  <si>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</si>
  <si>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</si>
  <si>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</si>
  <si>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</si>
  <si>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</si>
  <si>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</si>
  <si>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</si>
  <si>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</si>
  <si>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</si>
  <si>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</si>
  <si>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</si>
  <si>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</si>
  <si>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</si>
  <si>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</si>
  <si>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</si>
  <si>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</si>
  <si>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</si>
  <si>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</si>
  <si>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</si>
  <si>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</si>
  <si>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</si>
  <si>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</si>
  <si>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</si>
  <si>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</si>
  <si>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</si>
  <si>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</si>
  <si>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</si>
  <si>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</si>
  <si>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</si>
  <si>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</si>
  <si>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</si>
  <si>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</si>
  <si>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</si>
  <si>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</si>
  <si>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</si>
  <si>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</si>
  <si>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</si>
  <si>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</si>
  <si>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</si>
  <si>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</si>
  <si>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</si>
  <si>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</si>
  <si>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</si>
  <si>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</si>
  <si>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</si>
  <si>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</si>
  <si>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</si>
  <si>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</si>
  <si>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</si>
  <si>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</si>
  <si>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</si>
  <si>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</si>
  <si>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</si>
  <si>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</si>
  <si>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</si>
  <si>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</si>
  <si>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</si>
  <si>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</si>
  <si>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</si>
  <si>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</si>
  <si>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</si>
  <si>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</si>
  <si>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</si>
  <si>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</si>
  <si>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</si>
  <si>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</si>
  <si>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</si>
  <si>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</si>
  <si>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</si>
  <si>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</si>
  <si>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</si>
  <si>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</si>
  <si>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</si>
  <si>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</si>
  <si>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</si>
  <si>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</si>
  <si>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</si>
  <si>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</si>
  <si>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</si>
  <si>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</si>
  <si>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</si>
  <si>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</si>
  <si>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</si>
  <si>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</si>
  <si>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</si>
  <si>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</si>
  <si>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</si>
  <si>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</si>
  <si>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</si>
  <si>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</si>
  <si>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</si>
  <si>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</si>
  <si>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</si>
  <si>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</si>
  <si>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</si>
  <si>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</si>
  <si>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</si>
  <si>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</si>
  <si>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</si>
  <si>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</si>
  <si>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</si>
  <si>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</si>
  <si>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</si>
  <si>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</si>
  <si>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</si>
  <si>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</si>
  <si>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</si>
  <si>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</si>
  <si>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</si>
  <si>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</si>
  <si>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</si>
  <si>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</si>
  <si>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</si>
  <si>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</si>
  <si>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</si>
  <si>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</si>
  <si>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</si>
  <si>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</si>
  <si>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</si>
  <si>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</si>
  <si>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</si>
  <si>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</si>
  <si>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</si>
  <si>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</si>
  <si>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</si>
  <si>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</si>
  <si>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</si>
  <si>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</si>
  <si>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</si>
  <si>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</si>
  <si>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</si>
  <si>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</si>
  <si>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</si>
  <si>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</si>
  <si>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</si>
  <si>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</si>
  <si>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</si>
  <si>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</si>
  <si>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</si>
  <si>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</si>
  <si>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</si>
  <si>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</si>
  <si>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</si>
  <si>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</si>
  <si>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</si>
  <si>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</si>
  <si>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</si>
  <si>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</si>
  <si>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</si>
  <si>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</si>
  <si>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</si>
  <si>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</si>
  <si>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</si>
  <si>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</si>
  <si>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</si>
  <si>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</si>
  <si>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</si>
  <si>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</si>
  <si>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</si>
  <si>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</si>
  <si>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</si>
  <si>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</si>
  <si>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</si>
  <si>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</si>
  <si>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</si>
  <si>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</si>
  <si>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</si>
  <si>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</si>
  <si>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</si>
  <si>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</si>
  <si>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</si>
  <si>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</si>
  <si>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</si>
  <si>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</si>
  <si>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</si>
  <si>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</si>
  <si>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</si>
  <si>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</si>
  <si>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</si>
  <si>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</si>
  <si>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</si>
  <si>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</si>
  <si>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</si>
  <si>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</si>
  <si>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</si>
  <si>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</si>
  <si>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</si>
  <si>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</si>
  <si>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</si>
  <si>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</si>
  <si>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</si>
  <si>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</si>
  <si>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</si>
  <si>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</si>
  <si>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</si>
  <si>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</si>
  <si>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</si>
  <si>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</si>
  <si>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</si>
  <si>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</si>
  <si>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</si>
  <si>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</si>
  <si>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</si>
  <si>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</si>
  <si>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</si>
  <si>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</si>
  <si>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</si>
  <si>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</si>
  <si>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</si>
  <si>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</si>
  <si>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</si>
  <si>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</si>
  <si>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</si>
  <si>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</si>
  <si>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</si>
  <si>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</si>
  <si>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</si>
  <si>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</si>
  <si>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</si>
  <si>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</si>
  <si>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</si>
  <si>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</si>
  <si>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</si>
  <si>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</si>
  <si>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</si>
  <si>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</si>
  <si>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</si>
  <si>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</si>
  <si>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</si>
  <si>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</si>
  <si>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</si>
  <si>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</si>
  <si>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</si>
  <si>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</si>
  <si>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</si>
  <si>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</si>
  <si>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</si>
  <si>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</si>
  <si>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</si>
  <si>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</si>
  <si>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</si>
  <si>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</si>
  <si>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</si>
  <si>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</si>
  <si>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</si>
  <si>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</si>
  <si>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</si>
  <si>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</si>
  <si>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</si>
  <si>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</si>
  <si>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</si>
  <si>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</si>
  <si>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</si>
  <si>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</si>
  <si>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</si>
  <si>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</si>
  <si>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</si>
  <si>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</si>
  <si>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</si>
  <si>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</si>
  <si>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</si>
  <si>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</si>
  <si>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</si>
  <si>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</si>
  <si>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</si>
  <si>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</si>
  <si>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</si>
  <si>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</si>
  <si>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</si>
  <si>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</si>
  <si>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</si>
  <si>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</si>
  <si>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</si>
  <si>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</si>
  <si>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</si>
  <si>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</si>
  <si>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</si>
  <si>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</si>
  <si>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</si>
  <si>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</si>
  <si>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</si>
  <si>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</si>
  <si>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</si>
  <si>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</si>
  <si>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</si>
  <si>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</si>
  <si>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</si>
  <si>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</si>
  <si>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</si>
  <si>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</si>
  <si>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</si>
  <si>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</si>
  <si>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</si>
  <si>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</si>
  <si>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</si>
  <si>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</si>
  <si>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</si>
  <si>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</si>
  <si>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</si>
  <si>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</si>
  <si>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</si>
  <si>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</si>
  <si>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</si>
  <si>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</si>
  <si>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</si>
  <si>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</si>
  <si>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</si>
  <si>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</si>
  <si>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</si>
  <si>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</si>
  <si>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</si>
  <si>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</si>
  <si>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</si>
  <si>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</si>
  <si>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</si>
  <si>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</si>
  <si>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</si>
  <si>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</si>
  <si>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</si>
  <si>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</si>
  <si>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</si>
  <si>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</si>
  <si>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</si>
  <si>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</si>
  <si>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</si>
  <si>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</si>
  <si>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</si>
  <si>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</si>
  <si>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</si>
  <si>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</si>
  <si>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</si>
  <si>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</si>
  <si>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</si>
  <si>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</si>
  <si>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</si>
  <si>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</si>
  <si>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</si>
  <si>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</si>
  <si>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</si>
  <si>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</si>
  <si>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</si>
  <si>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</si>
  <si>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</si>
  <si>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</si>
  <si>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</si>
  <si>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</si>
  <si>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</si>
  <si>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</si>
  <si>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</si>
  <si>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</si>
  <si>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</si>
  <si>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</si>
  <si>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</si>
  <si>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</si>
  <si>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</si>
  <si>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</si>
  <si>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</si>
  <si>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</si>
  <si>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</si>
  <si>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</si>
  <si>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</si>
  <si>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</si>
  <si>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</si>
  <si>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</si>
  <si>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</si>
  <si>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</si>
  <si>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</si>
  <si>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</si>
  <si>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</si>
  <si>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</si>
  <si>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</si>
  <si>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</si>
  <si>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</si>
  <si>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</si>
  <si>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</si>
  <si>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</si>
  <si>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</si>
  <si>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</si>
  <si>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</si>
  <si>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</si>
  <si>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</si>
  <si>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</si>
  <si>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</si>
  <si>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</si>
  <si>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</si>
  <si>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</si>
  <si>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</si>
  <si>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</si>
  <si>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</si>
  <si>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</si>
  <si>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</si>
  <si>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</si>
  <si>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</si>
  <si>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</si>
  <si>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</si>
  <si>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</si>
  <si>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</si>
  <si>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</si>
  <si>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</si>
  <si>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</si>
  <si>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</si>
  <si>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</si>
  <si>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</si>
  <si>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</si>
  <si>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</si>
  <si>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</si>
  <si>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</si>
  <si>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</si>
  <si>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</si>
  <si>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</si>
  <si>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</si>
  <si>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</si>
  <si>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</si>
  <si>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</si>
  <si>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</si>
  <si>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</si>
  <si>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</si>
  <si>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</si>
  <si>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</si>
  <si>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</si>
  <si>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</si>
  <si>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</si>
  <si>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</si>
  <si>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</si>
  <si>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</si>
  <si>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</si>
  <si>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</si>
  <si>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</si>
  <si>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</si>
  <si>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</si>
  <si>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</si>
  <si>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</si>
  <si>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</si>
  <si>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</si>
  <si>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</si>
  <si>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</si>
  <si>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</si>
  <si>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</si>
  <si>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</si>
  <si>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</si>
  <si>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</si>
  <si>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</si>
  <si>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</si>
  <si>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</si>
  <si>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</si>
  <si>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</si>
  <si>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</si>
  <si>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</si>
  <si>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</si>
  <si>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</si>
  <si>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</si>
  <si>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</si>
  <si>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</si>
  <si>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</si>
  <si>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</si>
  <si>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</si>
  <si>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</si>
  <si>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</si>
  <si>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</si>
  <si>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</si>
  <si>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</si>
  <si>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</si>
  <si>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</si>
  <si>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</si>
  <si>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</si>
  <si>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</si>
  <si>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</si>
  <si>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</si>
  <si>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</si>
  <si>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</si>
  <si>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</si>
  <si>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</si>
  <si>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</si>
  <si>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</si>
  <si>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</si>
  <si>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</si>
  <si>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</si>
  <si>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</si>
  <si>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</si>
  <si>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</si>
  <si>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</si>
  <si>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</si>
  <si>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</si>
  <si>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</si>
  <si>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</si>
  <si>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</si>
  <si>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</si>
  <si>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</si>
  <si>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</si>
  <si>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</si>
  <si>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</si>
  <si>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</si>
  <si>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</si>
  <si>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</si>
  <si>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</si>
  <si>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</si>
  <si>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</si>
  <si>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</si>
  <si>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</si>
  <si>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</si>
  <si>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</si>
  <si>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</si>
  <si>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</si>
  <si>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</si>
  <si>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</si>
  <si>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</si>
  <si>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</si>
  <si>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</si>
  <si>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</si>
  <si>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</si>
  <si>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</si>
  <si>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</si>
  <si>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</si>
  <si>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</si>
  <si>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</si>
  <si>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</si>
  <si>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</si>
  <si>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</si>
  <si>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</si>
  <si>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</si>
  <si>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</si>
  <si>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</si>
  <si>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</si>
  <si>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</si>
  <si>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</si>
  <si>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</si>
  <si>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</si>
  <si>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</si>
  <si>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</si>
  <si>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</si>
  <si>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</si>
  <si>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</si>
  <si>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</si>
  <si>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</si>
  <si>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</si>
  <si>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</si>
  <si>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</si>
  <si>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</si>
  <si>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</si>
  <si>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</si>
  <si>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</si>
  <si>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</si>
  <si>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</si>
  <si>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</si>
  <si>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</si>
  <si>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</si>
  <si>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</si>
  <si>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</si>
  <si>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核定资产</t>
  </si>
  <si>
    <t>房地产市场价值</t>
  </si>
  <si>
    <t>北京市</t>
  </si>
  <si>
    <t>企业</t>
  </si>
  <si>
    <t>地上</t>
  </si>
  <si>
    <t>公共服务</t>
  </si>
  <si>
    <t>是</t>
  </si>
  <si>
    <t>Ⅴ-通1</t>
  </si>
  <si>
    <t>与级别开发程度不一致</t>
  </si>
  <si>
    <t>通上水</t>
  </si>
  <si>
    <t>通下水</t>
  </si>
  <si>
    <t>通路</t>
  </si>
  <si>
    <t>通电</t>
  </si>
  <si>
    <t>通讯</t>
  </si>
  <si>
    <t>平整</t>
  </si>
  <si>
    <t>中心城区以外</t>
  </si>
  <si>
    <t>自定义容积率</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</si>
  <si>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</si>
  <si>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</si>
  <si>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</si>
  <si>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</si>
  <si>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</si>
  <si>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</si>
  <si>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</si>
  <si>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</si>
  <si>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27</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</si>
  <si>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</si>
  <si>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</si>
  <si>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</si>
  <si>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</si>
  <si>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</si>
  <si>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</si>
  <si>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</si>
  <si>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</si>
  <si>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</si>
  <si>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</si>
  <si>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</si>
  <si>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</si>
  <si>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</si>
  <si>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</si>
  <si>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</si>
  <si>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</si>
  <si>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</si>
  <si>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</si>
  <si>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</si>
  <si>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</si>
  <si>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</si>
  <si>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</si>
  <si>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</si>
  <si>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</si>
  <si>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</si>
  <si>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</si>
  <si>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</si>
  <si>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</si>
  <si>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</si>
  <si>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</si>
  <si>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</si>
  <si>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</si>
  <si>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</si>
  <si>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</si>
  <si>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</si>
  <si>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</si>
  <si>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</si>
  <si>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</si>
  <si>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</si>
  <si>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</si>
  <si>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</si>
  <si>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</si>
  <si>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</si>
  <si>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</si>
  <si>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</si>
  <si>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</si>
  <si>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</si>
  <si>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</si>
  <si>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</si>
  <si>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</si>
  <si>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</si>
  <si>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</si>
  <si>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</si>
  <si>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</si>
  <si>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</si>
  <si>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</si>
  <si>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</si>
  <si>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</si>
  <si>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</si>
  <si>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</si>
  <si>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</si>
  <si>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</si>
  <si>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</si>
  <si>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</si>
  <si>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</si>
  <si>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</si>
  <si>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</si>
  <si>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</si>
  <si>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</si>
  <si>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</si>
  <si>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</si>
  <si>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</si>
  <si>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</si>
  <si>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</si>
  <si>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</si>
  <si>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</si>
  <si>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</si>
  <si>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</si>
  <si>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</si>
  <si>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</si>
  <si>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</si>
  <si>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</si>
  <si>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</si>
  <si>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</si>
  <si>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</si>
  <si>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</si>
  <si>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</si>
  <si>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</si>
  <si>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</si>
  <si>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</si>
  <si>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</si>
  <si>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</si>
  <si>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</si>
  <si>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</si>
  <si>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</si>
  <si>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</si>
  <si>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</si>
  <si>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</si>
  <si>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</si>
  <si>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</si>
  <si>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</si>
  <si>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</si>
  <si>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</si>
  <si>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</si>
  <si>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</si>
  <si>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</si>
  <si>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</si>
  <si>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</si>
  <si>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</si>
  <si>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</si>
  <si>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</si>
  <si>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</si>
  <si>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</si>
  <si>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</si>
  <si>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</si>
  <si>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</si>
  <si>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未包含在土地购买价格中</t>
  </si>
  <si>
    <t>已包含在土地取得成本中</t>
  </si>
  <si>
    <t>出让</t>
  </si>
  <si>
    <t>公服</t>
  </si>
  <si>
    <t>公服</t>
    <phoneticPr fontId="8" type="noConversion"/>
  </si>
  <si>
    <t>成新度</t>
  </si>
  <si>
    <t>全部缴纳</t>
  </si>
  <si>
    <t>利息：取LPR加浮动点数</t>
  </si>
  <si>
    <t>押一</t>
  </si>
  <si>
    <t>钢混</t>
  </si>
  <si>
    <t>非生产用房</t>
  </si>
  <si>
    <t>基准地价</t>
  </si>
  <si>
    <t>修缮费</t>
    <phoneticPr fontId="135" type="noConversion"/>
  </si>
  <si>
    <t>中心城区</t>
  </si>
  <si>
    <t>工业</t>
    <phoneticPr fontId="8" type="noConversion"/>
  </si>
  <si>
    <t>楼盘名称</t>
  </si>
  <si>
    <t>户型:</t>
  </si>
  <si>
    <t>面积（平方米）</t>
    <phoneticPr fontId="135" type="noConversion"/>
  </si>
  <si>
    <t>楼层</t>
  </si>
  <si>
    <t>成交总价（万元）</t>
    <phoneticPr fontId="135" type="noConversion"/>
  </si>
  <si>
    <t>单价（元/平方米）</t>
    <phoneticPr fontId="135" type="noConversion"/>
  </si>
  <si>
    <t>周期</t>
    <phoneticPr fontId="135" type="noConversion"/>
  </si>
  <si>
    <t>成交时间</t>
    <phoneticPr fontId="135" type="noConversion"/>
  </si>
  <si>
    <t>金隅自由筑</t>
  </si>
  <si>
    <t>1-1-1-1</t>
  </si>
  <si>
    <t>5/7</t>
    <phoneticPr fontId="135" type="noConversion"/>
  </si>
  <si>
    <t>42天</t>
  </si>
  <si>
    <t>1.1-1.4平层</t>
    <phoneticPr fontId="135" type="noConversion"/>
  </si>
  <si>
    <t>2-1-1-1</t>
  </si>
  <si>
    <t>7/7</t>
    <phoneticPr fontId="135" type="noConversion"/>
  </si>
  <si>
    <t>30天</t>
  </si>
  <si>
    <t>2-1-1-2</t>
  </si>
  <si>
    <t>4/9</t>
    <phoneticPr fontId="135" type="noConversion"/>
  </si>
  <si>
    <t>132天</t>
  </si>
  <si>
    <t>2/7</t>
    <phoneticPr fontId="135" type="noConversion"/>
  </si>
  <si>
    <t>49天</t>
  </si>
  <si>
    <t>1-0-1-1</t>
  </si>
  <si>
    <t>8天</t>
  </si>
  <si>
    <t>4/7</t>
    <phoneticPr fontId="135" type="noConversion"/>
  </si>
  <si>
    <t>122天</t>
  </si>
  <si>
    <t>1-1-1-2</t>
  </si>
  <si>
    <t>6/7</t>
    <phoneticPr fontId="135" type="noConversion"/>
  </si>
  <si>
    <t>92天</t>
  </si>
  <si>
    <t>3/7</t>
    <phoneticPr fontId="135" type="noConversion"/>
  </si>
  <si>
    <t>63天</t>
  </si>
  <si>
    <t>1/7</t>
    <phoneticPr fontId="135" type="noConversion"/>
  </si>
  <si>
    <t>26天</t>
  </si>
  <si>
    <t>20天</t>
  </si>
  <si>
    <t>36天</t>
  </si>
  <si>
    <t>金隅目由筑</t>
  </si>
  <si>
    <t>19天</t>
  </si>
  <si>
    <t>2/9</t>
    <phoneticPr fontId="135" type="noConversion"/>
  </si>
  <si>
    <t>237天</t>
  </si>
  <si>
    <t>6天</t>
  </si>
  <si>
    <t>3天</t>
  </si>
  <si>
    <t>159天</t>
  </si>
  <si>
    <t>248天</t>
  </si>
  <si>
    <t>53天</t>
  </si>
  <si>
    <t>149天</t>
  </si>
  <si>
    <t>226天</t>
  </si>
  <si>
    <t>14天</t>
  </si>
  <si>
    <t>96天</t>
  </si>
  <si>
    <t>1-1-0-2</t>
  </si>
  <si>
    <t>13天</t>
  </si>
  <si>
    <t>9天</t>
  </si>
  <si>
    <t>1-0-0-0</t>
  </si>
  <si>
    <t>楼层</t>
    <phoneticPr fontId="135" type="noConversion"/>
  </si>
  <si>
    <t>朝向</t>
  </si>
  <si>
    <t>成交金额（元/月）</t>
    <phoneticPr fontId="135" type="noConversion"/>
  </si>
  <si>
    <t>成交金额（元/天）</t>
    <phoneticPr fontId="135" type="noConversion"/>
  </si>
  <si>
    <t>成交时间/周期</t>
  </si>
  <si>
    <t>办公立项住宅</t>
    <phoneticPr fontId="135" type="noConversion"/>
  </si>
  <si>
    <t>买一送一</t>
    <phoneticPr fontId="135" type="noConversion"/>
  </si>
  <si>
    <t>河和居</t>
  </si>
  <si>
    <t>2-1-0-2</t>
  </si>
  <si>
    <t>高/22</t>
  </si>
  <si>
    <t>西北</t>
  </si>
  <si>
    <t>2023-06-20/15天</t>
  </si>
  <si>
    <t>Loft</t>
    <phoneticPr fontId="135" type="noConversion"/>
  </si>
  <si>
    <t>2-2-0-2</t>
  </si>
  <si>
    <t>中/22</t>
  </si>
  <si>
    <t>东南</t>
  </si>
  <si>
    <t>2023-07-02/54天</t>
  </si>
  <si>
    <t>平</t>
    <phoneticPr fontId="135" type="noConversion"/>
  </si>
  <si>
    <t>东/南</t>
  </si>
  <si>
    <t>2023-05-12/10天</t>
  </si>
  <si>
    <t>南</t>
  </si>
  <si>
    <t>2023-04-22/13天</t>
  </si>
  <si>
    <t>2023-04-16/15天</t>
  </si>
  <si>
    <t>2023-06-04/65天</t>
  </si>
  <si>
    <t>低/22</t>
  </si>
  <si>
    <t>2023-03-17/21天</t>
  </si>
  <si>
    <t>东北</t>
  </si>
  <si>
    <t>2023-02-20/61天</t>
  </si>
  <si>
    <t>2023-02-10/65天</t>
  </si>
  <si>
    <t>东/东南</t>
  </si>
  <si>
    <t>2022-03-23/12天</t>
  </si>
  <si>
    <t>2-1-0-1</t>
  </si>
  <si>
    <t>2022-03-22/21天</t>
  </si>
  <si>
    <t>2022-11-17/263天</t>
  </si>
  <si>
    <t>2-2-1-1</t>
  </si>
  <si>
    <t>东/北</t>
  </si>
  <si>
    <t>2022-02-27/4天</t>
  </si>
  <si>
    <t>2022-02-12/6天</t>
  </si>
  <si>
    <t>1-1-0-1</t>
  </si>
  <si>
    <t>2022-01-22/2天</t>
  </si>
  <si>
    <t>2021-10-26/5天</t>
  </si>
  <si>
    <t>金隅自由筑</t>
    <phoneticPr fontId="135" type="noConversion"/>
  </si>
  <si>
    <t>低/7</t>
  </si>
  <si>
    <t>东</t>
  </si>
  <si>
    <t>2023-06-29/7天</t>
  </si>
  <si>
    <t>2元以上loft</t>
    <phoneticPr fontId="135" type="noConversion"/>
  </si>
  <si>
    <t>高/7</t>
  </si>
  <si>
    <t>西</t>
  </si>
  <si>
    <t>2023-06-24/6天</t>
  </si>
  <si>
    <t>1.5左右平层</t>
    <phoneticPr fontId="135" type="noConversion"/>
  </si>
  <si>
    <t>中/7</t>
  </si>
  <si>
    <t>2023-06-27/11天</t>
  </si>
  <si>
    <t>2023-06-14/2天</t>
  </si>
  <si>
    <t>2023-06-01/3天</t>
  </si>
  <si>
    <t>2023-06-10/12天</t>
  </si>
  <si>
    <t>2023-06-29/36天</t>
  </si>
  <si>
    <t>2023-06-27/34天</t>
  </si>
  <si>
    <t>2023-06-09/16天</t>
  </si>
  <si>
    <t>2023-05-22/1天</t>
  </si>
  <si>
    <t>2023-05-23/4天</t>
  </si>
  <si>
    <t>2023-05-31/11天</t>
  </si>
  <si>
    <t>2023-06-17/30天</t>
  </si>
  <si>
    <t>低/47</t>
  </si>
  <si>
    <t>2023-05-28/15天</t>
  </si>
  <si>
    <t>2023-05-13/1天</t>
  </si>
  <si>
    <t>2023-05-25/16天</t>
  </si>
  <si>
    <t>2023-05-11/2天</t>
  </si>
  <si>
    <t>2023-06-01/30天</t>
  </si>
  <si>
    <t>西/北</t>
  </si>
  <si>
    <t>2023-05-07/5天</t>
  </si>
  <si>
    <t>2023-04-21/1天</t>
  </si>
  <si>
    <t>2023-05-11/23天</t>
  </si>
  <si>
    <t>2023-05-08/24天</t>
  </si>
  <si>
    <t>2023-04-25/12天</t>
  </si>
  <si>
    <t>2023-05-06/23天</t>
  </si>
  <si>
    <t>3-1-1-1</t>
  </si>
  <si>
    <t>2023-05-02/22天</t>
  </si>
  <si>
    <t>2023-04-24/15天</t>
  </si>
  <si>
    <t>2023-05-24/45天</t>
  </si>
  <si>
    <t>2023-04-28/26天</t>
  </si>
  <si>
    <t>2023-03-28/2天</t>
  </si>
  <si>
    <t>2023-05-05/41天</t>
  </si>
  <si>
    <t>2023-03-17/13天</t>
  </si>
  <si>
    <t>2023-04-23/51天</t>
  </si>
  <si>
    <t>2023-04-12/40天</t>
  </si>
  <si>
    <t>1-0-1-2</t>
  </si>
  <si>
    <t>2023-04-29/60天</t>
  </si>
  <si>
    <t>2023-03-29/29天</t>
  </si>
  <si>
    <t>西/东</t>
  </si>
  <si>
    <t>2023-06-02/96天</t>
  </si>
  <si>
    <t>2023-03-04/7天</t>
  </si>
  <si>
    <t>2023-03-17/23天</t>
  </si>
  <si>
    <t>2023-02-22/10天</t>
  </si>
  <si>
    <t>2023-02-17/9天</t>
  </si>
  <si>
    <t>2023-04-22/75天</t>
  </si>
  <si>
    <t>2023-03-02/24天</t>
  </si>
  <si>
    <t>2023-04-20/74天</t>
  </si>
  <si>
    <t>2023-03-15/38天</t>
  </si>
  <si>
    <t>中/9</t>
  </si>
  <si>
    <t>2023-02-23/37天</t>
  </si>
  <si>
    <t>2023-02-03/23天</t>
  </si>
  <si>
    <t>楼号或幢号</t>
    <phoneticPr fontId="135" type="noConversion"/>
  </si>
  <si>
    <t>结构</t>
    <phoneticPr fontId="135" type="noConversion"/>
  </si>
  <si>
    <t>建成年份</t>
    <phoneticPr fontId="135" type="noConversion"/>
  </si>
  <si>
    <t>建筑面积</t>
    <phoneticPr fontId="135" type="noConversion"/>
  </si>
  <si>
    <t>砖木</t>
    <phoneticPr fontId="135" type="noConversion"/>
  </si>
  <si>
    <r>
      <t>1</t>
    </r>
    <r>
      <rPr>
        <sz val="11"/>
        <color theme="1"/>
        <rFont val="宋体"/>
        <family val="3"/>
        <charset val="134"/>
        <scheme val="minor"/>
      </rPr>
      <t>949年前</t>
    </r>
    <phoneticPr fontId="135" type="noConversion"/>
  </si>
  <si>
    <t>混合</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</si>
</sst>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C0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39997558519241921"/>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9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96" fillId="0" borderId="0" xfId="10">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6" fillId="0" borderId="0" xfId="10" applyAlignment="1"/>
    <xf numFmtId="0" fontId="96" fillId="0" borderId="0" xfId="10" applyAlignment="1">
      <alignment vertical="center" wrapText="1"/>
    </xf>
    <xf numFmtId="49" fontId="111" fillId="0" borderId="1" xfId="10" applyNumberFormat="1" applyFont="1" applyBorder="1" applyAlignment="1">
      <alignment horizontal="center" vertical="center" wrapText="1" shrinkToFit="1"/>
    </xf>
    <xf numFmtId="0" fontId="111" fillId="0" borderId="1" xfId="10" applyFont="1" applyBorder="1" applyAlignment="1">
      <alignment vertical="center" wrapText="1" shrinkToFit="1"/>
    </xf>
    <xf numFmtId="0" fontId="111" fillId="0" borderId="1" xfId="10"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0" fontId="108" fillId="0" borderId="0" xfId="10" applyFont="1" applyAlignment="1">
      <alignment wrapText="1"/>
    </xf>
    <xf numFmtId="0" fontId="111" fillId="0" borderId="1" xfId="10" applyFont="1" applyBorder="1" applyAlignment="1">
      <alignment horizontal="left" vertical="center" wrapText="1" shrinkToFit="1"/>
    </xf>
    <xf numFmtId="179" fontId="111" fillId="0" borderId="1" xfId="10" applyNumberFormat="1" applyFont="1" applyBorder="1" applyAlignment="1">
      <alignment horizontal="center" vertical="center" wrapText="1" shrinkToFit="1"/>
    </xf>
    <xf numFmtId="9" fontId="111"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shrinkToFit="1"/>
    </xf>
    <xf numFmtId="0" fontId="111"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6" fillId="0" borderId="0" xfId="10" applyAlignment="1">
      <alignment vertical="center" wrapText="1" shrinkToFit="1"/>
    </xf>
    <xf numFmtId="179" fontId="111" fillId="0" borderId="0" xfId="10" applyNumberFormat="1" applyFont="1" applyAlignment="1">
      <alignment horizontal="center" vertical="center"/>
    </xf>
    <xf numFmtId="0" fontId="108" fillId="0" borderId="1" xfId="10" applyFont="1" applyBorder="1" applyAlignment="1">
      <alignment vertical="center" wrapText="1"/>
    </xf>
    <xf numFmtId="0" fontId="108" fillId="0" borderId="1" xfId="10" applyFont="1" applyBorder="1" applyAlignment="1">
      <alignment horizontal="center" vertical="center" wrapText="1"/>
    </xf>
    <xf numFmtId="9" fontId="108" fillId="0" borderId="1" xfId="10" applyNumberFormat="1" applyFont="1" applyBorder="1" applyAlignment="1">
      <alignment horizontal="center" vertical="center" wrapText="1"/>
    </xf>
    <xf numFmtId="179" fontId="247" fillId="0" borderId="0" xfId="10" applyNumberFormat="1" applyFont="1">
      <alignment vertical="center"/>
    </xf>
    <xf numFmtId="10" fontId="108" fillId="0" borderId="1" xfId="10" applyNumberFormat="1" applyFont="1" applyBorder="1" applyAlignment="1">
      <alignment horizontal="center" vertical="center" wrapText="1"/>
    </xf>
    <xf numFmtId="9" fontId="108" fillId="22" borderId="1" xfId="10" applyNumberFormat="1" applyFont="1" applyFill="1" applyBorder="1" applyAlignment="1">
      <alignment horizontal="center" vertical="center" wrapText="1"/>
    </xf>
    <xf numFmtId="10" fontId="113" fillId="0" borderId="1" xfId="10" applyNumberFormat="1" applyFont="1" applyBorder="1" applyAlignment="1">
      <alignment horizontal="center" vertical="center" wrapText="1"/>
    </xf>
    <xf numFmtId="0" fontId="108" fillId="0" borderId="1" xfId="10" applyFont="1" applyBorder="1" applyAlignment="1">
      <alignment wrapText="1"/>
    </xf>
    <xf numFmtId="0" fontId="123" fillId="0" borderId="0" xfId="1" applyFont="1" applyAlignment="1" applyProtection="1">
      <alignment horizontal="left" vertical="center"/>
      <protection hidden="1"/>
    </xf>
    <xf numFmtId="179" fontId="247" fillId="0" borderId="0" xfId="10" applyNumberFormat="1" applyFont="1" applyAlignment="1">
      <alignment vertical="center" wrapText="1" shrinkToFit="1"/>
    </xf>
    <xf numFmtId="181" fontId="111" fillId="0" borderId="0" xfId="10" applyNumberFormat="1" applyFont="1" applyAlignment="1">
      <alignment horizontal="center" vertical="center"/>
    </xf>
    <xf numFmtId="179" fontId="96" fillId="0" borderId="0" xfId="10" applyNumberFormat="1">
      <alignment vertical="center"/>
    </xf>
    <xf numFmtId="49" fontId="111" fillId="0" borderId="13" xfId="10" applyNumberFormat="1" applyFont="1" applyBorder="1" applyAlignment="1">
      <alignment horizontal="center" vertical="center" wrapText="1" shrinkToFit="1"/>
    </xf>
    <xf numFmtId="0" fontId="111" fillId="0" borderId="13" xfId="10" applyFont="1" applyBorder="1" applyAlignment="1">
      <alignment vertical="center" wrapText="1" shrinkToFi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180" fontId="111" fillId="0" borderId="54" xfId="10" applyNumberFormat="1" applyFont="1" applyBorder="1" applyAlignment="1">
      <alignment horizontal="center" vertical="center" wrapText="1" shrinkToFit="1"/>
    </xf>
    <xf numFmtId="0" fontId="111" fillId="0" borderId="3" xfId="10" applyFont="1" applyBorder="1" applyAlignment="1">
      <alignment horizontal="left" vertical="center" wrapText="1" shrinkToFit="1"/>
    </xf>
    <xf numFmtId="10" fontId="111" fillId="0" borderId="1" xfId="10" applyNumberFormat="1" applyFont="1" applyBorder="1" applyAlignment="1">
      <alignment horizontal="center" vertical="center" wrapText="1" shrinkToFit="1"/>
    </xf>
    <xf numFmtId="9" fontId="111" fillId="0" borderId="0" xfId="10" applyNumberFormat="1" applyFont="1" applyAlignment="1">
      <alignment horizontal="center" vertical="center"/>
    </xf>
    <xf numFmtId="49" fontId="111" fillId="0" borderId="54" xfId="10" applyNumberFormat="1" applyFont="1" applyBorder="1" applyAlignment="1">
      <alignment horizontal="center" vertical="center" wrapText="1" shrinkToFit="1"/>
    </xf>
    <xf numFmtId="10" fontId="112" fillId="0" borderId="0" xfId="10" applyNumberFormat="1" applyFont="1" applyAlignment="1">
      <alignment horizontal="center" vertical="center"/>
    </xf>
    <xf numFmtId="0" fontId="277" fillId="0" borderId="0" xfId="10" applyFont="1">
      <alignment vertical="center"/>
    </xf>
    <xf numFmtId="182" fontId="111" fillId="0" borderId="0" xfId="10" applyNumberFormat="1" applyFont="1" applyAlignment="1">
      <alignment horizontal="center" vertical="center"/>
    </xf>
    <xf numFmtId="10" fontId="111" fillId="0" borderId="0" xfId="10" applyNumberFormat="1" applyFont="1" applyAlignment="1">
      <alignment horizontal="center" vertical="center"/>
    </xf>
    <xf numFmtId="0" fontId="96" fillId="0" borderId="0" xfId="10" applyAlignment="1">
      <alignment horizontal="left" vertical="center" wrapText="1"/>
    </xf>
    <xf numFmtId="0" fontId="96" fillId="0" borderId="0" xfId="10" applyAlignment="1">
      <alignment horizontal="center" vertical="center" wrapText="1"/>
    </xf>
    <xf numFmtId="0" fontId="247" fillId="0" borderId="0" xfId="10" applyFont="1" applyAlignment="1">
      <alignment horizontal="center" vertical="center" wrapText="1"/>
    </xf>
    <xf numFmtId="0" fontId="247" fillId="0" borderId="0" xfId="10" applyFont="1" applyAlignment="1">
      <alignment vertical="center" wrapText="1"/>
    </xf>
    <xf numFmtId="0" fontId="135" fillId="0" borderId="1" xfId="10" applyFont="1" applyBorder="1" applyAlignment="1">
      <alignment horizontal="center" vertical="center" wrapText="1"/>
    </xf>
    <xf numFmtId="9" fontId="135" fillId="0" borderId="1" xfId="10" applyNumberFormat="1" applyFont="1" applyBorder="1" applyAlignment="1">
      <alignment horizontal="center" vertical="center" wrapText="1"/>
    </xf>
    <xf numFmtId="178" fontId="135"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7" fillId="0" borderId="1" xfId="10" applyFont="1" applyBorder="1" applyAlignment="1">
      <alignment horizontal="center" vertical="center" wrapText="1"/>
    </xf>
    <xf numFmtId="0" fontId="247" fillId="0" borderId="0" xfId="10" applyFont="1" applyAlignment="1">
      <alignment horizontal="left" vertical="center" wrapText="1"/>
    </xf>
    <xf numFmtId="179" fontId="247" fillId="0" borderId="0" xfId="10" applyNumberFormat="1" applyFont="1" applyAlignment="1">
      <alignmen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179" fontId="53" fillId="24" borderId="24" xfId="0" applyNumberFormat="1" applyFont="1" applyFill="1" applyBorder="1" applyAlignment="1" applyProtection="1">
      <alignment horizontal="center" vertical="center"/>
    </xf>
    <xf numFmtId="0" fontId="283" fillId="0" borderId="0" xfId="10" applyFont="1" applyAlignment="1">
      <alignment horizontal="center" vertical="center"/>
    </xf>
    <xf numFmtId="0" fontId="283" fillId="24" borderId="0" xfId="10" applyFont="1" applyFill="1" applyAlignment="1">
      <alignment horizontal="center" vertical="center"/>
    </xf>
    <xf numFmtId="9" fontId="270" fillId="5" borderId="1" xfId="10" applyNumberFormat="1" applyFont="1" applyFill="1" applyBorder="1" applyAlignment="1">
      <alignment horizontal="center" vertical="center" wrapText="1"/>
    </xf>
    <xf numFmtId="0" fontId="247" fillId="5" borderId="0" xfId="10" applyFont="1" applyFill="1" applyAlignment="1">
      <alignment horizontal="center" vertical="center" wrapText="1"/>
    </xf>
    <xf numFmtId="0" fontId="1" fillId="0" borderId="0" xfId="19" applyAlignment="1">
      <alignment horizontal="center"/>
    </xf>
    <xf numFmtId="49" fontId="1" fillId="0" borderId="0" xfId="19" applyNumberFormat="1" applyAlignment="1">
      <alignment horizontal="center"/>
    </xf>
    <xf numFmtId="14" fontId="1" fillId="0" borderId="0" xfId="19" applyNumberFormat="1" applyAlignment="1">
      <alignment horizontal="center"/>
    </xf>
    <xf numFmtId="0" fontId="1" fillId="5" borderId="0" xfId="19" applyFill="1" applyAlignment="1">
      <alignment horizontal="center"/>
    </xf>
    <xf numFmtId="180" fontId="48" fillId="0" borderId="1" xfId="0" applyNumberFormat="1" applyFont="1" applyBorder="1" applyAlignment="1" applyProtection="1">
      <alignment horizontal="center" vertical="center" wrapText="1"/>
      <protection locked="0"/>
    </xf>
    <xf numFmtId="196" fontId="47" fillId="6" borderId="13" xfId="0" applyNumberFormat="1" applyFont="1" applyFill="1" applyBorder="1" applyAlignment="1" applyProtection="1">
      <alignment vertical="center"/>
    </xf>
    <xf numFmtId="196" fontId="45" fillId="6" borderId="1" xfId="0" applyNumberFormat="1" applyFont="1" applyFill="1" applyBorder="1" applyAlignment="1" applyProtection="1">
      <alignment vertical="center"/>
    </xf>
    <xf numFmtId="196" fontId="45" fillId="6" borderId="13" xfId="0" applyNumberFormat="1" applyFont="1" applyFill="1" applyBorder="1" applyAlignment="1" applyProtection="1">
      <alignment vertical="center"/>
    </xf>
    <xf numFmtId="187" fontId="48" fillId="6" borderId="1" xfId="0" applyNumberFormat="1" applyFont="1" applyFill="1" applyBorder="1" applyAlignment="1" applyProtection="1">
      <alignment horizontal="center" vertical="center" wrapText="1"/>
    </xf>
    <xf numFmtId="187" fontId="48" fillId="6" borderId="13" xfId="0" applyNumberFormat="1" applyFont="1" applyFill="1" applyBorder="1" applyAlignment="1" applyProtection="1">
      <alignment horizontal="center" vertical="center" wrapText="1"/>
    </xf>
    <xf numFmtId="9" fontId="111" fillId="17" borderId="1" xfId="10" applyNumberFormat="1" applyFont="1" applyFill="1" applyBorder="1" applyAlignment="1">
      <alignment horizontal="center" vertical="center" wrapText="1" shrinkToFit="1"/>
    </xf>
    <xf numFmtId="181" fontId="48" fillId="17" borderId="1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96" fillId="0" borderId="1" xfId="0" applyFont="1" applyBorder="1" applyAlignment="1">
      <alignment horizontal="center" vertical="center"/>
    </xf>
    <xf numFmtId="0" fontId="0" fillId="0" borderId="1" xfId="0" applyBorder="1" applyAlignment="1">
      <alignment horizontal="center" vertical="center"/>
    </xf>
    <xf numFmtId="0" fontId="111" fillId="25" borderId="5" xfId="10" applyFont="1" applyFill="1" applyBorder="1" applyAlignment="1">
      <alignment horizontal="right" vertical="center" wrapText="1" shrinkToFi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10" fontId="111" fillId="17" borderId="1" xfId="10" applyNumberFormat="1" applyFont="1" applyFill="1" applyBorder="1" applyAlignment="1">
      <alignment horizontal="center" vertical="center" wrapText="1" shrinkToFi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0" fontId="111" fillId="0" borderId="3" xfId="10" applyFont="1" applyBorder="1" applyAlignment="1">
      <alignment horizontal="center" vertical="center" wrapText="1" shrinkToFit="1"/>
    </xf>
    <xf numFmtId="0" fontId="111" fillId="0" borderId="1" xfId="10" applyFont="1" applyBorder="1" applyAlignment="1">
      <alignment horizontal="center" vertical="center" wrapText="1" shrinkToFit="1"/>
    </xf>
    <xf numFmtId="178" fontId="135"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5" fillId="0" borderId="1" xfId="10" applyFont="1" applyBorder="1" applyAlignment="1">
      <alignment horizontal="center" vertical="center" wrapText="1"/>
    </xf>
    <xf numFmtId="179" fontId="135" fillId="0" borderId="1" xfId="10" applyNumberFormat="1" applyFont="1" applyBorder="1" applyAlignment="1">
      <alignment horizontal="center" vertical="center" wrapText="1"/>
    </xf>
    <xf numFmtId="0" fontId="111" fillId="0" borderId="1" xfId="10" applyFont="1" applyBorder="1" applyAlignment="1">
      <alignment horizontal="left" vertical="center" wrapText="1" shrinkToFit="1"/>
    </xf>
    <xf numFmtId="179" fontId="111" fillId="0" borderId="46" xfId="10" applyNumberFormat="1" applyFont="1" applyBorder="1" applyAlignment="1">
      <alignment horizontal="center" vertical="center" wrapText="1" shrinkToFit="1"/>
    </xf>
    <xf numFmtId="179" fontId="111" fillId="0" borderId="36" xfId="10" applyNumberFormat="1" applyFont="1" applyBorder="1" applyAlignment="1">
      <alignment horizontal="center" vertical="center" wrapText="1" shrinkToFit="1"/>
    </xf>
    <xf numFmtId="179" fontId="111" fillId="0" borderId="22" xfId="10" applyNumberFormat="1" applyFont="1" applyBorder="1" applyAlignment="1">
      <alignment horizontal="center" vertical="center" wrapText="1" shrinkToFit="1"/>
    </xf>
    <xf numFmtId="179" fontId="111" fillId="0" borderId="4" xfId="10" applyNumberFormat="1" applyFont="1" applyBorder="1" applyAlignment="1">
      <alignment horizontal="center" vertical="center" wrapText="1" shrinkToFit="1"/>
    </xf>
    <xf numFmtId="179" fontId="111" fillId="0" borderId="60" xfId="10" applyNumberFormat="1" applyFont="1" applyBorder="1" applyAlignment="1">
      <alignment horizontal="center" vertical="center" wrapText="1" shrinkToFit="1"/>
    </xf>
    <xf numFmtId="179" fontId="111" fillId="0" borderId="7" xfId="10" applyNumberFormat="1" applyFont="1" applyBorder="1" applyAlignment="1">
      <alignment horizontal="center" vertical="center" wrapText="1" shrinkToFit="1"/>
    </xf>
    <xf numFmtId="0" fontId="111" fillId="0" borderId="5" xfId="10" applyFont="1" applyBorder="1" applyAlignment="1">
      <alignment horizontal="right" vertical="center" wrapText="1" shrinkToFit="1"/>
    </xf>
    <xf numFmtId="0" fontId="111" fillId="0" borderId="54" xfId="10" applyFont="1" applyBorder="1" applyAlignment="1">
      <alignment horizontal="right" vertical="center" wrapText="1" shrinkToFit="1"/>
    </xf>
    <xf numFmtId="10" fontId="111" fillId="0" borderId="54" xfId="10" applyNumberFormat="1" applyFont="1" applyBorder="1" applyAlignment="1">
      <alignment horizontal="left" vertical="center" wrapText="1" shrinkToFit="1"/>
    </xf>
    <xf numFmtId="10" fontId="111" fillId="0" borderId="3" xfId="10" applyNumberFormat="1" applyFont="1" applyBorder="1" applyAlignment="1">
      <alignment horizontal="left" vertical="center" wrapText="1" shrinkToFit="1"/>
    </xf>
    <xf numFmtId="10" fontId="111" fillId="0" borderId="1" xfId="10" applyNumberFormat="1" applyFont="1" applyBorder="1" applyAlignment="1">
      <alignment horizontal="center" vertical="center" wrapText="1" shrinkToFit="1"/>
    </xf>
    <xf numFmtId="182" fontId="111" fillId="17" borderId="1" xfId="10" applyNumberFormat="1" applyFont="1" applyFill="1" applyBorder="1" applyAlignment="1">
      <alignment horizontal="center" vertical="center" wrapText="1" shrinkToFit="1"/>
    </xf>
    <xf numFmtId="9" fontId="111" fillId="0" borderId="13" xfId="10" applyNumberFormat="1" applyFont="1" applyBorder="1" applyAlignment="1">
      <alignment horizontal="left" vertical="center" wrapText="1" shrinkToFit="1"/>
    </xf>
    <xf numFmtId="9" fontId="111" fillId="0" borderId="2" xfId="10" applyNumberFormat="1" applyFont="1" applyBorder="1" applyAlignment="1">
      <alignment horizontal="left" vertical="center" wrapText="1" shrinkToFit="1"/>
    </xf>
    <xf numFmtId="9" fontId="111" fillId="0" borderId="1" xfId="10" applyNumberFormat="1" applyFont="1" applyBorder="1" applyAlignment="1">
      <alignment horizontal="center" vertical="center" wrapText="1" shrinkToFit="1"/>
    </xf>
    <xf numFmtId="0" fontId="111" fillId="0" borderId="54" xfId="10" applyFont="1" applyBorder="1" applyAlignment="1">
      <alignment horizontal="left" vertical="center" wrapText="1" shrinkToFit="1"/>
    </xf>
    <xf numFmtId="0" fontId="111" fillId="0" borderId="3" xfId="10" applyFont="1" applyBorder="1" applyAlignment="1">
      <alignment horizontal="left" vertical="center" wrapText="1" shrinkToFit="1"/>
    </xf>
    <xf numFmtId="181" fontId="111" fillId="0" borderId="1" xfId="10" applyNumberFormat="1" applyFont="1" applyBorder="1" applyAlignment="1">
      <alignment horizontal="center" vertical="center" wrapText="1" shrinkToFit="1"/>
    </xf>
    <xf numFmtId="186" fontId="111" fillId="0" borderId="5" xfId="10" applyNumberFormat="1" applyFont="1" applyBorder="1" applyAlignment="1">
      <alignment horizontal="right" vertical="center" wrapText="1" shrinkToFit="1"/>
    </xf>
    <xf numFmtId="186" fontId="111" fillId="0" borderId="54" xfId="10" applyNumberFormat="1" applyFont="1" applyBorder="1" applyAlignment="1">
      <alignment horizontal="right" vertical="center" wrapText="1" shrinkToFit="1"/>
    </xf>
    <xf numFmtId="0" fontId="113" fillId="0" borderId="0" xfId="10" applyFont="1" applyAlignment="1">
      <alignment horizontal="center" vertical="center" wrapText="1"/>
    </xf>
    <xf numFmtId="0" fontId="96" fillId="0" borderId="1" xfId="10" applyBorder="1" applyAlignment="1">
      <alignment horizontal="center" vertical="center" wrapText="1"/>
    </xf>
    <xf numFmtId="0" fontId="111" fillId="25" borderId="46" xfId="10" applyFont="1" applyFill="1" applyBorder="1" applyAlignment="1">
      <alignment horizontal="center" vertical="center" wrapText="1" shrinkToFit="1"/>
    </xf>
    <xf numFmtId="0" fontId="111" fillId="25" borderId="36" xfId="10" applyFont="1" applyFill="1" applyBorder="1" applyAlignment="1">
      <alignment horizontal="center" vertical="center" wrapText="1" shrinkToFit="1"/>
    </xf>
    <xf numFmtId="0" fontId="111" fillId="25" borderId="22" xfId="10" applyFont="1" applyFill="1" applyBorder="1" applyAlignment="1">
      <alignment horizontal="center" vertical="center" wrapText="1" shrinkToFit="1"/>
    </xf>
    <xf numFmtId="0" fontId="111" fillId="25" borderId="58" xfId="10" applyFont="1" applyFill="1" applyBorder="1" applyAlignment="1">
      <alignment horizontal="center" vertical="center" wrapText="1" shrinkToFit="1"/>
    </xf>
    <xf numFmtId="0" fontId="111" fillId="25" borderId="0" xfId="10" applyFont="1" applyFill="1" applyAlignment="1">
      <alignment horizontal="center" vertical="center" wrapText="1" shrinkToFit="1"/>
    </xf>
    <xf numFmtId="0" fontId="111" fillId="25" borderId="35" xfId="10" applyFont="1" applyFill="1" applyBorder="1" applyAlignment="1">
      <alignment horizontal="center" vertical="center" wrapText="1" shrinkToFit="1"/>
    </xf>
    <xf numFmtId="0" fontId="111" fillId="25" borderId="4" xfId="10" applyFont="1" applyFill="1" applyBorder="1" applyAlignment="1">
      <alignment horizontal="center" vertical="center" wrapText="1" shrinkToFit="1"/>
    </xf>
    <xf numFmtId="0" fontId="111" fillId="25" borderId="60" xfId="10" applyFont="1" applyFill="1" applyBorder="1" applyAlignment="1">
      <alignment horizontal="center" vertical="center" wrapText="1" shrinkToFit="1"/>
    </xf>
    <xf numFmtId="0" fontId="111" fillId="25" borderId="7" xfId="10" applyFont="1" applyFill="1" applyBorder="1" applyAlignment="1">
      <alignment horizontal="center" vertical="center" wrapText="1" shrinkToFit="1"/>
    </xf>
    <xf numFmtId="0" fontId="96" fillId="0" borderId="1" xfId="10" applyBorder="1" applyAlignment="1">
      <alignment horizontal="center" vertical="center" wrapText="1" shrinkToFi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0" fillId="0" borderId="1" xfId="0"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984DBFAF-C0AA-408E-B834-1A5EF2ABA6B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9</xdr:col>
      <xdr:colOff>399243</xdr:colOff>
      <xdr:row>16</xdr:row>
      <xdr:rowOff>28229</xdr:rowOff>
    </xdr:to>
    <xdr:pic>
      <xdr:nvPicPr>
        <xdr:cNvPr id="2" name="图片 1">
          <a:extLst>
            <a:ext uri="{FF2B5EF4-FFF2-40B4-BE49-F238E27FC236}">
              <a16:creationId xmlns:a16="http://schemas.microsoft.com/office/drawing/2014/main" id="{1315F27A-70D4-4B75-9C08-B4D67D717875}"/>
            </a:ext>
          </a:extLst>
        </xdr:cNvPr>
        <xdr:cNvPicPr>
          <a:picLocks noChangeAspect="1"/>
        </xdr:cNvPicPr>
      </xdr:nvPicPr>
      <xdr:blipFill>
        <a:blip xmlns:r="http://schemas.openxmlformats.org/officeDocument/2006/relationships" r:embed="rId1"/>
        <a:stretch>
          <a:fillRect/>
        </a:stretch>
      </xdr:blipFill>
      <xdr:spPr>
        <a:xfrm>
          <a:off x="114300" y="0"/>
          <a:ext cx="6457143" cy="2771429"/>
        </a:xfrm>
        <a:prstGeom prst="rect">
          <a:avLst/>
        </a:prstGeom>
      </xdr:spPr>
    </xdr:pic>
    <xdr:clientData/>
  </xdr:twoCellAnchor>
  <xdr:twoCellAnchor editAs="oneCell">
    <xdr:from>
      <xdr:col>0</xdr:col>
      <xdr:colOff>0</xdr:colOff>
      <xdr:row>16</xdr:row>
      <xdr:rowOff>9525</xdr:rowOff>
    </xdr:from>
    <xdr:to>
      <xdr:col>8</xdr:col>
      <xdr:colOff>256457</xdr:colOff>
      <xdr:row>41</xdr:row>
      <xdr:rowOff>8989</xdr:rowOff>
    </xdr:to>
    <xdr:pic>
      <xdr:nvPicPr>
        <xdr:cNvPr id="3" name="图片 2">
          <a:extLst>
            <a:ext uri="{FF2B5EF4-FFF2-40B4-BE49-F238E27FC236}">
              <a16:creationId xmlns:a16="http://schemas.microsoft.com/office/drawing/2014/main" id="{BD5EA010-72C6-4F18-90D5-07925FB341D2}"/>
            </a:ext>
          </a:extLst>
        </xdr:cNvPr>
        <xdr:cNvPicPr>
          <a:picLocks noChangeAspect="1"/>
        </xdr:cNvPicPr>
      </xdr:nvPicPr>
      <xdr:blipFill>
        <a:blip xmlns:r="http://schemas.openxmlformats.org/officeDocument/2006/relationships" r:embed="rId2"/>
        <a:stretch>
          <a:fillRect/>
        </a:stretch>
      </xdr:blipFill>
      <xdr:spPr>
        <a:xfrm>
          <a:off x="0" y="2752725"/>
          <a:ext cx="5742857" cy="4285714"/>
        </a:xfrm>
        <a:prstGeom prst="rect">
          <a:avLst/>
        </a:prstGeom>
      </xdr:spPr>
    </xdr:pic>
    <xdr:clientData/>
  </xdr:twoCellAnchor>
  <xdr:twoCellAnchor editAs="oneCell">
    <xdr:from>
      <xdr:col>9</xdr:col>
      <xdr:colOff>485775</xdr:colOff>
      <xdr:row>0</xdr:row>
      <xdr:rowOff>28575</xdr:rowOff>
    </xdr:from>
    <xdr:to>
      <xdr:col>18</xdr:col>
      <xdr:colOff>637384</xdr:colOff>
      <xdr:row>25</xdr:row>
      <xdr:rowOff>142325</xdr:rowOff>
    </xdr:to>
    <xdr:pic>
      <xdr:nvPicPr>
        <xdr:cNvPr id="4" name="图片 3">
          <a:extLst>
            <a:ext uri="{FF2B5EF4-FFF2-40B4-BE49-F238E27FC236}">
              <a16:creationId xmlns:a16="http://schemas.microsoft.com/office/drawing/2014/main" id="{7CEBAB21-DDA3-4002-B2B7-7E1AD204E715}"/>
            </a:ext>
          </a:extLst>
        </xdr:cNvPr>
        <xdr:cNvPicPr>
          <a:picLocks noChangeAspect="1"/>
        </xdr:cNvPicPr>
      </xdr:nvPicPr>
      <xdr:blipFill>
        <a:blip xmlns:r="http://schemas.openxmlformats.org/officeDocument/2006/relationships" r:embed="rId3"/>
        <a:stretch>
          <a:fillRect/>
        </a:stretch>
      </xdr:blipFill>
      <xdr:spPr>
        <a:xfrm>
          <a:off x="6657975" y="28575"/>
          <a:ext cx="6323809"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2508;&#21512;&#32452;&#8212;&#8212;2.&#27979;&#31639;+&#25253;&#21578;+&#38468;&#20214;\1.&#27979;&#31639;&#34920;\&#12304;&#27979;&#31639;&#12305;&#31199;&#37329;&#21672;&#35810;&#65288;2015-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1672;&#35810;&#25253;&#21578;/&#36890;&#24030;&#20853;&#338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9">
          <cell r="N39" t="e">
            <v>#DIV/0!</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估价对象为北京市房地产，为所有。根据《国有土地使用证》[]，估价对象（分摊）出让国有建设用地使用权面积为53147.14平方米，建筑面积为8327.76平方米。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估价对象为北京市房地产,属开发建设的，该项目尚在开发建设中。根据《国有土地使用证》[]，估价对象（分摊）出让国有建设用地使用权面积为53147.14平方米，规划建筑面积为8327.76平方米。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2023年5月16日</v>
      </c>
    </row>
    <row r="13" spans="1:2" s="1201" customFormat="1">
      <c r="A13" s="1199" t="s">
        <v>529</v>
      </c>
      <c r="B13" s="1200"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本次评估采用的主估价方法为基准地价系数修正法和基准地价系数修正法。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8327.76</v>
      </c>
    </row>
    <row r="44" spans="1:2" s="1201" customFormat="1">
      <c r="A44" s="1199" t="s">
        <v>575</v>
      </c>
      <c r="B44" s="1200" t="str">
        <f>'预评函-3'!C2</f>
        <v>(分摊)土地面积</v>
      </c>
    </row>
    <row r="45" spans="1:2" s="1201" customFormat="1">
      <c r="A45" s="1199" t="s">
        <v>547</v>
      </c>
      <c r="B45" s="1200">
        <f>'预评函-3'!C4</f>
        <v>53147.14</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2293</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7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2" t="s">
        <v>385</v>
      </c>
      <c r="C54" s="1549" t="s">
        <v>583</v>
      </c>
    </row>
    <row r="55" spans="1:4">
      <c r="A55" s="3576"/>
      <c r="B55" s="1552" t="s">
        <v>386</v>
      </c>
      <c r="C55" s="1549" t="s">
        <v>584</v>
      </c>
    </row>
    <row r="56" spans="1:4">
      <c r="A56" s="3576"/>
      <c r="B56" s="1552" t="s">
        <v>387</v>
      </c>
      <c r="C56" s="1549" t="s">
        <v>588</v>
      </c>
    </row>
    <row r="57" spans="1:4">
      <c r="A57" s="357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G12" sqref="G12"/>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77" t="s">
        <v>2583</v>
      </c>
      <c r="J2" s="3577"/>
      <c r="K2" s="3577"/>
      <c r="L2" s="3577"/>
      <c r="M2" s="3577"/>
      <c r="N2" s="3577"/>
      <c r="O2" s="3577"/>
      <c r="P2" s="3577"/>
      <c r="Q2" s="3577"/>
      <c r="R2" s="3577"/>
    </row>
    <row r="3" spans="1:18">
      <c r="A3" s="3018" t="s">
        <v>2504</v>
      </c>
      <c r="B3" s="3019">
        <f>项目基本情况!D3</f>
        <v>45062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3.59</v>
      </c>
      <c r="D5" s="3023">
        <f>IF(ISERROR(ROUND(POWER(1+E5,A5-C5)*(POWER(1+E5,C5)-1)/(POWER(1+E5,A5)-1),3)),0,ROUND(POWER(1+E5,A5-C5)*(POWER(1+E5,C5)-1)/(POWER(1+E5,A5)-1),4))</f>
        <v>0.16589999999999999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v>
      </c>
      <c r="D6" s="3023">
        <f>IF(ISERROR(ROUND(POWER(1+E6,A6-C6)*(POWER(1+E6,C6)-1)/(POWER(1+E6,A6)-1),3)),0,ROUND(POWER(1+E6,A6-C6)*(POWER(1+E6,C6)-1)/(POWER(1+E6,A6)-1),4))</f>
        <v>0.48110000000000003</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39" sqref="F3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86" t="str">
        <f>IF(B10="北京市","北京市",C10)&amp;F10&amp;IF(结果表!G1="在建","出让国有建设用地使用权及在建建筑物",IF(结果表!G1="土地","出让国有建设用地使用权",))&amp;B9&amp;"预评估"</f>
        <v>北京市房地产市场价值预评估</v>
      </c>
      <c r="C1" s="3587"/>
      <c r="D1" s="3587"/>
      <c r="E1" s="3587"/>
      <c r="F1" s="3587"/>
      <c r="G1" s="3587"/>
      <c r="H1" s="3587"/>
      <c r="I1" s="358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2170</v>
      </c>
      <c r="B3" s="2371"/>
      <c r="C3" s="2372" t="s">
        <v>2171</v>
      </c>
      <c r="D3" s="2371">
        <v>45062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3376</v>
      </c>
      <c r="C8" s="2388"/>
      <c r="D8" s="3589" t="s">
        <v>2177</v>
      </c>
      <c r="E8" s="2389"/>
      <c r="F8" s="2390"/>
      <c r="G8" s="2661"/>
      <c r="H8" s="2661"/>
      <c r="I8" s="2661"/>
      <c r="J8" s="2437"/>
      <c r="K8" s="2612"/>
      <c r="L8" s="2611"/>
      <c r="M8" s="2611"/>
      <c r="N8" s="2437"/>
      <c r="O8" s="2448"/>
      <c r="P8" s="2437"/>
      <c r="Q8" s="2437"/>
      <c r="R8" s="2437"/>
    </row>
    <row r="9" spans="1:30" ht="13.5" thickBot="1">
      <c r="A9" s="2391" t="s">
        <v>2178</v>
      </c>
      <c r="B9" s="2392" t="s">
        <v>3377</v>
      </c>
      <c r="C9" s="2393"/>
      <c r="D9" s="3590"/>
      <c r="E9" s="2392"/>
      <c r="F9" s="2394"/>
      <c r="G9" s="2663"/>
      <c r="H9" s="2663"/>
      <c r="I9" s="2663"/>
      <c r="J9" s="2437"/>
      <c r="K9" s="2614"/>
      <c r="L9" s="2611"/>
      <c r="M9" s="2611"/>
      <c r="N9" s="2437"/>
      <c r="O9" s="2448"/>
      <c r="P9" s="2437"/>
      <c r="Q9" s="2437"/>
      <c r="R9" s="2437"/>
    </row>
    <row r="10" spans="1:30" ht="13.5" thickTop="1">
      <c r="A10" s="2395" t="s">
        <v>2179</v>
      </c>
      <c r="B10" s="2396" t="s">
        <v>3378</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3"/>
    </row>
    <row r="13" spans="1:30">
      <c r="A13" s="3421" t="s">
        <v>3520</v>
      </c>
      <c r="B13" s="2405" t="s">
        <v>2190</v>
      </c>
      <c r="C13" s="854"/>
      <c r="D13" s="854"/>
      <c r="E13" s="854">
        <v>52363</v>
      </c>
      <c r="F13" s="854"/>
      <c r="G13" s="854"/>
      <c r="H13" s="854">
        <v>63321</v>
      </c>
      <c r="I13" s="854">
        <v>63321</v>
      </c>
      <c r="J13" s="3060"/>
      <c r="K13" s="2611"/>
      <c r="L13" s="2611"/>
      <c r="M13" s="2437"/>
      <c r="N13" s="2448"/>
      <c r="O13" s="2437"/>
      <c r="P13" s="2437"/>
      <c r="Q13" s="2437"/>
      <c r="AD13" s="1743"/>
    </row>
    <row r="14" spans="1:30">
      <c r="A14" s="1079"/>
      <c r="B14" s="2405" t="s">
        <v>2191</v>
      </c>
      <c r="C14" s="2406"/>
      <c r="D14" s="2406"/>
      <c r="E14" s="2406">
        <v>50</v>
      </c>
      <c r="F14" s="2406"/>
      <c r="G14" s="2406"/>
      <c r="H14" s="2406">
        <v>50</v>
      </c>
      <c r="I14" s="2406">
        <v>50</v>
      </c>
      <c r="J14" s="3061"/>
      <c r="K14" s="2611"/>
      <c r="L14" s="2611"/>
      <c r="M14" s="2437"/>
      <c r="N14" s="2448"/>
      <c r="O14" s="2437"/>
      <c r="P14" s="2437"/>
      <c r="Q14" s="2437"/>
      <c r="AD14" s="1743"/>
    </row>
    <row r="15" spans="1:30">
      <c r="A15" s="319"/>
      <c r="B15" s="2407" t="s">
        <v>2192</v>
      </c>
      <c r="C15" s="2408" t="str">
        <f>IF(A13="出让",IF(C13="","",ROUNDDOWN(MIN((C13-$D$3)/365,C14),2)),C14)</f>
        <v/>
      </c>
      <c r="D15" s="2408" t="str">
        <f>IF(A13="出让",IF(D13="","",ROUNDDOWN(MIN((D13-$D$3)/365,D14),2)),D14)</f>
        <v/>
      </c>
      <c r="E15" s="2408">
        <f>IF(A13="出让",IF(E13="","",ROUNDDOWN(MIN((E13-$D$3)/365,E14),2)),E14)</f>
        <v>20</v>
      </c>
      <c r="F15" s="2408" t="str">
        <f>IF(A13="出让",IF(F13="","",ROUNDDOWN(MIN((F13-$D$3)/365,F14),2)),F14)</f>
        <v/>
      </c>
      <c r="G15" s="2408" t="str">
        <f>IF(A13="出让",IF(G13="","",ROUNDDOWN(MIN((G13-$D$3)/365,G14),2)),G14)</f>
        <v/>
      </c>
      <c r="H15" s="2408">
        <f>IF(A13="出让",IF(H13="","",ROUNDDOWN(MIN((H13-$D$3)/365,H14),2)),H14)</f>
        <v>50</v>
      </c>
      <c r="I15" s="2408">
        <f>IF(A13="出让",IF(I13="","",ROUNDDOWN(MIN((I13-$D$3)/365,I14),2)),I14)</f>
        <v>50</v>
      </c>
      <c r="J15" s="3062"/>
      <c r="K15" s="2449"/>
      <c r="L15" s="2449"/>
      <c r="M15" s="2507"/>
      <c r="N15" s="2449"/>
      <c r="O15" s="2507"/>
      <c r="P15" s="2437"/>
      <c r="Q15" s="2437"/>
      <c r="AD15" s="1743"/>
    </row>
    <row r="16" spans="1:30">
      <c r="A16" s="2398" t="s">
        <v>2193</v>
      </c>
      <c r="B16" s="3596"/>
      <c r="C16" s="3597"/>
      <c r="D16" s="3598"/>
      <c r="E16" s="2411" t="s">
        <v>2194</v>
      </c>
      <c r="F16" s="3599"/>
      <c r="G16" s="3600"/>
      <c r="H16" s="3600"/>
      <c r="I16" s="3601"/>
      <c r="J16" s="2437"/>
      <c r="K16" s="2615"/>
      <c r="L16" s="2449"/>
      <c r="M16" s="2449"/>
      <c r="N16" s="2507"/>
      <c r="O16" s="2449"/>
      <c r="P16" s="2507"/>
      <c r="Q16" s="2437"/>
      <c r="R16" s="2437"/>
    </row>
    <row r="17" spans="1:28">
      <c r="A17" s="312" t="s">
        <v>2195</v>
      </c>
      <c r="B17" s="301" t="s">
        <v>2196</v>
      </c>
      <c r="C17" s="8">
        <f>'数据-汇总表'!E3</f>
        <v>8327.76</v>
      </c>
      <c r="D17" s="2320" t="s">
        <v>2197</v>
      </c>
      <c r="E17" s="3602" t="s">
        <v>2198</v>
      </c>
      <c r="F17" s="3603"/>
      <c r="G17" s="3603"/>
      <c r="H17" s="3603"/>
      <c r="I17" s="3604"/>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53147.14</v>
      </c>
      <c r="D18" s="1090" t="s">
        <v>2201</v>
      </c>
      <c r="E18" s="3605" t="s">
        <v>2202</v>
      </c>
      <c r="F18" s="3606"/>
      <c r="G18" s="3606"/>
      <c r="H18" s="3606"/>
      <c r="I18" s="3607"/>
      <c r="J18" s="2437"/>
      <c r="K18" s="2616"/>
      <c r="L18" s="2449"/>
      <c r="M18" s="2449"/>
      <c r="N18" s="2507"/>
      <c r="O18" s="2449"/>
      <c r="P18" s="2507"/>
      <c r="Q18" s="2437"/>
      <c r="R18" s="2437"/>
      <c r="S18" s="2437"/>
      <c r="T18" s="2437"/>
      <c r="U18" s="2437"/>
      <c r="V18" s="2437"/>
    </row>
    <row r="19" spans="1:28" ht="37.5" thickTop="1" thickBot="1">
      <c r="A19" s="326" t="s">
        <v>1055</v>
      </c>
      <c r="B19" s="306"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92" t="s">
        <v>2206</v>
      </c>
      <c r="C20" s="3593"/>
      <c r="D20" s="3594" t="s">
        <v>2207</v>
      </c>
      <c r="E20" s="3595"/>
      <c r="F20" s="2645" t="s">
        <v>1056</v>
      </c>
      <c r="G20" s="2662"/>
      <c r="H20" s="2662"/>
      <c r="I20" s="2662"/>
      <c r="J20" s="2437"/>
      <c r="K20" s="3591"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9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9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79" t="s">
        <v>2214</v>
      </c>
      <c r="B27" s="319"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79"/>
      <c r="B28" s="301"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79"/>
      <c r="B29" s="301"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80"/>
      <c r="B30" s="301" t="s">
        <v>2218</v>
      </c>
      <c r="C30" s="3581"/>
      <c r="D30" s="3582"/>
      <c r="E30" s="2662"/>
      <c r="F30" s="2662"/>
      <c r="G30" s="2662"/>
      <c r="H30" s="2662"/>
      <c r="I30" s="2662"/>
      <c r="J30" s="2437"/>
      <c r="K30" s="2614"/>
      <c r="L30" s="2611"/>
      <c r="M30" s="2611"/>
      <c r="N30" s="2437"/>
      <c r="O30" s="2448"/>
      <c r="P30" s="2437"/>
      <c r="Q30" s="2437"/>
      <c r="R30" s="2437"/>
      <c r="S30" s="2437"/>
      <c r="T30" s="2437"/>
      <c r="U30" s="2437"/>
      <c r="V30" s="2437"/>
    </row>
    <row r="31" spans="1:28">
      <c r="A31" s="3583"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8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8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4"/>
      <c r="C34" s="2024"/>
      <c r="D34" s="2024"/>
      <c r="E34" s="2024"/>
      <c r="F34" s="2024"/>
      <c r="G34" s="2024"/>
      <c r="H34" s="2024"/>
      <c r="I34" s="2662"/>
      <c r="J34" s="2437"/>
      <c r="K34" s="2425">
        <f>COUNTIF(B34:H34,"——")</f>
        <v>0</v>
      </c>
      <c r="L34" s="322" t="s">
        <v>2221</v>
      </c>
      <c r="M34" s="322" t="s">
        <v>2222</v>
      </c>
      <c r="N34" s="322" t="s">
        <v>2223</v>
      </c>
      <c r="O34" s="322" t="s">
        <v>2224</v>
      </c>
      <c r="P34" s="322" t="s">
        <v>2225</v>
      </c>
      <c r="Q34" s="322" t="s">
        <v>2226</v>
      </c>
      <c r="R34" s="322" t="s">
        <v>2227</v>
      </c>
      <c r="S34" s="3578" t="s">
        <v>2228</v>
      </c>
      <c r="T34" s="2426" t="str">
        <f>NUMBERSTRING(7-K34,1)&amp;"通"</f>
        <v>七通</v>
      </c>
      <c r="U34" s="2437"/>
      <c r="V34" s="2437"/>
    </row>
    <row r="35" spans="1:30">
      <c r="A35" s="2427"/>
      <c r="B35" s="3585" t="s">
        <v>2229</v>
      </c>
      <c r="C35" s="3585"/>
      <c r="D35" s="3585"/>
      <c r="E35" s="3585"/>
      <c r="F35" s="663">
        <f>C10</f>
        <v>0</v>
      </c>
      <c r="G35" s="2662"/>
      <c r="H35" s="2662"/>
      <c r="I35" s="2662"/>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8"/>
      <c r="T35" s="328" t="str">
        <f>IF(T34="一通",L35,IF(T34="二通",M35,IF(T34="三通",N35,IF(T34="四通",O35,IF(T34="五通",P35,IF(T34="六通",Q35,R35))))))</f>
        <v>、、、、、、</v>
      </c>
      <c r="U35" s="2437"/>
      <c r="V35" s="2437"/>
    </row>
    <row r="36" spans="1:30">
      <c r="A36" s="2428"/>
      <c r="B36" s="663" t="s">
        <v>2185</v>
      </c>
      <c r="C36" s="663" t="s">
        <v>2186</v>
      </c>
      <c r="D36" s="663" t="s">
        <v>2184</v>
      </c>
      <c r="E36" s="663"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307</v>
      </c>
      <c r="F37" s="2429" t="s">
        <v>307</v>
      </c>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3383</v>
      </c>
      <c r="F38" s="2430" t="s">
        <v>3383</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4.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3524">
        <v>53147.141000000003</v>
      </c>
      <c r="B3" s="10">
        <f>IF(C3="否",G5-AT5,G5)</f>
        <v>8327.76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1" t="s">
        <v>1071</v>
      </c>
      <c r="B5" s="1345"/>
      <c r="C5" s="1345"/>
      <c r="D5" s="1347"/>
      <c r="E5" s="12" t="s">
        <v>0</v>
      </c>
      <c r="F5" s="12">
        <f>SUM(F13:F587)</f>
        <v>0</v>
      </c>
      <c r="G5" s="12">
        <f>SUM(G13:G587)</f>
        <v>8327.76</v>
      </c>
      <c r="H5" s="12">
        <f t="shared" ref="H5:AT5" si="0">SUM(H13:H656)</f>
        <v>8327.76</v>
      </c>
      <c r="I5" s="12">
        <f t="shared" si="0"/>
        <v>8327.76</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4"/>
      <c r="AV5" s="11" t="s">
        <v>1071</v>
      </c>
      <c r="AW5" s="1345"/>
      <c r="AX5" s="1345"/>
      <c r="AY5" s="13" t="s">
        <v>2</v>
      </c>
      <c r="AZ5" s="14">
        <f t="shared" ref="AZ5:BT5" si="1">SUM(AZ13:AZ656)</f>
        <v>8327.76</v>
      </c>
      <c r="BA5" s="14">
        <f t="shared" si="1"/>
        <v>8327.76</v>
      </c>
      <c r="BB5" s="14">
        <f t="shared" si="1"/>
        <v>8327.76</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7" customFormat="1" ht="12.75">
      <c r="A6" s="11" t="s">
        <v>1072</v>
      </c>
      <c r="B6" s="1584"/>
      <c r="C6" s="1584"/>
      <c r="D6" s="1585"/>
      <c r="E6" s="3528">
        <f>H6+AC6+AT6</f>
        <v>53147.141000000003</v>
      </c>
      <c r="F6" s="12" t="s">
        <v>0</v>
      </c>
      <c r="G6" s="12" t="s">
        <v>1</v>
      </c>
      <c r="H6" s="3529">
        <f>SUMIF(I$12:AB$12,"总值",I6:AB6)</f>
        <v>53147.141000000003</v>
      </c>
      <c r="I6" s="3528">
        <f>ROUND($A$3*I5/$B$3,3)</f>
        <v>53147.141000000003</v>
      </c>
      <c r="J6" s="12">
        <f t="shared" ref="J6:AB6" si="2">ROUND($A$3*J5/$B$3,2)</f>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6"/>
      <c r="AV6" s="11" t="s">
        <v>1072</v>
      </c>
      <c r="AW6" s="1584"/>
      <c r="AX6" s="1584"/>
      <c r="AY6" s="17">
        <f>IF(AY3&gt;0,AY3,ROUND($A$3*AZ5/$B$3,2))</f>
        <v>53147.14</v>
      </c>
      <c r="AZ6" s="12" t="s">
        <v>2</v>
      </c>
      <c r="BA6" s="12">
        <f>ROUND($AY$6*BA5/$AZ$5,2)</f>
        <v>53147.14</v>
      </c>
      <c r="BB6" s="12">
        <f>ROUND($AY$6*BB5/$AZ$5,2)</f>
        <v>53147.14</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19" t="s">
        <v>1081</v>
      </c>
      <c r="AW7" s="1576" t="s">
        <v>1082</v>
      </c>
      <c r="AX7" s="19"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2"/>
    </row>
    <row r="9" spans="1:72" s="1599" customFormat="1" ht="12.75">
      <c r="A9" s="1592"/>
      <c r="B9" s="1592"/>
      <c r="C9" s="1592"/>
      <c r="D9" s="1592"/>
      <c r="E9" s="1592"/>
      <c r="F9" s="1592"/>
      <c r="G9" s="1068"/>
      <c r="H9" s="1600" t="s">
        <v>1091</v>
      </c>
      <c r="I9" s="1601" t="s">
        <v>3380</v>
      </c>
      <c r="J9" s="807"/>
      <c r="K9" s="1601" t="s">
        <v>3380</v>
      </c>
      <c r="L9" s="807"/>
      <c r="M9" s="1601"/>
      <c r="N9" s="807"/>
      <c r="O9" s="1601"/>
      <c r="P9" s="807"/>
      <c r="Q9" s="1601"/>
      <c r="R9" s="807"/>
      <c r="S9" s="1601"/>
      <c r="T9" s="807"/>
      <c r="U9" s="1601"/>
      <c r="V9" s="807"/>
      <c r="W9" s="1601"/>
      <c r="X9" s="1602"/>
      <c r="Y9" s="1601"/>
      <c r="Z9" s="807"/>
      <c r="AA9" s="1601"/>
      <c r="AB9" s="807"/>
      <c r="AC9" s="1593" t="s">
        <v>1091</v>
      </c>
      <c r="AD9" s="11" t="s">
        <v>1092</v>
      </c>
      <c r="AE9" s="1074"/>
      <c r="AF9" s="11" t="s">
        <v>1093</v>
      </c>
      <c r="AG9" s="1074"/>
      <c r="AH9" s="11" t="s">
        <v>1092</v>
      </c>
      <c r="AI9" s="1074"/>
      <c r="AJ9" s="11" t="s">
        <v>1093</v>
      </c>
      <c r="AK9" s="1074"/>
      <c r="AL9" s="11" t="s">
        <v>1092</v>
      </c>
      <c r="AM9" s="1074"/>
      <c r="AN9" s="11" t="s">
        <v>1093</v>
      </c>
      <c r="AO9" s="1074"/>
      <c r="AP9" s="11" t="s">
        <v>1092</v>
      </c>
      <c r="AQ9" s="1074"/>
      <c r="AR9" s="11" t="s">
        <v>1093</v>
      </c>
      <c r="AS9" s="1603"/>
      <c r="AT9" s="1592"/>
      <c r="AU9" s="1592" t="s">
        <v>1094</v>
      </c>
      <c r="AV9" s="1068"/>
      <c r="AW9" s="1575"/>
      <c r="AX9" s="1068"/>
      <c r="AY9" s="24"/>
      <c r="AZ9" s="24" t="s">
        <v>1084</v>
      </c>
      <c r="BA9" s="1604" t="s">
        <v>1095</v>
      </c>
      <c r="BB9" s="1605"/>
      <c r="BC9" s="1086"/>
      <c r="BD9" s="1086"/>
      <c r="BE9" s="1086"/>
      <c r="BF9" s="1086"/>
      <c r="BG9" s="1086"/>
      <c r="BH9" s="1086"/>
      <c r="BI9" s="1086"/>
      <c r="BJ9" s="1086"/>
      <c r="BK9" s="1606"/>
      <c r="BL9" s="11" t="s">
        <v>1096</v>
      </c>
      <c r="BM9" s="1358"/>
      <c r="BN9" s="1595"/>
      <c r="BO9" s="1358"/>
      <c r="BP9" s="1358"/>
      <c r="BQ9" s="1358"/>
      <c r="BR9" s="1358"/>
      <c r="BS9" s="1358"/>
      <c r="BT9" s="22"/>
    </row>
    <row r="10" spans="1:72" s="1599" customFormat="1" ht="12.75">
      <c r="A10" s="1592"/>
      <c r="B10" s="1592"/>
      <c r="C10" s="1592"/>
      <c r="D10" s="1592"/>
      <c r="E10" s="1592"/>
      <c r="F10" s="1592"/>
      <c r="G10" s="1068"/>
      <c r="H10" s="24"/>
      <c r="I10" s="1601" t="s">
        <v>3381</v>
      </c>
      <c r="J10" s="807"/>
      <c r="K10" s="1607" t="s">
        <v>3</v>
      </c>
      <c r="L10" s="807"/>
      <c r="M10" s="1607"/>
      <c r="N10" s="807"/>
      <c r="O10" s="1607"/>
      <c r="P10" s="807"/>
      <c r="Q10" s="1607"/>
      <c r="R10" s="807"/>
      <c r="S10" s="1607"/>
      <c r="T10" s="807"/>
      <c r="U10" s="1607"/>
      <c r="V10" s="807"/>
      <c r="W10" s="1607"/>
      <c r="X10" s="807"/>
      <c r="Y10" s="1607"/>
      <c r="Z10" s="807"/>
      <c r="AA10" s="1607"/>
      <c r="AB10" s="807"/>
      <c r="AC10" s="1068"/>
      <c r="AD10" s="11" t="s">
        <v>1097</v>
      </c>
      <c r="AE10" s="1608"/>
      <c r="AF10" s="11" t="s">
        <v>1097</v>
      </c>
      <c r="AG10" s="1608"/>
      <c r="AH10" s="11" t="s">
        <v>1098</v>
      </c>
      <c r="AI10" s="1608"/>
      <c r="AJ10" s="11" t="s">
        <v>1098</v>
      </c>
      <c r="AK10" s="1608"/>
      <c r="AL10" s="11" t="s">
        <v>1099</v>
      </c>
      <c r="AM10" s="1074"/>
      <c r="AN10" s="11" t="s">
        <v>1099</v>
      </c>
      <c r="AO10" s="1074"/>
      <c r="AP10" s="11" t="s">
        <v>1100</v>
      </c>
      <c r="AQ10" s="1074"/>
      <c r="AR10" s="11" t="s">
        <v>1100</v>
      </c>
      <c r="AS10" s="1074"/>
      <c r="AT10" s="1592"/>
      <c r="AU10" s="1592"/>
      <c r="AV10" s="1068"/>
      <c r="AW10" s="1575"/>
      <c r="AX10" s="1068"/>
      <c r="AY10" s="24"/>
      <c r="AZ10" s="24"/>
      <c r="BA10" s="1609" t="s">
        <v>1091</v>
      </c>
      <c r="BB10" s="1610" t="str">
        <f>I9</f>
        <v>地上</v>
      </c>
      <c r="BC10" s="25" t="str">
        <f>K9</f>
        <v>地上</v>
      </c>
      <c r="BD10" s="25">
        <f>M9</f>
        <v>0</v>
      </c>
      <c r="BE10" s="25">
        <f>O9</f>
        <v>0</v>
      </c>
      <c r="BF10" s="25">
        <f>Q9</f>
        <v>0</v>
      </c>
      <c r="BG10" s="25">
        <f>S9</f>
        <v>0</v>
      </c>
      <c r="BH10" s="25">
        <f>U9</f>
        <v>0</v>
      </c>
      <c r="BI10" s="25">
        <f>W9</f>
        <v>0</v>
      </c>
      <c r="BJ10" s="25">
        <f>Y9</f>
        <v>0</v>
      </c>
      <c r="BK10" s="25">
        <f>AA9</f>
        <v>0</v>
      </c>
      <c r="BL10" s="21" t="s">
        <v>1091</v>
      </c>
      <c r="BM10" s="1357" t="str">
        <f>AD9</f>
        <v>地上</v>
      </c>
      <c r="BN10" s="25" t="str">
        <f>AF9</f>
        <v>地下</v>
      </c>
      <c r="BO10" s="1357" t="str">
        <f>AH9</f>
        <v>地上</v>
      </c>
      <c r="BP10" s="25" t="str">
        <f>AJ9</f>
        <v>地下</v>
      </c>
      <c r="BQ10" s="1357" t="str">
        <f>AL9</f>
        <v>地上</v>
      </c>
      <c r="BR10" s="25"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4"/>
      <c r="AZ11" s="24"/>
      <c r="BA11" s="24"/>
      <c r="BB11" s="1597" t="str">
        <f>I10</f>
        <v>公共服务</v>
      </c>
      <c r="BC11" s="1597" t="str">
        <f>K10</f>
        <v>工业</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0" t="str">
        <f>AH10</f>
        <v>物业管理用房</v>
      </c>
      <c r="BP11" s="20" t="str">
        <f>AJ10</f>
        <v>物业管理用房</v>
      </c>
      <c r="BQ11" s="20" t="str">
        <f>AL10</f>
        <v>设备及其他</v>
      </c>
      <c r="BR11" s="20" t="str">
        <f>AN10</f>
        <v>设备及其他</v>
      </c>
      <c r="BS11" s="21" t="str">
        <f>AP10</f>
        <v>未注明</v>
      </c>
      <c r="BT11" s="1616" t="str">
        <f>AR10</f>
        <v>未注明</v>
      </c>
    </row>
    <row r="12" spans="1:72" s="1577" customFormat="1" ht="12.75">
      <c r="A12" s="1617"/>
      <c r="B12" s="1617"/>
      <c r="C12" s="1617"/>
      <c r="D12" s="1617"/>
      <c r="E12" s="1617"/>
      <c r="F12" s="1617"/>
      <c r="G12" s="26"/>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7" t="s">
        <v>1104</v>
      </c>
      <c r="AT12" s="1620"/>
      <c r="AU12" s="1617"/>
      <c r="AV12" s="27"/>
      <c r="AW12" s="1576"/>
      <c r="AX12" s="27"/>
      <c r="AY12" s="1621"/>
      <c r="AZ12" s="24"/>
      <c r="BA12" s="1609"/>
      <c r="BB12" s="20">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0" t="str">
        <f>AH11</f>
        <v>（住宅、计出让金）</v>
      </c>
      <c r="BP12" s="20" t="str">
        <f>AJ11</f>
        <v>（住宅、计出让金）</v>
      </c>
      <c r="BQ12" s="20">
        <f>AL11</f>
        <v>0</v>
      </c>
      <c r="BR12" s="20">
        <f>AN11</f>
        <v>0</v>
      </c>
      <c r="BS12" s="21">
        <f>AP11</f>
        <v>0</v>
      </c>
      <c r="BT12" s="1616">
        <f>AR11</f>
        <v>0</v>
      </c>
    </row>
    <row r="13" spans="1:72" s="1577" customFormat="1" ht="12.75">
      <c r="A13" s="1049"/>
      <c r="B13" s="1049"/>
      <c r="C13" s="1049"/>
      <c r="D13" s="1623" t="s">
        <v>3382</v>
      </c>
      <c r="E13" s="3528">
        <f>IF($C$3="是",ROUND($A$3*G13/$B$3,2),ROUND($A$3*(G13-AT13)/$B$3,3))</f>
        <v>53147.141000000003</v>
      </c>
      <c r="F13" s="28"/>
      <c r="G13" s="29">
        <f>H13+AC13+AT13</f>
        <v>8327.76</v>
      </c>
      <c r="H13" s="16">
        <f>SUMIF(I$12:AB$12,"总值",I13:AB13)</f>
        <v>8327.76</v>
      </c>
      <c r="I13" s="1624">
        <v>8327.76</v>
      </c>
      <c r="J13" s="1624"/>
      <c r="K13" s="1624"/>
      <c r="L13" s="1624"/>
      <c r="M13" s="1624"/>
      <c r="N13" s="1624"/>
      <c r="O13" s="1624"/>
      <c r="P13" s="1624"/>
      <c r="Q13" s="1624"/>
      <c r="R13" s="1624"/>
      <c r="S13" s="1624"/>
      <c r="T13" s="1624"/>
      <c r="U13" s="1624"/>
      <c r="V13" s="1624"/>
      <c r="W13" s="1624"/>
      <c r="X13" s="1624"/>
      <c r="Y13" s="1624"/>
      <c r="Z13" s="1624"/>
      <c r="AA13" s="1624"/>
      <c r="AB13" s="1624"/>
      <c r="AC13" s="12">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53147.14</v>
      </c>
      <c r="AZ13" s="12">
        <f>BA13+BL13</f>
        <v>8327.76</v>
      </c>
      <c r="BA13" s="12">
        <f>SUM(BB13:BK13)</f>
        <v>8327.76</v>
      </c>
      <c r="BB13" s="12">
        <f>IF($D13="是",I13-J13,0)</f>
        <v>8327.76</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7" customFormat="1" ht="12.75">
      <c r="A14" s="1049"/>
      <c r="B14" s="1049"/>
      <c r="C14" s="1568"/>
      <c r="D14" s="1623"/>
      <c r="E14" s="12">
        <f>IF($C$3="是",ROUND($A$3*G14/$B$3,2),ROUND($A$3*(G14-AT14)/$B$3,2))</f>
        <v>0</v>
      </c>
      <c r="F14" s="28"/>
      <c r="G14" s="29">
        <f>H14+AC14+AT14</f>
        <v>0</v>
      </c>
      <c r="H14" s="16">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2">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7" customFormat="1" ht="12.75">
      <c r="A15" s="1049"/>
      <c r="B15" s="1049"/>
      <c r="C15" s="1568"/>
      <c r="D15" s="1623"/>
      <c r="E15" s="12">
        <f>IF($C$3="是",ROUND($A$3*G15/$B$3,2),ROUND($A$3*(G15-AT15)/$B$3,2))</f>
        <v>0</v>
      </c>
      <c r="F15" s="28"/>
      <c r="G15" s="29">
        <f>H15+AC15+AT15</f>
        <v>0</v>
      </c>
      <c r="H15" s="16">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2">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7" customFormat="1" ht="12.75">
      <c r="A16" s="1049"/>
      <c r="B16" s="1049"/>
      <c r="C16" s="1568"/>
      <c r="D16" s="1623"/>
      <c r="E16" s="12">
        <f>IF($C$3="是",ROUND($A$3*G16/$B$3,2),ROUND($A$3*(G16-AT16)/$B$3,2))</f>
        <v>0</v>
      </c>
      <c r="F16" s="28"/>
      <c r="G16" s="29">
        <f>H16+AC16+AT16</f>
        <v>0</v>
      </c>
      <c r="H16" s="16">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2">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7" customFormat="1" ht="12.75">
      <c r="A17" s="1049"/>
      <c r="B17" s="1049"/>
      <c r="C17" s="1568"/>
      <c r="D17" s="1623"/>
      <c r="E17" s="12">
        <f>IF($C$3="是",ROUND($A$3*G17/$B$3,2),ROUND($A$3*(G17-AT17)/$B$3,2))</f>
        <v>0</v>
      </c>
      <c r="F17" s="28"/>
      <c r="G17" s="29">
        <f>H17+AC17+AT17</f>
        <v>0</v>
      </c>
      <c r="H17" s="16">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2">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8"/>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9"/>
      <c r="AV18" s="1341">
        <f t="shared" ref="AV18:AV112" si="11">A18</f>
        <v>0</v>
      </c>
      <c r="AW18" s="1341">
        <f t="shared" ref="AW18:AW112" si="12">B18</f>
        <v>0</v>
      </c>
      <c r="AX18" s="1341">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8"/>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9"/>
      <c r="AV19" s="1341">
        <f t="shared" si="11"/>
        <v>0</v>
      </c>
      <c r="AW19" s="1341">
        <f t="shared" si="12"/>
        <v>0</v>
      </c>
      <c r="AX19" s="1341">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8"/>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9"/>
      <c r="AV20" s="1341">
        <f t="shared" si="11"/>
        <v>0</v>
      </c>
      <c r="AW20" s="1341">
        <f t="shared" si="12"/>
        <v>0</v>
      </c>
      <c r="AX20" s="1341">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8"/>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9"/>
      <c r="AV21" s="1341">
        <f t="shared" si="11"/>
        <v>0</v>
      </c>
      <c r="AW21" s="1341">
        <f t="shared" si="12"/>
        <v>0</v>
      </c>
      <c r="AX21" s="1341">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8"/>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9"/>
      <c r="AV22" s="1341">
        <f t="shared" si="11"/>
        <v>0</v>
      </c>
      <c r="AW22" s="1341">
        <f t="shared" si="12"/>
        <v>0</v>
      </c>
      <c r="AX22" s="1341">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8"/>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9"/>
      <c r="AV23" s="1341">
        <f t="shared" si="11"/>
        <v>0</v>
      </c>
      <c r="AW23" s="1341">
        <f t="shared" si="12"/>
        <v>0</v>
      </c>
      <c r="AX23" s="1341">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8"/>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9"/>
      <c r="AV24" s="1341">
        <f t="shared" si="11"/>
        <v>0</v>
      </c>
      <c r="AW24" s="1341">
        <f t="shared" si="12"/>
        <v>0</v>
      </c>
      <c r="AX24" s="1341">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8"/>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9"/>
      <c r="AV25" s="1341">
        <f t="shared" si="11"/>
        <v>0</v>
      </c>
      <c r="AW25" s="1341">
        <f t="shared" si="12"/>
        <v>0</v>
      </c>
      <c r="AX25" s="1341">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8"/>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9"/>
      <c r="AV26" s="1341">
        <f t="shared" si="11"/>
        <v>0</v>
      </c>
      <c r="AW26" s="1341">
        <f t="shared" si="12"/>
        <v>0</v>
      </c>
      <c r="AX26" s="1341">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8"/>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9"/>
      <c r="AV27" s="1341">
        <f t="shared" si="11"/>
        <v>0</v>
      </c>
      <c r="AW27" s="1341">
        <f t="shared" si="12"/>
        <v>0</v>
      </c>
      <c r="AX27" s="1341">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8"/>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9"/>
      <c r="AV28" s="1341">
        <f t="shared" si="11"/>
        <v>0</v>
      </c>
      <c r="AW28" s="1341">
        <f t="shared" si="12"/>
        <v>0</v>
      </c>
      <c r="AX28" s="1341">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8"/>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9"/>
      <c r="AV29" s="1341">
        <f t="shared" si="11"/>
        <v>0</v>
      </c>
      <c r="AW29" s="1341">
        <f t="shared" si="12"/>
        <v>0</v>
      </c>
      <c r="AX29" s="1341">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8"/>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9"/>
      <c r="AV30" s="1341">
        <f t="shared" si="11"/>
        <v>0</v>
      </c>
      <c r="AW30" s="1341">
        <f t="shared" si="12"/>
        <v>0</v>
      </c>
      <c r="AX30" s="1341">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8"/>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9"/>
      <c r="AV31" s="1341">
        <f t="shared" si="11"/>
        <v>0</v>
      </c>
      <c r="AW31" s="1341">
        <f t="shared" si="12"/>
        <v>0</v>
      </c>
      <c r="AX31" s="1341">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8"/>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9"/>
      <c r="AV32" s="1341">
        <f t="shared" si="11"/>
        <v>0</v>
      </c>
      <c r="AW32" s="1341">
        <f t="shared" si="12"/>
        <v>0</v>
      </c>
      <c r="AX32" s="1341">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8"/>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9"/>
      <c r="AV33" s="1341">
        <f t="shared" si="11"/>
        <v>0</v>
      </c>
      <c r="AW33" s="1341">
        <f t="shared" si="12"/>
        <v>0</v>
      </c>
      <c r="AX33" s="1341">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8"/>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9"/>
      <c r="AV34" s="1341">
        <f t="shared" si="11"/>
        <v>0</v>
      </c>
      <c r="AW34" s="1341">
        <f t="shared" si="12"/>
        <v>0</v>
      </c>
      <c r="AX34" s="1341">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8"/>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9"/>
      <c r="AV35" s="1341">
        <f t="shared" si="11"/>
        <v>0</v>
      </c>
      <c r="AW35" s="1341">
        <f t="shared" si="12"/>
        <v>0</v>
      </c>
      <c r="AX35" s="1341">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8"/>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9"/>
      <c r="AV36" s="1341">
        <f t="shared" si="11"/>
        <v>0</v>
      </c>
      <c r="AW36" s="1341">
        <f t="shared" si="12"/>
        <v>0</v>
      </c>
      <c r="AX36" s="1341">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8"/>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9"/>
      <c r="AV37" s="1341">
        <f t="shared" si="11"/>
        <v>0</v>
      </c>
      <c r="AW37" s="1341">
        <f t="shared" si="12"/>
        <v>0</v>
      </c>
      <c r="AX37" s="1341">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8"/>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9"/>
      <c r="AV38" s="1341">
        <f t="shared" si="11"/>
        <v>0</v>
      </c>
      <c r="AW38" s="1341">
        <f t="shared" si="12"/>
        <v>0</v>
      </c>
      <c r="AX38" s="1341">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8"/>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9"/>
      <c r="AV39" s="1341">
        <f t="shared" si="11"/>
        <v>0</v>
      </c>
      <c r="AW39" s="1341">
        <f t="shared" si="12"/>
        <v>0</v>
      </c>
      <c r="AX39" s="1341">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8"/>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9"/>
      <c r="AV40" s="1341">
        <f t="shared" si="11"/>
        <v>0</v>
      </c>
      <c r="AW40" s="1341">
        <f t="shared" si="12"/>
        <v>0</v>
      </c>
      <c r="AX40" s="1341">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8"/>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9"/>
      <c r="AV41" s="1341">
        <f t="shared" si="11"/>
        <v>0</v>
      </c>
      <c r="AW41" s="1341">
        <f t="shared" si="12"/>
        <v>0</v>
      </c>
      <c r="AX41" s="1341">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8"/>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9"/>
      <c r="AV42" s="1341">
        <f t="shared" si="11"/>
        <v>0</v>
      </c>
      <c r="AW42" s="1341">
        <f t="shared" si="12"/>
        <v>0</v>
      </c>
      <c r="AX42" s="1341">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8"/>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9"/>
      <c r="AV43" s="1341">
        <f t="shared" si="11"/>
        <v>0</v>
      </c>
      <c r="AW43" s="1341">
        <f t="shared" si="12"/>
        <v>0</v>
      </c>
      <c r="AX43" s="1341">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8"/>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9"/>
      <c r="AV44" s="1341">
        <f t="shared" si="11"/>
        <v>0</v>
      </c>
      <c r="AW44" s="1341">
        <f t="shared" si="12"/>
        <v>0</v>
      </c>
      <c r="AX44" s="1341">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8"/>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9"/>
      <c r="AV45" s="1341">
        <f t="shared" si="11"/>
        <v>0</v>
      </c>
      <c r="AW45" s="1341">
        <f t="shared" si="12"/>
        <v>0</v>
      </c>
      <c r="AX45" s="1341">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8"/>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9"/>
      <c r="AV46" s="1341">
        <f t="shared" si="11"/>
        <v>0</v>
      </c>
      <c r="AW46" s="1341">
        <f t="shared" si="12"/>
        <v>0</v>
      </c>
      <c r="AX46" s="1341">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8"/>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9"/>
      <c r="AV47" s="1341">
        <f t="shared" si="11"/>
        <v>0</v>
      </c>
      <c r="AW47" s="1341">
        <f t="shared" si="12"/>
        <v>0</v>
      </c>
      <c r="AX47" s="1341">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8"/>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9"/>
      <c r="AV48" s="1341">
        <f t="shared" si="11"/>
        <v>0</v>
      </c>
      <c r="AW48" s="1341">
        <f t="shared" si="12"/>
        <v>0</v>
      </c>
      <c r="AX48" s="1341">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8"/>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9"/>
      <c r="AV49" s="1341">
        <f t="shared" si="11"/>
        <v>0</v>
      </c>
      <c r="AW49" s="1341">
        <f t="shared" si="12"/>
        <v>0</v>
      </c>
      <c r="AX49" s="1341">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8"/>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9"/>
      <c r="AV50" s="1341">
        <f t="shared" si="11"/>
        <v>0</v>
      </c>
      <c r="AW50" s="1341">
        <f t="shared" si="12"/>
        <v>0</v>
      </c>
      <c r="AX50" s="1341">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8"/>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9"/>
      <c r="AV51" s="1341">
        <f t="shared" si="11"/>
        <v>0</v>
      </c>
      <c r="AW51" s="1341">
        <f t="shared" si="12"/>
        <v>0</v>
      </c>
      <c r="AX51" s="1341">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8"/>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9"/>
      <c r="AV52" s="1341">
        <f t="shared" si="11"/>
        <v>0</v>
      </c>
      <c r="AW52" s="1341">
        <f t="shared" si="12"/>
        <v>0</v>
      </c>
      <c r="AX52" s="1341">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8"/>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9"/>
      <c r="AV53" s="1341">
        <f t="shared" si="11"/>
        <v>0</v>
      </c>
      <c r="AW53" s="1341">
        <f t="shared" si="12"/>
        <v>0</v>
      </c>
      <c r="AX53" s="1341">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8"/>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9"/>
      <c r="AV54" s="1341">
        <f t="shared" si="11"/>
        <v>0</v>
      </c>
      <c r="AW54" s="1341">
        <f t="shared" si="12"/>
        <v>0</v>
      </c>
      <c r="AX54" s="1341">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8"/>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9"/>
      <c r="AV55" s="1341">
        <f t="shared" si="11"/>
        <v>0</v>
      </c>
      <c r="AW55" s="1341">
        <f t="shared" si="12"/>
        <v>0</v>
      </c>
      <c r="AX55" s="1341">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8"/>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9"/>
      <c r="AV56" s="1341">
        <f t="shared" si="11"/>
        <v>0</v>
      </c>
      <c r="AW56" s="1341">
        <f t="shared" si="12"/>
        <v>0</v>
      </c>
      <c r="AX56" s="1341">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8"/>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9"/>
      <c r="AV57" s="1341">
        <f t="shared" si="11"/>
        <v>0</v>
      </c>
      <c r="AW57" s="1341">
        <f t="shared" si="12"/>
        <v>0</v>
      </c>
      <c r="AX57" s="1341">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8"/>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9"/>
      <c r="AV58" s="1341">
        <f t="shared" si="11"/>
        <v>0</v>
      </c>
      <c r="AW58" s="1341">
        <f t="shared" si="12"/>
        <v>0</v>
      </c>
      <c r="AX58" s="1341">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8"/>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9"/>
      <c r="AV59" s="1341">
        <f t="shared" si="11"/>
        <v>0</v>
      </c>
      <c r="AW59" s="1341">
        <f t="shared" si="12"/>
        <v>0</v>
      </c>
      <c r="AX59" s="1341">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8"/>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9"/>
      <c r="AV60" s="1341">
        <f t="shared" si="11"/>
        <v>0</v>
      </c>
      <c r="AW60" s="1341">
        <f t="shared" si="12"/>
        <v>0</v>
      </c>
      <c r="AX60" s="1341">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8"/>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9"/>
      <c r="AV61" s="1341">
        <f t="shared" si="11"/>
        <v>0</v>
      </c>
      <c r="AW61" s="1341">
        <f t="shared" si="12"/>
        <v>0</v>
      </c>
      <c r="AX61" s="1341">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8"/>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9"/>
      <c r="AV62" s="1341">
        <f t="shared" si="11"/>
        <v>0</v>
      </c>
      <c r="AW62" s="1341">
        <f t="shared" si="12"/>
        <v>0</v>
      </c>
      <c r="AX62" s="1341">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8"/>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9"/>
      <c r="AV63" s="1341">
        <f t="shared" si="11"/>
        <v>0</v>
      </c>
      <c r="AW63" s="1341">
        <f t="shared" si="12"/>
        <v>0</v>
      </c>
      <c r="AX63" s="1341">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8"/>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9"/>
      <c r="AV64" s="1341">
        <f t="shared" si="11"/>
        <v>0</v>
      </c>
      <c r="AW64" s="1341">
        <f t="shared" si="12"/>
        <v>0</v>
      </c>
      <c r="AX64" s="1341">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8"/>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9"/>
      <c r="AV65" s="1341">
        <f t="shared" si="11"/>
        <v>0</v>
      </c>
      <c r="AW65" s="1341">
        <f t="shared" si="12"/>
        <v>0</v>
      </c>
      <c r="AX65" s="1341">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8"/>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9"/>
      <c r="AV66" s="1341">
        <f t="shared" si="11"/>
        <v>0</v>
      </c>
      <c r="AW66" s="1341">
        <f t="shared" si="12"/>
        <v>0</v>
      </c>
      <c r="AX66" s="1341">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8"/>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9"/>
      <c r="AV67" s="1341">
        <f t="shared" si="11"/>
        <v>0</v>
      </c>
      <c r="AW67" s="1341">
        <f t="shared" si="12"/>
        <v>0</v>
      </c>
      <c r="AX67" s="1341">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8"/>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9"/>
      <c r="AV68" s="1341">
        <f t="shared" si="11"/>
        <v>0</v>
      </c>
      <c r="AW68" s="1341">
        <f t="shared" si="12"/>
        <v>0</v>
      </c>
      <c r="AX68" s="1341">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8"/>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9"/>
      <c r="AV69" s="1341">
        <f t="shared" si="11"/>
        <v>0</v>
      </c>
      <c r="AW69" s="1341">
        <f t="shared" si="12"/>
        <v>0</v>
      </c>
      <c r="AX69" s="1341">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8"/>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9"/>
      <c r="AV70" s="1341">
        <f t="shared" si="11"/>
        <v>0</v>
      </c>
      <c r="AW70" s="1341">
        <f t="shared" si="12"/>
        <v>0</v>
      </c>
      <c r="AX70" s="1341">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8"/>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9"/>
      <c r="AV71" s="1341">
        <f t="shared" si="11"/>
        <v>0</v>
      </c>
      <c r="AW71" s="1341">
        <f t="shared" si="12"/>
        <v>0</v>
      </c>
      <c r="AX71" s="1341">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8"/>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9"/>
      <c r="AV72" s="1341">
        <f t="shared" si="11"/>
        <v>0</v>
      </c>
      <c r="AW72" s="1341">
        <f t="shared" si="12"/>
        <v>0</v>
      </c>
      <c r="AX72" s="1341">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8"/>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9"/>
      <c r="AV73" s="1341">
        <f t="shared" si="11"/>
        <v>0</v>
      </c>
      <c r="AW73" s="1341">
        <f t="shared" si="12"/>
        <v>0</v>
      </c>
      <c r="AX73" s="1341">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8"/>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9"/>
      <c r="AV74" s="1341">
        <f t="shared" si="11"/>
        <v>0</v>
      </c>
      <c r="AW74" s="1341">
        <f t="shared" si="12"/>
        <v>0</v>
      </c>
      <c r="AX74" s="1341">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8"/>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9"/>
      <c r="AV75" s="1341">
        <f t="shared" si="11"/>
        <v>0</v>
      </c>
      <c r="AW75" s="1341">
        <f t="shared" si="12"/>
        <v>0</v>
      </c>
      <c r="AX75" s="1341">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8"/>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9"/>
      <c r="AV76" s="1341">
        <f t="shared" si="11"/>
        <v>0</v>
      </c>
      <c r="AW76" s="1341">
        <f t="shared" si="12"/>
        <v>0</v>
      </c>
      <c r="AX76" s="1341">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8"/>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9"/>
      <c r="AV77" s="1341">
        <f t="shared" si="11"/>
        <v>0</v>
      </c>
      <c r="AW77" s="1341">
        <f t="shared" si="12"/>
        <v>0</v>
      </c>
      <c r="AX77" s="1341">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8"/>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9"/>
      <c r="AV78" s="1341">
        <f t="shared" si="11"/>
        <v>0</v>
      </c>
      <c r="AW78" s="1341">
        <f t="shared" si="12"/>
        <v>0</v>
      </c>
      <c r="AX78" s="1341">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8"/>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9"/>
      <c r="AV79" s="1341">
        <f t="shared" si="11"/>
        <v>0</v>
      </c>
      <c r="AW79" s="1341">
        <f t="shared" si="12"/>
        <v>0</v>
      </c>
      <c r="AX79" s="1341">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8"/>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9"/>
      <c r="AV80" s="1341">
        <f t="shared" si="11"/>
        <v>0</v>
      </c>
      <c r="AW80" s="1341">
        <f t="shared" si="12"/>
        <v>0</v>
      </c>
      <c r="AX80" s="1341">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8"/>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9"/>
      <c r="AV81" s="1341">
        <f t="shared" si="11"/>
        <v>0</v>
      </c>
      <c r="AW81" s="1341">
        <f t="shared" si="12"/>
        <v>0</v>
      </c>
      <c r="AX81" s="1341">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8"/>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9"/>
      <c r="AV82" s="1341">
        <f t="shared" si="11"/>
        <v>0</v>
      </c>
      <c r="AW82" s="1341">
        <f t="shared" si="12"/>
        <v>0</v>
      </c>
      <c r="AX82" s="1341">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8"/>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9"/>
      <c r="AV83" s="1341">
        <f t="shared" si="11"/>
        <v>0</v>
      </c>
      <c r="AW83" s="1341">
        <f t="shared" si="12"/>
        <v>0</v>
      </c>
      <c r="AX83" s="1341">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8"/>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9"/>
      <c r="AV84" s="1341">
        <f t="shared" si="11"/>
        <v>0</v>
      </c>
      <c r="AW84" s="1341">
        <f t="shared" si="12"/>
        <v>0</v>
      </c>
      <c r="AX84" s="1341">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8"/>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9"/>
      <c r="AV85" s="1341">
        <f t="shared" si="11"/>
        <v>0</v>
      </c>
      <c r="AW85" s="1341">
        <f t="shared" si="12"/>
        <v>0</v>
      </c>
      <c r="AX85" s="1341">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8"/>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9"/>
      <c r="AV86" s="1341">
        <f t="shared" si="11"/>
        <v>0</v>
      </c>
      <c r="AW86" s="1341">
        <f t="shared" si="12"/>
        <v>0</v>
      </c>
      <c r="AX86" s="1341">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8"/>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9"/>
      <c r="AV87" s="1341">
        <f t="shared" si="11"/>
        <v>0</v>
      </c>
      <c r="AW87" s="1341">
        <f t="shared" si="12"/>
        <v>0</v>
      </c>
      <c r="AX87" s="1341">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8"/>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9"/>
      <c r="AV88" s="1341">
        <f t="shared" si="11"/>
        <v>0</v>
      </c>
      <c r="AW88" s="1341">
        <f t="shared" si="12"/>
        <v>0</v>
      </c>
      <c r="AX88" s="1341">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8"/>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9"/>
      <c r="AV89" s="1341">
        <f t="shared" si="11"/>
        <v>0</v>
      </c>
      <c r="AW89" s="1341">
        <f t="shared" si="12"/>
        <v>0</v>
      </c>
      <c r="AX89" s="1341">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8"/>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9"/>
      <c r="AV90" s="1341">
        <f t="shared" si="11"/>
        <v>0</v>
      </c>
      <c r="AW90" s="1341">
        <f t="shared" si="12"/>
        <v>0</v>
      </c>
      <c r="AX90" s="1341">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8"/>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9"/>
      <c r="AV91" s="1341">
        <f t="shared" si="11"/>
        <v>0</v>
      </c>
      <c r="AW91" s="1341">
        <f t="shared" si="12"/>
        <v>0</v>
      </c>
      <c r="AX91" s="1341">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8"/>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9"/>
      <c r="AV92" s="1341">
        <f t="shared" si="11"/>
        <v>0</v>
      </c>
      <c r="AW92" s="1341">
        <f t="shared" si="12"/>
        <v>0</v>
      </c>
      <c r="AX92" s="1341">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8"/>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9"/>
      <c r="AV93" s="1341">
        <f t="shared" si="11"/>
        <v>0</v>
      </c>
      <c r="AW93" s="1341">
        <f t="shared" si="12"/>
        <v>0</v>
      </c>
      <c r="AX93" s="1341">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8"/>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9"/>
      <c r="AV94" s="1341">
        <f t="shared" si="11"/>
        <v>0</v>
      </c>
      <c r="AW94" s="1341">
        <f t="shared" si="12"/>
        <v>0</v>
      </c>
      <c r="AX94" s="1341">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8"/>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9"/>
      <c r="AV95" s="1341">
        <f t="shared" si="11"/>
        <v>0</v>
      </c>
      <c r="AW95" s="1341">
        <f t="shared" si="12"/>
        <v>0</v>
      </c>
      <c r="AX95" s="1341">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8"/>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9"/>
      <c r="AV96" s="1341">
        <f t="shared" si="11"/>
        <v>0</v>
      </c>
      <c r="AW96" s="1341">
        <f t="shared" si="12"/>
        <v>0</v>
      </c>
      <c r="AX96" s="1341">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8"/>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9"/>
      <c r="AV97" s="1341">
        <f t="shared" si="11"/>
        <v>0</v>
      </c>
      <c r="AW97" s="1341">
        <f t="shared" si="12"/>
        <v>0</v>
      </c>
      <c r="AX97" s="1341">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8"/>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9"/>
      <c r="AV98" s="1341">
        <f t="shared" si="11"/>
        <v>0</v>
      </c>
      <c r="AW98" s="1341">
        <f t="shared" si="12"/>
        <v>0</v>
      </c>
      <c r="AX98" s="1341">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8"/>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9"/>
      <c r="AV99" s="1341">
        <f t="shared" si="11"/>
        <v>0</v>
      </c>
      <c r="AW99" s="1341">
        <f t="shared" si="12"/>
        <v>0</v>
      </c>
      <c r="AX99" s="1341">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8"/>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9"/>
      <c r="AV100" s="1341">
        <f t="shared" si="11"/>
        <v>0</v>
      </c>
      <c r="AW100" s="1341">
        <f t="shared" si="12"/>
        <v>0</v>
      </c>
      <c r="AX100" s="1341">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8"/>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9"/>
      <c r="AV101" s="1341">
        <f t="shared" si="11"/>
        <v>0</v>
      </c>
      <c r="AW101" s="1341">
        <f t="shared" si="12"/>
        <v>0</v>
      </c>
      <c r="AX101" s="1341">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8"/>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9"/>
      <c r="AV102" s="1341">
        <f t="shared" si="11"/>
        <v>0</v>
      </c>
      <c r="AW102" s="1341">
        <f t="shared" si="12"/>
        <v>0</v>
      </c>
      <c r="AX102" s="1341">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8"/>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9"/>
      <c r="AV103" s="1341">
        <f t="shared" si="11"/>
        <v>0</v>
      </c>
      <c r="AW103" s="1341">
        <f t="shared" si="12"/>
        <v>0</v>
      </c>
      <c r="AX103" s="1341">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8"/>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9"/>
      <c r="AV104" s="1341">
        <f t="shared" si="11"/>
        <v>0</v>
      </c>
      <c r="AW104" s="1341">
        <f t="shared" si="12"/>
        <v>0</v>
      </c>
      <c r="AX104" s="1341">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8"/>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9"/>
      <c r="AV105" s="1341">
        <f t="shared" si="11"/>
        <v>0</v>
      </c>
      <c r="AW105" s="1341">
        <f t="shared" si="12"/>
        <v>0</v>
      </c>
      <c r="AX105" s="1341">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8"/>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9"/>
      <c r="AV106" s="1341">
        <f t="shared" si="11"/>
        <v>0</v>
      </c>
      <c r="AW106" s="1341">
        <f t="shared" si="12"/>
        <v>0</v>
      </c>
      <c r="AX106" s="1341">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8"/>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9"/>
      <c r="AV107" s="1341">
        <f t="shared" si="11"/>
        <v>0</v>
      </c>
      <c r="AW107" s="1341">
        <f t="shared" si="12"/>
        <v>0</v>
      </c>
      <c r="AX107" s="1341">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8"/>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9"/>
      <c r="AV108" s="1341">
        <f t="shared" si="11"/>
        <v>0</v>
      </c>
      <c r="AW108" s="1341">
        <f t="shared" si="12"/>
        <v>0</v>
      </c>
      <c r="AX108" s="1341">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8"/>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9"/>
      <c r="AV109" s="1341">
        <f t="shared" si="11"/>
        <v>0</v>
      </c>
      <c r="AW109" s="1341">
        <f t="shared" si="12"/>
        <v>0</v>
      </c>
      <c r="AX109" s="1341">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8"/>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9"/>
      <c r="AV110" s="1341">
        <f t="shared" si="11"/>
        <v>0</v>
      </c>
      <c r="AW110" s="1341">
        <f t="shared" si="12"/>
        <v>0</v>
      </c>
      <c r="AX110" s="1341">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8"/>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9"/>
      <c r="AV111" s="1341">
        <f t="shared" si="11"/>
        <v>0</v>
      </c>
      <c r="AW111" s="1341">
        <f t="shared" si="12"/>
        <v>0</v>
      </c>
      <c r="AX111" s="1341">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8"/>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9"/>
      <c r="AV112" s="1341">
        <f t="shared" si="11"/>
        <v>0</v>
      </c>
      <c r="AW112" s="1341">
        <f t="shared" si="12"/>
        <v>0</v>
      </c>
      <c r="AX112" s="1341">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8"/>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9"/>
      <c r="AV113" s="1341">
        <f t="shared" ref="AV113:AV144" si="62">A113</f>
        <v>0</v>
      </c>
      <c r="AW113" s="1341">
        <f t="shared" ref="AW113:AW144" si="63">B113</f>
        <v>0</v>
      </c>
      <c r="AX113" s="1341">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8"/>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9"/>
      <c r="AV114" s="1341">
        <f t="shared" si="62"/>
        <v>0</v>
      </c>
      <c r="AW114" s="1341">
        <f t="shared" si="63"/>
        <v>0</v>
      </c>
      <c r="AX114" s="1341">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8"/>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9"/>
      <c r="AV115" s="1341">
        <f t="shared" si="62"/>
        <v>0</v>
      </c>
      <c r="AW115" s="1341">
        <f t="shared" si="63"/>
        <v>0</v>
      </c>
      <c r="AX115" s="1341">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8"/>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9"/>
      <c r="AV116" s="1341">
        <f t="shared" si="62"/>
        <v>0</v>
      </c>
      <c r="AW116" s="1341">
        <f t="shared" si="63"/>
        <v>0</v>
      </c>
      <c r="AX116" s="1341">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8"/>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9"/>
      <c r="AV117" s="1341">
        <f t="shared" si="62"/>
        <v>0</v>
      </c>
      <c r="AW117" s="1341">
        <f t="shared" si="63"/>
        <v>0</v>
      </c>
      <c r="AX117" s="1341">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8"/>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9"/>
      <c r="AV118" s="1341">
        <f t="shared" si="62"/>
        <v>0</v>
      </c>
      <c r="AW118" s="1341">
        <f t="shared" si="63"/>
        <v>0</v>
      </c>
      <c r="AX118" s="1341">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8"/>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9"/>
      <c r="AV119" s="1341">
        <f t="shared" si="62"/>
        <v>0</v>
      </c>
      <c r="AW119" s="1341">
        <f t="shared" si="63"/>
        <v>0</v>
      </c>
      <c r="AX119" s="1341">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8"/>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9"/>
      <c r="AV120" s="1341">
        <f t="shared" si="62"/>
        <v>0</v>
      </c>
      <c r="AW120" s="1341">
        <f t="shared" si="63"/>
        <v>0</v>
      </c>
      <c r="AX120" s="1341">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8"/>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9"/>
      <c r="AV121" s="1341">
        <f t="shared" si="62"/>
        <v>0</v>
      </c>
      <c r="AW121" s="1341">
        <f t="shared" si="63"/>
        <v>0</v>
      </c>
      <c r="AX121" s="1341">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8"/>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9"/>
      <c r="AV122" s="1341">
        <f t="shared" si="62"/>
        <v>0</v>
      </c>
      <c r="AW122" s="1341">
        <f t="shared" si="63"/>
        <v>0</v>
      </c>
      <c r="AX122" s="1341">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8"/>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9"/>
      <c r="AV123" s="1341">
        <f t="shared" si="62"/>
        <v>0</v>
      </c>
      <c r="AW123" s="1341">
        <f t="shared" si="63"/>
        <v>0</v>
      </c>
      <c r="AX123" s="1341">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8"/>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9"/>
      <c r="AV124" s="1341">
        <f t="shared" si="62"/>
        <v>0</v>
      </c>
      <c r="AW124" s="1341">
        <f t="shared" si="63"/>
        <v>0</v>
      </c>
      <c r="AX124" s="1341">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8"/>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9"/>
      <c r="AV125" s="1341">
        <f t="shared" si="62"/>
        <v>0</v>
      </c>
      <c r="AW125" s="1341">
        <f t="shared" si="63"/>
        <v>0</v>
      </c>
      <c r="AX125" s="1341">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8"/>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9"/>
      <c r="AV126" s="1341">
        <f t="shared" si="62"/>
        <v>0</v>
      </c>
      <c r="AW126" s="1341">
        <f t="shared" si="63"/>
        <v>0</v>
      </c>
      <c r="AX126" s="1341">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8"/>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9"/>
      <c r="AV127" s="1341">
        <f t="shared" si="62"/>
        <v>0</v>
      </c>
      <c r="AW127" s="1341">
        <f t="shared" si="63"/>
        <v>0</v>
      </c>
      <c r="AX127" s="1341">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8"/>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9"/>
      <c r="AV128" s="1341">
        <f t="shared" si="62"/>
        <v>0</v>
      </c>
      <c r="AW128" s="1341">
        <f t="shared" si="63"/>
        <v>0</v>
      </c>
      <c r="AX128" s="1341">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8"/>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9"/>
      <c r="AV129" s="1341">
        <f t="shared" si="62"/>
        <v>0</v>
      </c>
      <c r="AW129" s="1341">
        <f t="shared" si="63"/>
        <v>0</v>
      </c>
      <c r="AX129" s="1341">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8"/>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9"/>
      <c r="AV130" s="1341">
        <f t="shared" si="62"/>
        <v>0</v>
      </c>
      <c r="AW130" s="1341">
        <f t="shared" si="63"/>
        <v>0</v>
      </c>
      <c r="AX130" s="1341">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8"/>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9"/>
      <c r="AV131" s="1341">
        <f t="shared" si="62"/>
        <v>0</v>
      </c>
      <c r="AW131" s="1341">
        <f t="shared" si="63"/>
        <v>0</v>
      </c>
      <c r="AX131" s="1341">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8"/>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9"/>
      <c r="AV132" s="1341">
        <f t="shared" si="62"/>
        <v>0</v>
      </c>
      <c r="AW132" s="1341">
        <f t="shared" si="63"/>
        <v>0</v>
      </c>
      <c r="AX132" s="1341">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8"/>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9"/>
      <c r="AV133" s="1341">
        <f t="shared" si="62"/>
        <v>0</v>
      </c>
      <c r="AW133" s="1341">
        <f t="shared" si="63"/>
        <v>0</v>
      </c>
      <c r="AX133" s="1341">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8"/>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9"/>
      <c r="AV134" s="1341">
        <f t="shared" si="62"/>
        <v>0</v>
      </c>
      <c r="AW134" s="1341">
        <f t="shared" si="63"/>
        <v>0</v>
      </c>
      <c r="AX134" s="1341">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8"/>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9"/>
      <c r="AV135" s="1341">
        <f t="shared" si="62"/>
        <v>0</v>
      </c>
      <c r="AW135" s="1341">
        <f t="shared" si="63"/>
        <v>0</v>
      </c>
      <c r="AX135" s="1341">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8"/>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9"/>
      <c r="AV136" s="1341">
        <f t="shared" si="62"/>
        <v>0</v>
      </c>
      <c r="AW136" s="1341">
        <f t="shared" si="63"/>
        <v>0</v>
      </c>
      <c r="AX136" s="1341">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8"/>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9"/>
      <c r="AV137" s="1341">
        <f t="shared" si="62"/>
        <v>0</v>
      </c>
      <c r="AW137" s="1341">
        <f t="shared" si="63"/>
        <v>0</v>
      </c>
      <c r="AX137" s="1341">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8"/>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9"/>
      <c r="AV138" s="1341">
        <f t="shared" si="62"/>
        <v>0</v>
      </c>
      <c r="AW138" s="1341">
        <f t="shared" si="63"/>
        <v>0</v>
      </c>
      <c r="AX138" s="1341">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8"/>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9"/>
      <c r="AV139" s="1341">
        <f t="shared" si="62"/>
        <v>0</v>
      </c>
      <c r="AW139" s="1341">
        <f t="shared" si="63"/>
        <v>0</v>
      </c>
      <c r="AX139" s="1341">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8"/>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9"/>
      <c r="AV140" s="1341">
        <f t="shared" si="62"/>
        <v>0</v>
      </c>
      <c r="AW140" s="1341">
        <f t="shared" si="63"/>
        <v>0</v>
      </c>
      <c r="AX140" s="1341">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8"/>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9"/>
      <c r="AV141" s="1341">
        <f t="shared" si="62"/>
        <v>0</v>
      </c>
      <c r="AW141" s="1341">
        <f t="shared" si="63"/>
        <v>0</v>
      </c>
      <c r="AX141" s="1341">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8"/>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9"/>
      <c r="AV142" s="1341">
        <f t="shared" si="62"/>
        <v>0</v>
      </c>
      <c r="AW142" s="1341">
        <f t="shared" si="63"/>
        <v>0</v>
      </c>
      <c r="AX142" s="1341">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8"/>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9"/>
      <c r="AV143" s="1341">
        <f t="shared" si="62"/>
        <v>0</v>
      </c>
      <c r="AW143" s="1341">
        <f t="shared" si="63"/>
        <v>0</v>
      </c>
      <c r="AX143" s="1341">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8"/>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9"/>
      <c r="AV144" s="1341">
        <f t="shared" si="62"/>
        <v>0</v>
      </c>
      <c r="AW144" s="1341">
        <f t="shared" si="63"/>
        <v>0</v>
      </c>
      <c r="AX144" s="1341">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8"/>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9"/>
      <c r="AV145" s="1341">
        <f t="shared" ref="AV145:AV176" si="91">A145</f>
        <v>0</v>
      </c>
      <c r="AW145" s="1341">
        <f t="shared" ref="AW145:AW176" si="92">B145</f>
        <v>0</v>
      </c>
      <c r="AX145" s="1341">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8"/>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9"/>
      <c r="AV146" s="1341">
        <f t="shared" si="91"/>
        <v>0</v>
      </c>
      <c r="AW146" s="1341">
        <f t="shared" si="92"/>
        <v>0</v>
      </c>
      <c r="AX146" s="1341">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8"/>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9"/>
      <c r="AV147" s="1341">
        <f t="shared" si="91"/>
        <v>0</v>
      </c>
      <c r="AW147" s="1341">
        <f t="shared" si="92"/>
        <v>0</v>
      </c>
      <c r="AX147" s="1341">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8"/>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9"/>
      <c r="AV148" s="1341">
        <f t="shared" si="91"/>
        <v>0</v>
      </c>
      <c r="AW148" s="1341">
        <f t="shared" si="92"/>
        <v>0</v>
      </c>
      <c r="AX148" s="1341">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8"/>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9"/>
      <c r="AV149" s="1341">
        <f t="shared" si="91"/>
        <v>0</v>
      </c>
      <c r="AW149" s="1341">
        <f t="shared" si="92"/>
        <v>0</v>
      </c>
      <c r="AX149" s="1341">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8"/>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9"/>
      <c r="AV150" s="1341">
        <f t="shared" si="91"/>
        <v>0</v>
      </c>
      <c r="AW150" s="1341">
        <f t="shared" si="92"/>
        <v>0</v>
      </c>
      <c r="AX150" s="1341">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8"/>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9"/>
      <c r="AV151" s="1341">
        <f t="shared" si="91"/>
        <v>0</v>
      </c>
      <c r="AW151" s="1341">
        <f t="shared" si="92"/>
        <v>0</v>
      </c>
      <c r="AX151" s="1341">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8"/>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9"/>
      <c r="AV152" s="1341">
        <f t="shared" si="91"/>
        <v>0</v>
      </c>
      <c r="AW152" s="1341">
        <f t="shared" si="92"/>
        <v>0</v>
      </c>
      <c r="AX152" s="1341">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8"/>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9"/>
      <c r="AV153" s="1341">
        <f t="shared" si="91"/>
        <v>0</v>
      </c>
      <c r="AW153" s="1341">
        <f t="shared" si="92"/>
        <v>0</v>
      </c>
      <c r="AX153" s="1341">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8"/>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9"/>
      <c r="AV154" s="1341">
        <f t="shared" si="91"/>
        <v>0</v>
      </c>
      <c r="AW154" s="1341">
        <f t="shared" si="92"/>
        <v>0</v>
      </c>
      <c r="AX154" s="1341">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8"/>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9"/>
      <c r="AV155" s="1341">
        <f t="shared" si="91"/>
        <v>0</v>
      </c>
      <c r="AW155" s="1341">
        <f t="shared" si="92"/>
        <v>0</v>
      </c>
      <c r="AX155" s="1341">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8"/>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9"/>
      <c r="AV156" s="1341">
        <f t="shared" si="91"/>
        <v>0</v>
      </c>
      <c r="AW156" s="1341">
        <f t="shared" si="92"/>
        <v>0</v>
      </c>
      <c r="AX156" s="1341">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8"/>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9"/>
      <c r="AV157" s="1341">
        <f t="shared" si="91"/>
        <v>0</v>
      </c>
      <c r="AW157" s="1341">
        <f t="shared" si="92"/>
        <v>0</v>
      </c>
      <c r="AX157" s="1341">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8"/>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9"/>
      <c r="AV158" s="1341">
        <f t="shared" si="91"/>
        <v>0</v>
      </c>
      <c r="AW158" s="1341">
        <f t="shared" si="92"/>
        <v>0</v>
      </c>
      <c r="AX158" s="1341">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8"/>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9"/>
      <c r="AV159" s="1341">
        <f t="shared" si="91"/>
        <v>0</v>
      </c>
      <c r="AW159" s="1341">
        <f t="shared" si="92"/>
        <v>0</v>
      </c>
      <c r="AX159" s="1341">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8"/>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9"/>
      <c r="AV160" s="1341">
        <f t="shared" si="91"/>
        <v>0</v>
      </c>
      <c r="AW160" s="1341">
        <f t="shared" si="92"/>
        <v>0</v>
      </c>
      <c r="AX160" s="1341">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8"/>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9"/>
      <c r="AV161" s="1341">
        <f t="shared" si="91"/>
        <v>0</v>
      </c>
      <c r="AW161" s="1341">
        <f t="shared" si="92"/>
        <v>0</v>
      </c>
      <c r="AX161" s="1341">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8"/>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9"/>
      <c r="AV162" s="1341">
        <f t="shared" si="91"/>
        <v>0</v>
      </c>
      <c r="AW162" s="1341">
        <f t="shared" si="92"/>
        <v>0</v>
      </c>
      <c r="AX162" s="1341">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8"/>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9"/>
      <c r="AV163" s="1341">
        <f t="shared" si="91"/>
        <v>0</v>
      </c>
      <c r="AW163" s="1341">
        <f t="shared" si="92"/>
        <v>0</v>
      </c>
      <c r="AX163" s="1341">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8"/>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9"/>
      <c r="AV164" s="1341">
        <f t="shared" si="91"/>
        <v>0</v>
      </c>
      <c r="AW164" s="1341">
        <f t="shared" si="92"/>
        <v>0</v>
      </c>
      <c r="AX164" s="1341">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8"/>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9"/>
      <c r="AV165" s="1341">
        <f t="shared" si="91"/>
        <v>0</v>
      </c>
      <c r="AW165" s="1341">
        <f t="shared" si="92"/>
        <v>0</v>
      </c>
      <c r="AX165" s="1341">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8"/>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9"/>
      <c r="AV166" s="1341">
        <f t="shared" si="91"/>
        <v>0</v>
      </c>
      <c r="AW166" s="1341">
        <f t="shared" si="92"/>
        <v>0</v>
      </c>
      <c r="AX166" s="1341">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8"/>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9"/>
      <c r="AV167" s="1341">
        <f t="shared" si="91"/>
        <v>0</v>
      </c>
      <c r="AW167" s="1341">
        <f t="shared" si="92"/>
        <v>0</v>
      </c>
      <c r="AX167" s="1341">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8"/>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9"/>
      <c r="AV168" s="1341">
        <f t="shared" si="91"/>
        <v>0</v>
      </c>
      <c r="AW168" s="1341">
        <f t="shared" si="92"/>
        <v>0</v>
      </c>
      <c r="AX168" s="1341">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8"/>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9"/>
      <c r="AV169" s="1341">
        <f t="shared" si="91"/>
        <v>0</v>
      </c>
      <c r="AW169" s="1341">
        <f t="shared" si="92"/>
        <v>0</v>
      </c>
      <c r="AX169" s="1341">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8"/>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9"/>
      <c r="AV170" s="1341">
        <f t="shared" si="91"/>
        <v>0</v>
      </c>
      <c r="AW170" s="1341">
        <f t="shared" si="92"/>
        <v>0</v>
      </c>
      <c r="AX170" s="1341">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8"/>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9"/>
      <c r="AV171" s="1341">
        <f t="shared" si="91"/>
        <v>0</v>
      </c>
      <c r="AW171" s="1341">
        <f t="shared" si="92"/>
        <v>0</v>
      </c>
      <c r="AX171" s="1341">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8"/>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9"/>
      <c r="AV172" s="1341">
        <f t="shared" si="91"/>
        <v>0</v>
      </c>
      <c r="AW172" s="1341">
        <f t="shared" si="92"/>
        <v>0</v>
      </c>
      <c r="AX172" s="1341">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8"/>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9"/>
      <c r="AV173" s="1341">
        <f t="shared" si="91"/>
        <v>0</v>
      </c>
      <c r="AW173" s="1341">
        <f t="shared" si="92"/>
        <v>0</v>
      </c>
      <c r="AX173" s="1341">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8"/>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9"/>
      <c r="AV174" s="1341">
        <f t="shared" si="91"/>
        <v>0</v>
      </c>
      <c r="AW174" s="1341">
        <f t="shared" si="92"/>
        <v>0</v>
      </c>
      <c r="AX174" s="1341">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8"/>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9"/>
      <c r="AV175" s="1341">
        <f t="shared" si="91"/>
        <v>0</v>
      </c>
      <c r="AW175" s="1341">
        <f t="shared" si="92"/>
        <v>0</v>
      </c>
      <c r="AX175" s="1341">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8"/>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9"/>
      <c r="AV176" s="1341">
        <f t="shared" si="91"/>
        <v>0</v>
      </c>
      <c r="AW176" s="1341">
        <f t="shared" si="92"/>
        <v>0</v>
      </c>
      <c r="AX176" s="1341">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8"/>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9"/>
      <c r="AV177" s="1341">
        <f t="shared" ref="AV177:AV207" si="120">A177</f>
        <v>0</v>
      </c>
      <c r="AW177" s="1341">
        <f t="shared" ref="AW177:AW207" si="121">B177</f>
        <v>0</v>
      </c>
      <c r="AX177" s="1341">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8"/>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9"/>
      <c r="AV178" s="1341">
        <f t="shared" si="120"/>
        <v>0</v>
      </c>
      <c r="AW178" s="1341">
        <f t="shared" si="121"/>
        <v>0</v>
      </c>
      <c r="AX178" s="1341">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8"/>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9"/>
      <c r="AV179" s="1341">
        <f t="shared" si="120"/>
        <v>0</v>
      </c>
      <c r="AW179" s="1341">
        <f t="shared" si="121"/>
        <v>0</v>
      </c>
      <c r="AX179" s="1341">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8"/>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9"/>
      <c r="AV180" s="1341">
        <f t="shared" si="120"/>
        <v>0</v>
      </c>
      <c r="AW180" s="1341">
        <f t="shared" si="121"/>
        <v>0</v>
      </c>
      <c r="AX180" s="1341">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8"/>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9"/>
      <c r="AV181" s="1341">
        <f t="shared" si="120"/>
        <v>0</v>
      </c>
      <c r="AW181" s="1341">
        <f t="shared" si="121"/>
        <v>0</v>
      </c>
      <c r="AX181" s="1341">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8"/>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9"/>
      <c r="AV182" s="1341">
        <f t="shared" si="120"/>
        <v>0</v>
      </c>
      <c r="AW182" s="1341">
        <f t="shared" si="121"/>
        <v>0</v>
      </c>
      <c r="AX182" s="1341">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8"/>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9"/>
      <c r="AV183" s="1341">
        <f t="shared" si="120"/>
        <v>0</v>
      </c>
      <c r="AW183" s="1341">
        <f t="shared" si="121"/>
        <v>0</v>
      </c>
      <c r="AX183" s="1341">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8"/>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9"/>
      <c r="AV184" s="1341">
        <f t="shared" si="120"/>
        <v>0</v>
      </c>
      <c r="AW184" s="1341">
        <f t="shared" si="121"/>
        <v>0</v>
      </c>
      <c r="AX184" s="1341">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8"/>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9"/>
      <c r="AV185" s="1341">
        <f t="shared" si="120"/>
        <v>0</v>
      </c>
      <c r="AW185" s="1341">
        <f t="shared" si="121"/>
        <v>0</v>
      </c>
      <c r="AX185" s="1341">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8"/>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9"/>
      <c r="AV186" s="1341">
        <f t="shared" si="120"/>
        <v>0</v>
      </c>
      <c r="AW186" s="1341">
        <f t="shared" si="121"/>
        <v>0</v>
      </c>
      <c r="AX186" s="1341">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8"/>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9"/>
      <c r="AV187" s="1341">
        <f t="shared" si="120"/>
        <v>0</v>
      </c>
      <c r="AW187" s="1341">
        <f t="shared" si="121"/>
        <v>0</v>
      </c>
      <c r="AX187" s="1341">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8"/>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9"/>
      <c r="AV188" s="1341">
        <f t="shared" si="120"/>
        <v>0</v>
      </c>
      <c r="AW188" s="1341">
        <f t="shared" si="121"/>
        <v>0</v>
      </c>
      <c r="AX188" s="1341">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8"/>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9"/>
      <c r="AV189" s="1341">
        <f t="shared" si="120"/>
        <v>0</v>
      </c>
      <c r="AW189" s="1341">
        <f t="shared" si="121"/>
        <v>0</v>
      </c>
      <c r="AX189" s="1341">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8"/>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9"/>
      <c r="AV190" s="1341">
        <f t="shared" si="120"/>
        <v>0</v>
      </c>
      <c r="AW190" s="1341">
        <f t="shared" si="121"/>
        <v>0</v>
      </c>
      <c r="AX190" s="1341">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8"/>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9"/>
      <c r="AV191" s="1341">
        <f t="shared" si="120"/>
        <v>0</v>
      </c>
      <c r="AW191" s="1341">
        <f t="shared" si="121"/>
        <v>0</v>
      </c>
      <c r="AX191" s="1341">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8"/>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9"/>
      <c r="AV192" s="1341">
        <f t="shared" si="120"/>
        <v>0</v>
      </c>
      <c r="AW192" s="1341">
        <f t="shared" si="121"/>
        <v>0</v>
      </c>
      <c r="AX192" s="1341">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8"/>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9"/>
      <c r="AV193" s="1341">
        <f t="shared" si="120"/>
        <v>0</v>
      </c>
      <c r="AW193" s="1341">
        <f t="shared" si="121"/>
        <v>0</v>
      </c>
      <c r="AX193" s="1341">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8"/>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9"/>
      <c r="AV194" s="1341">
        <f t="shared" si="120"/>
        <v>0</v>
      </c>
      <c r="AW194" s="1341">
        <f t="shared" si="121"/>
        <v>0</v>
      </c>
      <c r="AX194" s="1341">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8"/>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9"/>
      <c r="AV195" s="1341">
        <f t="shared" si="120"/>
        <v>0</v>
      </c>
      <c r="AW195" s="1341">
        <f t="shared" si="121"/>
        <v>0</v>
      </c>
      <c r="AX195" s="1341">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8"/>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9"/>
      <c r="AV196" s="1341">
        <f t="shared" si="120"/>
        <v>0</v>
      </c>
      <c r="AW196" s="1341">
        <f t="shared" si="121"/>
        <v>0</v>
      </c>
      <c r="AX196" s="1341">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8"/>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9"/>
      <c r="AV197" s="1341">
        <f t="shared" si="120"/>
        <v>0</v>
      </c>
      <c r="AW197" s="1341">
        <f t="shared" si="121"/>
        <v>0</v>
      </c>
      <c r="AX197" s="1341">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8"/>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9"/>
      <c r="AV198" s="1341">
        <f t="shared" si="120"/>
        <v>0</v>
      </c>
      <c r="AW198" s="1341">
        <f t="shared" si="121"/>
        <v>0</v>
      </c>
      <c r="AX198" s="1341">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8"/>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9"/>
      <c r="AV199" s="1341">
        <f t="shared" si="120"/>
        <v>0</v>
      </c>
      <c r="AW199" s="1341">
        <f t="shared" si="121"/>
        <v>0</v>
      </c>
      <c r="AX199" s="1341">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8"/>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9"/>
      <c r="AV200" s="1341">
        <f t="shared" si="120"/>
        <v>0</v>
      </c>
      <c r="AW200" s="1341">
        <f t="shared" si="121"/>
        <v>0</v>
      </c>
      <c r="AX200" s="1341">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8"/>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9"/>
      <c r="AV201" s="1341">
        <f t="shared" si="120"/>
        <v>0</v>
      </c>
      <c r="AW201" s="1341">
        <f t="shared" si="121"/>
        <v>0</v>
      </c>
      <c r="AX201" s="1341">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8"/>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9"/>
      <c r="AV202" s="1341">
        <f t="shared" si="120"/>
        <v>0</v>
      </c>
      <c r="AW202" s="1341">
        <f t="shared" si="121"/>
        <v>0</v>
      </c>
      <c r="AX202" s="1341">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8"/>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9"/>
      <c r="AV203" s="1341">
        <f t="shared" si="120"/>
        <v>0</v>
      </c>
      <c r="AW203" s="1341">
        <f t="shared" si="121"/>
        <v>0</v>
      </c>
      <c r="AX203" s="1341">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8"/>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9"/>
      <c r="AV204" s="1341">
        <f t="shared" si="120"/>
        <v>0</v>
      </c>
      <c r="AW204" s="1341">
        <f t="shared" si="121"/>
        <v>0</v>
      </c>
      <c r="AX204" s="1341">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8"/>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9"/>
      <c r="AV205" s="1341">
        <f t="shared" si="120"/>
        <v>0</v>
      </c>
      <c r="AW205" s="1341">
        <f t="shared" si="121"/>
        <v>0</v>
      </c>
      <c r="AX205" s="1341">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8"/>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9"/>
      <c r="AV206" s="1341">
        <f t="shared" si="120"/>
        <v>0</v>
      </c>
      <c r="AW206" s="1341">
        <f t="shared" si="121"/>
        <v>0</v>
      </c>
      <c r="AX206" s="1341">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8"/>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9"/>
      <c r="AV207" s="1341">
        <f t="shared" si="120"/>
        <v>0</v>
      </c>
      <c r="AW207" s="1341">
        <f t="shared" si="121"/>
        <v>0</v>
      </c>
      <c r="AX207" s="1341">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8"/>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9"/>
      <c r="AV208" s="1341">
        <f t="shared" ref="AV208:AV302" si="127">A208</f>
        <v>0</v>
      </c>
      <c r="AW208" s="1341">
        <f t="shared" ref="AW208:AW302" si="128">B208</f>
        <v>0</v>
      </c>
      <c r="AX208" s="1341">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8"/>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9"/>
      <c r="AV209" s="1341">
        <f t="shared" si="127"/>
        <v>0</v>
      </c>
      <c r="AW209" s="1341">
        <f t="shared" si="128"/>
        <v>0</v>
      </c>
      <c r="AX209" s="1341">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8"/>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9"/>
      <c r="AV210" s="1341">
        <f t="shared" si="127"/>
        <v>0</v>
      </c>
      <c r="AW210" s="1341">
        <f t="shared" si="128"/>
        <v>0</v>
      </c>
      <c r="AX210" s="1341">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8"/>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9"/>
      <c r="AV211" s="1341">
        <f t="shared" si="127"/>
        <v>0</v>
      </c>
      <c r="AW211" s="1341">
        <f t="shared" si="128"/>
        <v>0</v>
      </c>
      <c r="AX211" s="1341">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8"/>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9"/>
      <c r="AV212" s="1341">
        <f t="shared" si="127"/>
        <v>0</v>
      </c>
      <c r="AW212" s="1341">
        <f t="shared" si="128"/>
        <v>0</v>
      </c>
      <c r="AX212" s="1341">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8"/>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9"/>
      <c r="AV213" s="1341">
        <f t="shared" si="127"/>
        <v>0</v>
      </c>
      <c r="AW213" s="1341">
        <f t="shared" si="128"/>
        <v>0</v>
      </c>
      <c r="AX213" s="1341">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8"/>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9"/>
      <c r="AV214" s="1341">
        <f t="shared" si="127"/>
        <v>0</v>
      </c>
      <c r="AW214" s="1341">
        <f t="shared" si="128"/>
        <v>0</v>
      </c>
      <c r="AX214" s="1341">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8"/>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9"/>
      <c r="AV215" s="1341">
        <f t="shared" si="127"/>
        <v>0</v>
      </c>
      <c r="AW215" s="1341">
        <f t="shared" si="128"/>
        <v>0</v>
      </c>
      <c r="AX215" s="1341">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8"/>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9"/>
      <c r="AV216" s="1341">
        <f t="shared" si="127"/>
        <v>0</v>
      </c>
      <c r="AW216" s="1341">
        <f t="shared" si="128"/>
        <v>0</v>
      </c>
      <c r="AX216" s="1341">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8"/>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9"/>
      <c r="AV217" s="1341">
        <f t="shared" si="127"/>
        <v>0</v>
      </c>
      <c r="AW217" s="1341">
        <f t="shared" si="128"/>
        <v>0</v>
      </c>
      <c r="AX217" s="1341">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8"/>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9"/>
      <c r="AV218" s="1341">
        <f t="shared" si="127"/>
        <v>0</v>
      </c>
      <c r="AW218" s="1341">
        <f t="shared" si="128"/>
        <v>0</v>
      </c>
      <c r="AX218" s="1341">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8"/>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9"/>
      <c r="AV219" s="1341">
        <f t="shared" si="127"/>
        <v>0</v>
      </c>
      <c r="AW219" s="1341">
        <f t="shared" si="128"/>
        <v>0</v>
      </c>
      <c r="AX219" s="1341">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8"/>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9"/>
      <c r="AV220" s="1341">
        <f t="shared" si="127"/>
        <v>0</v>
      </c>
      <c r="AW220" s="1341">
        <f t="shared" si="128"/>
        <v>0</v>
      </c>
      <c r="AX220" s="1341">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8"/>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9"/>
      <c r="AV221" s="1341">
        <f t="shared" si="127"/>
        <v>0</v>
      </c>
      <c r="AW221" s="1341">
        <f t="shared" si="128"/>
        <v>0</v>
      </c>
      <c r="AX221" s="1341">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8"/>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9"/>
      <c r="AV222" s="1341">
        <f t="shared" si="127"/>
        <v>0</v>
      </c>
      <c r="AW222" s="1341">
        <f t="shared" si="128"/>
        <v>0</v>
      </c>
      <c r="AX222" s="1341">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8"/>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9"/>
      <c r="AV223" s="1341">
        <f t="shared" si="127"/>
        <v>0</v>
      </c>
      <c r="AW223" s="1341">
        <f t="shared" si="128"/>
        <v>0</v>
      </c>
      <c r="AX223" s="1341">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8"/>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9"/>
      <c r="AV224" s="1341">
        <f t="shared" si="127"/>
        <v>0</v>
      </c>
      <c r="AW224" s="1341">
        <f t="shared" si="128"/>
        <v>0</v>
      </c>
      <c r="AX224" s="1341">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8"/>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9"/>
      <c r="AV225" s="1341">
        <f t="shared" si="127"/>
        <v>0</v>
      </c>
      <c r="AW225" s="1341">
        <f t="shared" si="128"/>
        <v>0</v>
      </c>
      <c r="AX225" s="1341">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8"/>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9"/>
      <c r="AV226" s="1341">
        <f t="shared" si="127"/>
        <v>0</v>
      </c>
      <c r="AW226" s="1341">
        <f t="shared" si="128"/>
        <v>0</v>
      </c>
      <c r="AX226" s="1341">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8"/>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9"/>
      <c r="AV227" s="1341">
        <f t="shared" si="127"/>
        <v>0</v>
      </c>
      <c r="AW227" s="1341">
        <f t="shared" si="128"/>
        <v>0</v>
      </c>
      <c r="AX227" s="1341">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8"/>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9"/>
      <c r="AV228" s="1341">
        <f t="shared" si="127"/>
        <v>0</v>
      </c>
      <c r="AW228" s="1341">
        <f t="shared" si="128"/>
        <v>0</v>
      </c>
      <c r="AX228" s="1341">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8"/>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9"/>
      <c r="AV229" s="1341">
        <f t="shared" si="127"/>
        <v>0</v>
      </c>
      <c r="AW229" s="1341">
        <f t="shared" si="128"/>
        <v>0</v>
      </c>
      <c r="AX229" s="1341">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8"/>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9"/>
      <c r="AV230" s="1341">
        <f t="shared" si="127"/>
        <v>0</v>
      </c>
      <c r="AW230" s="1341">
        <f t="shared" si="128"/>
        <v>0</v>
      </c>
      <c r="AX230" s="1341">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8"/>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9"/>
      <c r="AV231" s="1341">
        <f t="shared" si="127"/>
        <v>0</v>
      </c>
      <c r="AW231" s="1341">
        <f t="shared" si="128"/>
        <v>0</v>
      </c>
      <c r="AX231" s="1341">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8"/>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9"/>
      <c r="AV232" s="1341">
        <f t="shared" si="127"/>
        <v>0</v>
      </c>
      <c r="AW232" s="1341">
        <f t="shared" si="128"/>
        <v>0</v>
      </c>
      <c r="AX232" s="1341">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8"/>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9"/>
      <c r="AV233" s="1341">
        <f t="shared" si="127"/>
        <v>0</v>
      </c>
      <c r="AW233" s="1341">
        <f t="shared" si="128"/>
        <v>0</v>
      </c>
      <c r="AX233" s="1341">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8"/>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9"/>
      <c r="AV234" s="1341">
        <f t="shared" si="127"/>
        <v>0</v>
      </c>
      <c r="AW234" s="1341">
        <f t="shared" si="128"/>
        <v>0</v>
      </c>
      <c r="AX234" s="1341">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8"/>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9"/>
      <c r="AV235" s="1341">
        <f t="shared" si="127"/>
        <v>0</v>
      </c>
      <c r="AW235" s="1341">
        <f t="shared" si="128"/>
        <v>0</v>
      </c>
      <c r="AX235" s="1341">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8"/>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9"/>
      <c r="AV236" s="1341">
        <f t="shared" si="127"/>
        <v>0</v>
      </c>
      <c r="AW236" s="1341">
        <f t="shared" si="128"/>
        <v>0</v>
      </c>
      <c r="AX236" s="1341">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8"/>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9"/>
      <c r="AV237" s="1341">
        <f t="shared" si="127"/>
        <v>0</v>
      </c>
      <c r="AW237" s="1341">
        <f t="shared" si="128"/>
        <v>0</v>
      </c>
      <c r="AX237" s="1341">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8"/>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9"/>
      <c r="AV238" s="1341">
        <f t="shared" si="127"/>
        <v>0</v>
      </c>
      <c r="AW238" s="1341">
        <f t="shared" si="128"/>
        <v>0</v>
      </c>
      <c r="AX238" s="1341">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8"/>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9"/>
      <c r="AV239" s="1341">
        <f t="shared" si="127"/>
        <v>0</v>
      </c>
      <c r="AW239" s="1341">
        <f t="shared" si="128"/>
        <v>0</v>
      </c>
      <c r="AX239" s="1341">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8"/>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9"/>
      <c r="AV240" s="1341">
        <f t="shared" si="127"/>
        <v>0</v>
      </c>
      <c r="AW240" s="1341">
        <f t="shared" si="128"/>
        <v>0</v>
      </c>
      <c r="AX240" s="1341">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8"/>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9"/>
      <c r="AV241" s="1341">
        <f t="shared" si="127"/>
        <v>0</v>
      </c>
      <c r="AW241" s="1341">
        <f t="shared" si="128"/>
        <v>0</v>
      </c>
      <c r="AX241" s="1341">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8"/>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9"/>
      <c r="AV242" s="1341">
        <f t="shared" si="127"/>
        <v>0</v>
      </c>
      <c r="AW242" s="1341">
        <f t="shared" si="128"/>
        <v>0</v>
      </c>
      <c r="AX242" s="1341">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8"/>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9"/>
      <c r="AV243" s="1341">
        <f t="shared" si="127"/>
        <v>0</v>
      </c>
      <c r="AW243" s="1341">
        <f t="shared" si="128"/>
        <v>0</v>
      </c>
      <c r="AX243" s="1341">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8"/>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9"/>
      <c r="AV244" s="1341">
        <f t="shared" si="127"/>
        <v>0</v>
      </c>
      <c r="AW244" s="1341">
        <f t="shared" si="128"/>
        <v>0</v>
      </c>
      <c r="AX244" s="1341">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8"/>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9"/>
      <c r="AV245" s="1341">
        <f t="shared" si="127"/>
        <v>0</v>
      </c>
      <c r="AW245" s="1341">
        <f t="shared" si="128"/>
        <v>0</v>
      </c>
      <c r="AX245" s="1341">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8"/>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9"/>
      <c r="AV246" s="1341">
        <f t="shared" si="127"/>
        <v>0</v>
      </c>
      <c r="AW246" s="1341">
        <f t="shared" si="128"/>
        <v>0</v>
      </c>
      <c r="AX246" s="1341">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8"/>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9"/>
      <c r="AV247" s="1341">
        <f t="shared" si="127"/>
        <v>0</v>
      </c>
      <c r="AW247" s="1341">
        <f t="shared" si="128"/>
        <v>0</v>
      </c>
      <c r="AX247" s="1341">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8"/>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9"/>
      <c r="AV248" s="1341">
        <f t="shared" si="127"/>
        <v>0</v>
      </c>
      <c r="AW248" s="1341">
        <f t="shared" si="128"/>
        <v>0</v>
      </c>
      <c r="AX248" s="1341">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8"/>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9"/>
      <c r="AV249" s="1341">
        <f t="shared" si="127"/>
        <v>0</v>
      </c>
      <c r="AW249" s="1341">
        <f t="shared" si="128"/>
        <v>0</v>
      </c>
      <c r="AX249" s="1341">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8"/>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9"/>
      <c r="AV250" s="1341">
        <f t="shared" si="127"/>
        <v>0</v>
      </c>
      <c r="AW250" s="1341">
        <f t="shared" si="128"/>
        <v>0</v>
      </c>
      <c r="AX250" s="1341">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8"/>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9"/>
      <c r="AV251" s="1341">
        <f t="shared" si="127"/>
        <v>0</v>
      </c>
      <c r="AW251" s="1341">
        <f t="shared" si="128"/>
        <v>0</v>
      </c>
      <c r="AX251" s="1341">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8"/>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9"/>
      <c r="AV252" s="1341">
        <f t="shared" si="127"/>
        <v>0</v>
      </c>
      <c r="AW252" s="1341">
        <f t="shared" si="128"/>
        <v>0</v>
      </c>
      <c r="AX252" s="1341">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8"/>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9"/>
      <c r="AV253" s="1341">
        <f t="shared" si="127"/>
        <v>0</v>
      </c>
      <c r="AW253" s="1341">
        <f t="shared" si="128"/>
        <v>0</v>
      </c>
      <c r="AX253" s="1341">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8"/>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9"/>
      <c r="AV254" s="1341">
        <f t="shared" si="127"/>
        <v>0</v>
      </c>
      <c r="AW254" s="1341">
        <f t="shared" si="128"/>
        <v>0</v>
      </c>
      <c r="AX254" s="1341">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8"/>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9"/>
      <c r="AV255" s="1341">
        <f t="shared" si="127"/>
        <v>0</v>
      </c>
      <c r="AW255" s="1341">
        <f t="shared" si="128"/>
        <v>0</v>
      </c>
      <c r="AX255" s="1341">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8"/>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9"/>
      <c r="AV256" s="1341">
        <f t="shared" si="127"/>
        <v>0</v>
      </c>
      <c r="AW256" s="1341">
        <f t="shared" si="128"/>
        <v>0</v>
      </c>
      <c r="AX256" s="1341">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8"/>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9"/>
      <c r="AV257" s="1341">
        <f t="shared" si="127"/>
        <v>0</v>
      </c>
      <c r="AW257" s="1341">
        <f t="shared" si="128"/>
        <v>0</v>
      </c>
      <c r="AX257" s="1341">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8"/>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9"/>
      <c r="AV258" s="1341">
        <f t="shared" si="127"/>
        <v>0</v>
      </c>
      <c r="AW258" s="1341">
        <f t="shared" si="128"/>
        <v>0</v>
      </c>
      <c r="AX258" s="1341">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8"/>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9"/>
      <c r="AV259" s="1341">
        <f t="shared" si="127"/>
        <v>0</v>
      </c>
      <c r="AW259" s="1341">
        <f t="shared" si="128"/>
        <v>0</v>
      </c>
      <c r="AX259" s="1341">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8"/>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9"/>
      <c r="AV260" s="1341">
        <f t="shared" si="127"/>
        <v>0</v>
      </c>
      <c r="AW260" s="1341">
        <f t="shared" si="128"/>
        <v>0</v>
      </c>
      <c r="AX260" s="1341">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8"/>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9"/>
      <c r="AV261" s="1341">
        <f t="shared" si="127"/>
        <v>0</v>
      </c>
      <c r="AW261" s="1341">
        <f t="shared" si="128"/>
        <v>0</v>
      </c>
      <c r="AX261" s="1341">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8"/>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9"/>
      <c r="AV262" s="1341">
        <f t="shared" si="127"/>
        <v>0</v>
      </c>
      <c r="AW262" s="1341">
        <f t="shared" si="128"/>
        <v>0</v>
      </c>
      <c r="AX262" s="1341">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8"/>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9"/>
      <c r="AV263" s="1341">
        <f t="shared" si="127"/>
        <v>0</v>
      </c>
      <c r="AW263" s="1341">
        <f t="shared" si="128"/>
        <v>0</v>
      </c>
      <c r="AX263" s="1341">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8"/>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9"/>
      <c r="AV264" s="1341">
        <f t="shared" si="127"/>
        <v>0</v>
      </c>
      <c r="AW264" s="1341">
        <f t="shared" si="128"/>
        <v>0</v>
      </c>
      <c r="AX264" s="1341">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8"/>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9"/>
      <c r="AV265" s="1341">
        <f t="shared" si="127"/>
        <v>0</v>
      </c>
      <c r="AW265" s="1341">
        <f t="shared" si="128"/>
        <v>0</v>
      </c>
      <c r="AX265" s="1341">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8"/>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9"/>
      <c r="AV266" s="1341">
        <f t="shared" si="127"/>
        <v>0</v>
      </c>
      <c r="AW266" s="1341">
        <f t="shared" si="128"/>
        <v>0</v>
      </c>
      <c r="AX266" s="1341">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8"/>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9"/>
      <c r="AV267" s="1341">
        <f t="shared" si="127"/>
        <v>0</v>
      </c>
      <c r="AW267" s="1341">
        <f t="shared" si="128"/>
        <v>0</v>
      </c>
      <c r="AX267" s="1341">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8"/>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9"/>
      <c r="AV268" s="1341">
        <f t="shared" si="127"/>
        <v>0</v>
      </c>
      <c r="AW268" s="1341">
        <f t="shared" si="128"/>
        <v>0</v>
      </c>
      <c r="AX268" s="1341">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8"/>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9"/>
      <c r="AV269" s="1341">
        <f t="shared" si="127"/>
        <v>0</v>
      </c>
      <c r="AW269" s="1341">
        <f t="shared" si="128"/>
        <v>0</v>
      </c>
      <c r="AX269" s="1341">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8"/>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9"/>
      <c r="AV270" s="1341">
        <f t="shared" si="127"/>
        <v>0</v>
      </c>
      <c r="AW270" s="1341">
        <f t="shared" si="128"/>
        <v>0</v>
      </c>
      <c r="AX270" s="1341">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8"/>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9"/>
      <c r="AV271" s="1341">
        <f t="shared" si="127"/>
        <v>0</v>
      </c>
      <c r="AW271" s="1341">
        <f t="shared" si="128"/>
        <v>0</v>
      </c>
      <c r="AX271" s="1341">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8"/>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9"/>
      <c r="AV272" s="1341">
        <f t="shared" si="127"/>
        <v>0</v>
      </c>
      <c r="AW272" s="1341">
        <f t="shared" si="128"/>
        <v>0</v>
      </c>
      <c r="AX272" s="1341">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8"/>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9"/>
      <c r="AV273" s="1341">
        <f t="shared" si="127"/>
        <v>0</v>
      </c>
      <c r="AW273" s="1341">
        <f t="shared" si="128"/>
        <v>0</v>
      </c>
      <c r="AX273" s="1341">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8"/>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9"/>
      <c r="AV274" s="1341">
        <f t="shared" si="127"/>
        <v>0</v>
      </c>
      <c r="AW274" s="1341">
        <f t="shared" si="128"/>
        <v>0</v>
      </c>
      <c r="AX274" s="1341">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8"/>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9"/>
      <c r="AV275" s="1341">
        <f t="shared" si="127"/>
        <v>0</v>
      </c>
      <c r="AW275" s="1341">
        <f t="shared" si="128"/>
        <v>0</v>
      </c>
      <c r="AX275" s="1341">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8"/>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9"/>
      <c r="AV276" s="1341">
        <f t="shared" si="127"/>
        <v>0</v>
      </c>
      <c r="AW276" s="1341">
        <f t="shared" si="128"/>
        <v>0</v>
      </c>
      <c r="AX276" s="1341">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8"/>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9"/>
      <c r="AV277" s="1341">
        <f t="shared" si="127"/>
        <v>0</v>
      </c>
      <c r="AW277" s="1341">
        <f t="shared" si="128"/>
        <v>0</v>
      </c>
      <c r="AX277" s="1341">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8"/>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9"/>
      <c r="AV278" s="1341">
        <f t="shared" si="127"/>
        <v>0</v>
      </c>
      <c r="AW278" s="1341">
        <f t="shared" si="128"/>
        <v>0</v>
      </c>
      <c r="AX278" s="1341">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8"/>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9"/>
      <c r="AV279" s="1341">
        <f t="shared" si="127"/>
        <v>0</v>
      </c>
      <c r="AW279" s="1341">
        <f t="shared" si="128"/>
        <v>0</v>
      </c>
      <c r="AX279" s="1341">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8"/>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9"/>
      <c r="AV280" s="1341">
        <f t="shared" si="127"/>
        <v>0</v>
      </c>
      <c r="AW280" s="1341">
        <f t="shared" si="128"/>
        <v>0</v>
      </c>
      <c r="AX280" s="1341">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8"/>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9"/>
      <c r="AV281" s="1341">
        <f t="shared" si="127"/>
        <v>0</v>
      </c>
      <c r="AW281" s="1341">
        <f t="shared" si="128"/>
        <v>0</v>
      </c>
      <c r="AX281" s="1341">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8"/>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9"/>
      <c r="AV282" s="1341">
        <f t="shared" si="127"/>
        <v>0</v>
      </c>
      <c r="AW282" s="1341">
        <f t="shared" si="128"/>
        <v>0</v>
      </c>
      <c r="AX282" s="1341">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8"/>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9"/>
      <c r="AV283" s="1341">
        <f t="shared" si="127"/>
        <v>0</v>
      </c>
      <c r="AW283" s="1341">
        <f t="shared" si="128"/>
        <v>0</v>
      </c>
      <c r="AX283" s="1341">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8"/>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9"/>
      <c r="AV284" s="1341">
        <f t="shared" si="127"/>
        <v>0</v>
      </c>
      <c r="AW284" s="1341">
        <f t="shared" si="128"/>
        <v>0</v>
      </c>
      <c r="AX284" s="1341">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8"/>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9"/>
      <c r="AV285" s="1341">
        <f t="shared" si="127"/>
        <v>0</v>
      </c>
      <c r="AW285" s="1341">
        <f t="shared" si="128"/>
        <v>0</v>
      </c>
      <c r="AX285" s="1341">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8"/>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9"/>
      <c r="AV286" s="1341">
        <f t="shared" si="127"/>
        <v>0</v>
      </c>
      <c r="AW286" s="1341">
        <f t="shared" si="128"/>
        <v>0</v>
      </c>
      <c r="AX286" s="1341">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8"/>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9"/>
      <c r="AV287" s="1341">
        <f t="shared" si="127"/>
        <v>0</v>
      </c>
      <c r="AW287" s="1341">
        <f t="shared" si="128"/>
        <v>0</v>
      </c>
      <c r="AX287" s="1341">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8"/>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9"/>
      <c r="AV288" s="1341">
        <f t="shared" si="127"/>
        <v>0</v>
      </c>
      <c r="AW288" s="1341">
        <f t="shared" si="128"/>
        <v>0</v>
      </c>
      <c r="AX288" s="1341">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8"/>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9"/>
      <c r="AV289" s="1341">
        <f t="shared" si="127"/>
        <v>0</v>
      </c>
      <c r="AW289" s="1341">
        <f t="shared" si="128"/>
        <v>0</v>
      </c>
      <c r="AX289" s="1341">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8"/>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9"/>
      <c r="AV290" s="1341">
        <f t="shared" si="127"/>
        <v>0</v>
      </c>
      <c r="AW290" s="1341">
        <f t="shared" si="128"/>
        <v>0</v>
      </c>
      <c r="AX290" s="1341">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8"/>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9"/>
      <c r="AV291" s="1341">
        <f t="shared" si="127"/>
        <v>0</v>
      </c>
      <c r="AW291" s="1341">
        <f t="shared" si="128"/>
        <v>0</v>
      </c>
      <c r="AX291" s="1341">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8"/>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9"/>
      <c r="AV292" s="1341">
        <f t="shared" si="127"/>
        <v>0</v>
      </c>
      <c r="AW292" s="1341">
        <f t="shared" si="128"/>
        <v>0</v>
      </c>
      <c r="AX292" s="1341">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8"/>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9"/>
      <c r="AV293" s="1341">
        <f t="shared" si="127"/>
        <v>0</v>
      </c>
      <c r="AW293" s="1341">
        <f t="shared" si="128"/>
        <v>0</v>
      </c>
      <c r="AX293" s="1341">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8"/>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9"/>
      <c r="AV294" s="1341">
        <f t="shared" si="127"/>
        <v>0</v>
      </c>
      <c r="AW294" s="1341">
        <f t="shared" si="128"/>
        <v>0</v>
      </c>
      <c r="AX294" s="1341">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8"/>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9"/>
      <c r="AV295" s="1341">
        <f t="shared" si="127"/>
        <v>0</v>
      </c>
      <c r="AW295" s="1341">
        <f t="shared" si="128"/>
        <v>0</v>
      </c>
      <c r="AX295" s="1341">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8"/>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9"/>
      <c r="AV296" s="1341">
        <f t="shared" si="127"/>
        <v>0</v>
      </c>
      <c r="AW296" s="1341">
        <f t="shared" si="128"/>
        <v>0</v>
      </c>
      <c r="AX296" s="1341">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8"/>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9"/>
      <c r="AV297" s="1341">
        <f t="shared" si="127"/>
        <v>0</v>
      </c>
      <c r="AW297" s="1341">
        <f t="shared" si="128"/>
        <v>0</v>
      </c>
      <c r="AX297" s="1341">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8"/>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9"/>
      <c r="AV298" s="1341">
        <f t="shared" si="127"/>
        <v>0</v>
      </c>
      <c r="AW298" s="1341">
        <f t="shared" si="128"/>
        <v>0</v>
      </c>
      <c r="AX298" s="1341">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8"/>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9"/>
      <c r="AV299" s="1341">
        <f t="shared" si="127"/>
        <v>0</v>
      </c>
      <c r="AW299" s="1341">
        <f t="shared" si="128"/>
        <v>0</v>
      </c>
      <c r="AX299" s="1341">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8"/>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9"/>
      <c r="AV300" s="1341">
        <f t="shared" si="127"/>
        <v>0</v>
      </c>
      <c r="AW300" s="1341">
        <f t="shared" si="128"/>
        <v>0</v>
      </c>
      <c r="AX300" s="1341">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8"/>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9"/>
      <c r="AV301" s="1341">
        <f t="shared" si="127"/>
        <v>0</v>
      </c>
      <c r="AW301" s="1341">
        <f t="shared" si="128"/>
        <v>0</v>
      </c>
      <c r="AX301" s="1341">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8"/>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9"/>
      <c r="AV302" s="1341">
        <f t="shared" si="127"/>
        <v>0</v>
      </c>
      <c r="AW302" s="1341">
        <f t="shared" si="128"/>
        <v>0</v>
      </c>
      <c r="AX302" s="1341">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8"/>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9"/>
      <c r="AV303" s="1341">
        <f t="shared" ref="AV303:AV334" si="178">A303</f>
        <v>0</v>
      </c>
      <c r="AW303" s="1341">
        <f t="shared" ref="AW303:AW334" si="179">B303</f>
        <v>0</v>
      </c>
      <c r="AX303" s="1341">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8"/>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9"/>
      <c r="AV304" s="1341">
        <f t="shared" si="178"/>
        <v>0</v>
      </c>
      <c r="AW304" s="1341">
        <f t="shared" si="179"/>
        <v>0</v>
      </c>
      <c r="AX304" s="1341">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8"/>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9"/>
      <c r="AV305" s="1341">
        <f t="shared" si="178"/>
        <v>0</v>
      </c>
      <c r="AW305" s="1341">
        <f t="shared" si="179"/>
        <v>0</v>
      </c>
      <c r="AX305" s="1341">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8"/>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9"/>
      <c r="AV306" s="1341">
        <f t="shared" si="178"/>
        <v>0</v>
      </c>
      <c r="AW306" s="1341">
        <f t="shared" si="179"/>
        <v>0</v>
      </c>
      <c r="AX306" s="1341">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8"/>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9"/>
      <c r="AV307" s="1341">
        <f t="shared" si="178"/>
        <v>0</v>
      </c>
      <c r="AW307" s="1341">
        <f t="shared" si="179"/>
        <v>0</v>
      </c>
      <c r="AX307" s="1341">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8"/>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9"/>
      <c r="AV308" s="1341">
        <f t="shared" si="178"/>
        <v>0</v>
      </c>
      <c r="AW308" s="1341">
        <f t="shared" si="179"/>
        <v>0</v>
      </c>
      <c r="AX308" s="1341">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8"/>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9"/>
      <c r="AV309" s="1341">
        <f t="shared" si="178"/>
        <v>0</v>
      </c>
      <c r="AW309" s="1341">
        <f t="shared" si="179"/>
        <v>0</v>
      </c>
      <c r="AX309" s="1341">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8"/>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9"/>
      <c r="AV310" s="1341">
        <f t="shared" si="178"/>
        <v>0</v>
      </c>
      <c r="AW310" s="1341">
        <f t="shared" si="179"/>
        <v>0</v>
      </c>
      <c r="AX310" s="1341">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8"/>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9"/>
      <c r="AV311" s="1341">
        <f t="shared" si="178"/>
        <v>0</v>
      </c>
      <c r="AW311" s="1341">
        <f t="shared" si="179"/>
        <v>0</v>
      </c>
      <c r="AX311" s="1341">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8"/>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9"/>
      <c r="AV312" s="1341">
        <f t="shared" si="178"/>
        <v>0</v>
      </c>
      <c r="AW312" s="1341">
        <f t="shared" si="179"/>
        <v>0</v>
      </c>
      <c r="AX312" s="1341">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8"/>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9"/>
      <c r="AV313" s="1341">
        <f t="shared" si="178"/>
        <v>0</v>
      </c>
      <c r="AW313" s="1341">
        <f t="shared" si="179"/>
        <v>0</v>
      </c>
      <c r="AX313" s="1341">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8"/>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9"/>
      <c r="AV314" s="1341">
        <f t="shared" si="178"/>
        <v>0</v>
      </c>
      <c r="AW314" s="1341">
        <f t="shared" si="179"/>
        <v>0</v>
      </c>
      <c r="AX314" s="1341">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8"/>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9"/>
      <c r="AV315" s="1341">
        <f t="shared" si="178"/>
        <v>0</v>
      </c>
      <c r="AW315" s="1341">
        <f t="shared" si="179"/>
        <v>0</v>
      </c>
      <c r="AX315" s="1341">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8"/>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9"/>
      <c r="AV316" s="1341">
        <f t="shared" si="178"/>
        <v>0</v>
      </c>
      <c r="AW316" s="1341">
        <f t="shared" si="179"/>
        <v>0</v>
      </c>
      <c r="AX316" s="1341">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8"/>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9"/>
      <c r="AV317" s="1341">
        <f t="shared" si="178"/>
        <v>0</v>
      </c>
      <c r="AW317" s="1341">
        <f t="shared" si="179"/>
        <v>0</v>
      </c>
      <c r="AX317" s="1341">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8"/>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9"/>
      <c r="AV318" s="1341">
        <f t="shared" si="178"/>
        <v>0</v>
      </c>
      <c r="AW318" s="1341">
        <f t="shared" si="179"/>
        <v>0</v>
      </c>
      <c r="AX318" s="1341">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8"/>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9"/>
      <c r="AV319" s="1341">
        <f t="shared" si="178"/>
        <v>0</v>
      </c>
      <c r="AW319" s="1341">
        <f t="shared" si="179"/>
        <v>0</v>
      </c>
      <c r="AX319" s="1341">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8"/>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9"/>
      <c r="AV320" s="1341">
        <f t="shared" si="178"/>
        <v>0</v>
      </c>
      <c r="AW320" s="1341">
        <f t="shared" si="179"/>
        <v>0</v>
      </c>
      <c r="AX320" s="1341">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8"/>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9"/>
      <c r="AV321" s="1341">
        <f t="shared" si="178"/>
        <v>0</v>
      </c>
      <c r="AW321" s="1341">
        <f t="shared" si="179"/>
        <v>0</v>
      </c>
      <c r="AX321" s="1341">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8"/>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9"/>
      <c r="AV322" s="1341">
        <f t="shared" si="178"/>
        <v>0</v>
      </c>
      <c r="AW322" s="1341">
        <f t="shared" si="179"/>
        <v>0</v>
      </c>
      <c r="AX322" s="1341">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8"/>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9"/>
      <c r="AV323" s="1341">
        <f t="shared" si="178"/>
        <v>0</v>
      </c>
      <c r="AW323" s="1341">
        <f t="shared" si="179"/>
        <v>0</v>
      </c>
      <c r="AX323" s="1341">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8"/>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9"/>
      <c r="AV324" s="1341">
        <f t="shared" si="178"/>
        <v>0</v>
      </c>
      <c r="AW324" s="1341">
        <f t="shared" si="179"/>
        <v>0</v>
      </c>
      <c r="AX324" s="1341">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8"/>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9"/>
      <c r="AV325" s="1341">
        <f t="shared" si="178"/>
        <v>0</v>
      </c>
      <c r="AW325" s="1341">
        <f t="shared" si="179"/>
        <v>0</v>
      </c>
      <c r="AX325" s="1341">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8"/>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9"/>
      <c r="AV326" s="1341">
        <f t="shared" si="178"/>
        <v>0</v>
      </c>
      <c r="AW326" s="1341">
        <f t="shared" si="179"/>
        <v>0</v>
      </c>
      <c r="AX326" s="1341">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8"/>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9"/>
      <c r="AV327" s="1341">
        <f t="shared" si="178"/>
        <v>0</v>
      </c>
      <c r="AW327" s="1341">
        <f t="shared" si="179"/>
        <v>0</v>
      </c>
      <c r="AX327" s="1341">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8"/>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9"/>
      <c r="AV328" s="1341">
        <f t="shared" si="178"/>
        <v>0</v>
      </c>
      <c r="AW328" s="1341">
        <f t="shared" si="179"/>
        <v>0</v>
      </c>
      <c r="AX328" s="1341">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8"/>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9"/>
      <c r="AV329" s="1341">
        <f t="shared" si="178"/>
        <v>0</v>
      </c>
      <c r="AW329" s="1341">
        <f t="shared" si="179"/>
        <v>0</v>
      </c>
      <c r="AX329" s="1341">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8"/>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9"/>
      <c r="AV330" s="1341">
        <f t="shared" si="178"/>
        <v>0</v>
      </c>
      <c r="AW330" s="1341">
        <f t="shared" si="179"/>
        <v>0</v>
      </c>
      <c r="AX330" s="1341">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8"/>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9"/>
      <c r="AV331" s="1341">
        <f t="shared" si="178"/>
        <v>0</v>
      </c>
      <c r="AW331" s="1341">
        <f t="shared" si="179"/>
        <v>0</v>
      </c>
      <c r="AX331" s="1341">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8"/>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9"/>
      <c r="AV332" s="1341">
        <f t="shared" si="178"/>
        <v>0</v>
      </c>
      <c r="AW332" s="1341">
        <f t="shared" si="179"/>
        <v>0</v>
      </c>
      <c r="AX332" s="1341">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8"/>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9"/>
      <c r="AV333" s="1341">
        <f t="shared" si="178"/>
        <v>0</v>
      </c>
      <c r="AW333" s="1341">
        <f t="shared" si="179"/>
        <v>0</v>
      </c>
      <c r="AX333" s="1341">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8"/>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9"/>
      <c r="AV334" s="1341">
        <f t="shared" si="178"/>
        <v>0</v>
      </c>
      <c r="AW334" s="1341">
        <f t="shared" si="179"/>
        <v>0</v>
      </c>
      <c r="AX334" s="1341">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8"/>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9"/>
      <c r="AV335" s="1341">
        <f t="shared" ref="AV335:AV366" si="207">A335</f>
        <v>0</v>
      </c>
      <c r="AW335" s="1341">
        <f t="shared" ref="AW335:AW366" si="208">B335</f>
        <v>0</v>
      </c>
      <c r="AX335" s="1341">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8"/>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9"/>
      <c r="AV336" s="1341">
        <f t="shared" si="207"/>
        <v>0</v>
      </c>
      <c r="AW336" s="1341">
        <f t="shared" si="208"/>
        <v>0</v>
      </c>
      <c r="AX336" s="1341">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8"/>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9"/>
      <c r="AV337" s="1341">
        <f t="shared" si="207"/>
        <v>0</v>
      </c>
      <c r="AW337" s="1341">
        <f t="shared" si="208"/>
        <v>0</v>
      </c>
      <c r="AX337" s="1341">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8"/>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9"/>
      <c r="AV338" s="1341">
        <f t="shared" si="207"/>
        <v>0</v>
      </c>
      <c r="AW338" s="1341">
        <f t="shared" si="208"/>
        <v>0</v>
      </c>
      <c r="AX338" s="1341">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8"/>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9"/>
      <c r="AV339" s="1341">
        <f t="shared" si="207"/>
        <v>0</v>
      </c>
      <c r="AW339" s="1341">
        <f t="shared" si="208"/>
        <v>0</v>
      </c>
      <c r="AX339" s="1341">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8"/>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9"/>
      <c r="AV340" s="1341">
        <f t="shared" si="207"/>
        <v>0</v>
      </c>
      <c r="AW340" s="1341">
        <f t="shared" si="208"/>
        <v>0</v>
      </c>
      <c r="AX340" s="1341">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8"/>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9"/>
      <c r="AV341" s="1341">
        <f t="shared" si="207"/>
        <v>0</v>
      </c>
      <c r="AW341" s="1341">
        <f t="shared" si="208"/>
        <v>0</v>
      </c>
      <c r="AX341" s="1341">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8"/>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9"/>
      <c r="AV342" s="1341">
        <f t="shared" si="207"/>
        <v>0</v>
      </c>
      <c r="AW342" s="1341">
        <f t="shared" si="208"/>
        <v>0</v>
      </c>
      <c r="AX342" s="1341">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8"/>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9"/>
      <c r="AV343" s="1341">
        <f t="shared" si="207"/>
        <v>0</v>
      </c>
      <c r="AW343" s="1341">
        <f t="shared" si="208"/>
        <v>0</v>
      </c>
      <c r="AX343" s="1341">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8"/>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9"/>
      <c r="AV344" s="1341">
        <f t="shared" si="207"/>
        <v>0</v>
      </c>
      <c r="AW344" s="1341">
        <f t="shared" si="208"/>
        <v>0</v>
      </c>
      <c r="AX344" s="1341">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8"/>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9"/>
      <c r="AV345" s="1341">
        <f t="shared" si="207"/>
        <v>0</v>
      </c>
      <c r="AW345" s="1341">
        <f t="shared" si="208"/>
        <v>0</v>
      </c>
      <c r="AX345" s="1341">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8"/>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9"/>
      <c r="AV346" s="1341">
        <f t="shared" si="207"/>
        <v>0</v>
      </c>
      <c r="AW346" s="1341">
        <f t="shared" si="208"/>
        <v>0</v>
      </c>
      <c r="AX346" s="1341">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8"/>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9"/>
      <c r="AV347" s="1341">
        <f t="shared" si="207"/>
        <v>0</v>
      </c>
      <c r="AW347" s="1341">
        <f t="shared" si="208"/>
        <v>0</v>
      </c>
      <c r="AX347" s="1341">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8"/>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9"/>
      <c r="AV348" s="1341">
        <f t="shared" si="207"/>
        <v>0</v>
      </c>
      <c r="AW348" s="1341">
        <f t="shared" si="208"/>
        <v>0</v>
      </c>
      <c r="AX348" s="1341">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8"/>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9"/>
      <c r="AV349" s="1341">
        <f t="shared" si="207"/>
        <v>0</v>
      </c>
      <c r="AW349" s="1341">
        <f t="shared" si="208"/>
        <v>0</v>
      </c>
      <c r="AX349" s="1341">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8"/>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9"/>
      <c r="AV350" s="1341">
        <f t="shared" si="207"/>
        <v>0</v>
      </c>
      <c r="AW350" s="1341">
        <f t="shared" si="208"/>
        <v>0</v>
      </c>
      <c r="AX350" s="1341">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8"/>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9"/>
      <c r="AV351" s="1341">
        <f t="shared" si="207"/>
        <v>0</v>
      </c>
      <c r="AW351" s="1341">
        <f t="shared" si="208"/>
        <v>0</v>
      </c>
      <c r="AX351" s="1341">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8"/>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9"/>
      <c r="AV352" s="1341">
        <f t="shared" si="207"/>
        <v>0</v>
      </c>
      <c r="AW352" s="1341">
        <f t="shared" si="208"/>
        <v>0</v>
      </c>
      <c r="AX352" s="1341">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8"/>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9"/>
      <c r="AV353" s="1341">
        <f t="shared" si="207"/>
        <v>0</v>
      </c>
      <c r="AW353" s="1341">
        <f t="shared" si="208"/>
        <v>0</v>
      </c>
      <c r="AX353" s="1341">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8"/>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9"/>
      <c r="AV354" s="1341">
        <f t="shared" si="207"/>
        <v>0</v>
      </c>
      <c r="AW354" s="1341">
        <f t="shared" si="208"/>
        <v>0</v>
      </c>
      <c r="AX354" s="1341">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8"/>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9"/>
      <c r="AV355" s="1341">
        <f t="shared" si="207"/>
        <v>0</v>
      </c>
      <c r="AW355" s="1341">
        <f t="shared" si="208"/>
        <v>0</v>
      </c>
      <c r="AX355" s="1341">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8"/>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9"/>
      <c r="AV356" s="1341">
        <f t="shared" si="207"/>
        <v>0</v>
      </c>
      <c r="AW356" s="1341">
        <f t="shared" si="208"/>
        <v>0</v>
      </c>
      <c r="AX356" s="1341">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8"/>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9"/>
      <c r="AV357" s="1341">
        <f t="shared" si="207"/>
        <v>0</v>
      </c>
      <c r="AW357" s="1341">
        <f t="shared" si="208"/>
        <v>0</v>
      </c>
      <c r="AX357" s="1341">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8"/>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9"/>
      <c r="AV358" s="1341">
        <f t="shared" si="207"/>
        <v>0</v>
      </c>
      <c r="AW358" s="1341">
        <f t="shared" si="208"/>
        <v>0</v>
      </c>
      <c r="AX358" s="1341">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8"/>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9"/>
      <c r="AV359" s="1341">
        <f t="shared" si="207"/>
        <v>0</v>
      </c>
      <c r="AW359" s="1341">
        <f t="shared" si="208"/>
        <v>0</v>
      </c>
      <c r="AX359" s="1341">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8"/>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9"/>
      <c r="AV360" s="1341">
        <f t="shared" si="207"/>
        <v>0</v>
      </c>
      <c r="AW360" s="1341">
        <f t="shared" si="208"/>
        <v>0</v>
      </c>
      <c r="AX360" s="1341">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8"/>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9"/>
      <c r="AV361" s="1341">
        <f t="shared" si="207"/>
        <v>0</v>
      </c>
      <c r="AW361" s="1341">
        <f t="shared" si="208"/>
        <v>0</v>
      </c>
      <c r="AX361" s="1341">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8"/>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9"/>
      <c r="AV362" s="1341">
        <f t="shared" si="207"/>
        <v>0</v>
      </c>
      <c r="AW362" s="1341">
        <f t="shared" si="208"/>
        <v>0</v>
      </c>
      <c r="AX362" s="1341">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8"/>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9"/>
      <c r="AV363" s="1341">
        <f t="shared" si="207"/>
        <v>0</v>
      </c>
      <c r="AW363" s="1341">
        <f t="shared" si="208"/>
        <v>0</v>
      </c>
      <c r="AX363" s="1341">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8"/>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9"/>
      <c r="AV364" s="1341">
        <f t="shared" si="207"/>
        <v>0</v>
      </c>
      <c r="AW364" s="1341">
        <f t="shared" si="208"/>
        <v>0</v>
      </c>
      <c r="AX364" s="1341">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8"/>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9"/>
      <c r="AV365" s="1341">
        <f t="shared" si="207"/>
        <v>0</v>
      </c>
      <c r="AW365" s="1341">
        <f t="shared" si="208"/>
        <v>0</v>
      </c>
      <c r="AX365" s="1341">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8"/>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9"/>
      <c r="AV366" s="1341">
        <f t="shared" si="207"/>
        <v>0</v>
      </c>
      <c r="AW366" s="1341">
        <f t="shared" si="208"/>
        <v>0</v>
      </c>
      <c r="AX366" s="1341">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8"/>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9"/>
      <c r="AV367" s="1341">
        <f t="shared" ref="AV367:AV397" si="236">A367</f>
        <v>0</v>
      </c>
      <c r="AW367" s="1341">
        <f t="shared" ref="AW367:AW397" si="237">B367</f>
        <v>0</v>
      </c>
      <c r="AX367" s="1341">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8"/>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9"/>
      <c r="AV368" s="1341">
        <f t="shared" si="236"/>
        <v>0</v>
      </c>
      <c r="AW368" s="1341">
        <f t="shared" si="237"/>
        <v>0</v>
      </c>
      <c r="AX368" s="1341">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8"/>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9"/>
      <c r="AV369" s="1341">
        <f t="shared" si="236"/>
        <v>0</v>
      </c>
      <c r="AW369" s="1341">
        <f t="shared" si="237"/>
        <v>0</v>
      </c>
      <c r="AX369" s="1341">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8"/>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9"/>
      <c r="AV370" s="1341">
        <f t="shared" si="236"/>
        <v>0</v>
      </c>
      <c r="AW370" s="1341">
        <f t="shared" si="237"/>
        <v>0</v>
      </c>
      <c r="AX370" s="1341">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8"/>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9"/>
      <c r="AV371" s="1341">
        <f t="shared" si="236"/>
        <v>0</v>
      </c>
      <c r="AW371" s="1341">
        <f t="shared" si="237"/>
        <v>0</v>
      </c>
      <c r="AX371" s="1341">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8"/>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9"/>
      <c r="AV372" s="1341">
        <f t="shared" si="236"/>
        <v>0</v>
      </c>
      <c r="AW372" s="1341">
        <f t="shared" si="237"/>
        <v>0</v>
      </c>
      <c r="AX372" s="1341">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8"/>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9"/>
      <c r="AV373" s="1341">
        <f t="shared" si="236"/>
        <v>0</v>
      </c>
      <c r="AW373" s="1341">
        <f t="shared" si="237"/>
        <v>0</v>
      </c>
      <c r="AX373" s="1341">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8"/>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9"/>
      <c r="AV374" s="1341">
        <f t="shared" si="236"/>
        <v>0</v>
      </c>
      <c r="AW374" s="1341">
        <f t="shared" si="237"/>
        <v>0</v>
      </c>
      <c r="AX374" s="1341">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8"/>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9"/>
      <c r="AV375" s="1341">
        <f t="shared" si="236"/>
        <v>0</v>
      </c>
      <c r="AW375" s="1341">
        <f t="shared" si="237"/>
        <v>0</v>
      </c>
      <c r="AX375" s="1341">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8"/>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9"/>
      <c r="AV376" s="1341">
        <f t="shared" si="236"/>
        <v>0</v>
      </c>
      <c r="AW376" s="1341">
        <f t="shared" si="237"/>
        <v>0</v>
      </c>
      <c r="AX376" s="1341">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8"/>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9"/>
      <c r="AV377" s="1341">
        <f t="shared" si="236"/>
        <v>0</v>
      </c>
      <c r="AW377" s="1341">
        <f t="shared" si="237"/>
        <v>0</v>
      </c>
      <c r="AX377" s="1341">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8"/>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9"/>
      <c r="AV378" s="1341">
        <f t="shared" si="236"/>
        <v>0</v>
      </c>
      <c r="AW378" s="1341">
        <f t="shared" si="237"/>
        <v>0</v>
      </c>
      <c r="AX378" s="1341">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8"/>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9"/>
      <c r="AV379" s="1341">
        <f t="shared" si="236"/>
        <v>0</v>
      </c>
      <c r="AW379" s="1341">
        <f t="shared" si="237"/>
        <v>0</v>
      </c>
      <c r="AX379" s="1341">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8"/>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9"/>
      <c r="AV380" s="1341">
        <f t="shared" si="236"/>
        <v>0</v>
      </c>
      <c r="AW380" s="1341">
        <f t="shared" si="237"/>
        <v>0</v>
      </c>
      <c r="AX380" s="1341">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8"/>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9"/>
      <c r="AV381" s="1341">
        <f t="shared" si="236"/>
        <v>0</v>
      </c>
      <c r="AW381" s="1341">
        <f t="shared" si="237"/>
        <v>0</v>
      </c>
      <c r="AX381" s="1341">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8"/>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9"/>
      <c r="AV382" s="1341">
        <f t="shared" si="236"/>
        <v>0</v>
      </c>
      <c r="AW382" s="1341">
        <f t="shared" si="237"/>
        <v>0</v>
      </c>
      <c r="AX382" s="1341">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8"/>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9"/>
      <c r="AV383" s="1341">
        <f t="shared" si="236"/>
        <v>0</v>
      </c>
      <c r="AW383" s="1341">
        <f t="shared" si="237"/>
        <v>0</v>
      </c>
      <c r="AX383" s="1341">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8"/>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9"/>
      <c r="AV384" s="1341">
        <f t="shared" si="236"/>
        <v>0</v>
      </c>
      <c r="AW384" s="1341">
        <f t="shared" si="237"/>
        <v>0</v>
      </c>
      <c r="AX384" s="1341">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8"/>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9"/>
      <c r="AV385" s="1341">
        <f t="shared" si="236"/>
        <v>0</v>
      </c>
      <c r="AW385" s="1341">
        <f t="shared" si="237"/>
        <v>0</v>
      </c>
      <c r="AX385" s="1341">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8"/>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9"/>
      <c r="AV386" s="1341">
        <f t="shared" si="236"/>
        <v>0</v>
      </c>
      <c r="AW386" s="1341">
        <f t="shared" si="237"/>
        <v>0</v>
      </c>
      <c r="AX386" s="1341">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8"/>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9"/>
      <c r="AV387" s="1341">
        <f t="shared" si="236"/>
        <v>0</v>
      </c>
      <c r="AW387" s="1341">
        <f t="shared" si="237"/>
        <v>0</v>
      </c>
      <c r="AX387" s="1341">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8"/>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9"/>
      <c r="AV388" s="1341">
        <f t="shared" si="236"/>
        <v>0</v>
      </c>
      <c r="AW388" s="1341">
        <f t="shared" si="237"/>
        <v>0</v>
      </c>
      <c r="AX388" s="1341">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8"/>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9"/>
      <c r="AV389" s="1341">
        <f t="shared" si="236"/>
        <v>0</v>
      </c>
      <c r="AW389" s="1341">
        <f t="shared" si="237"/>
        <v>0</v>
      </c>
      <c r="AX389" s="1341">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8"/>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9"/>
      <c r="AV390" s="1341">
        <f t="shared" si="236"/>
        <v>0</v>
      </c>
      <c r="AW390" s="1341">
        <f t="shared" si="237"/>
        <v>0</v>
      </c>
      <c r="AX390" s="1341">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8"/>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9"/>
      <c r="AV391" s="1341">
        <f t="shared" si="236"/>
        <v>0</v>
      </c>
      <c r="AW391" s="1341">
        <f t="shared" si="237"/>
        <v>0</v>
      </c>
      <c r="AX391" s="1341">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8"/>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9"/>
      <c r="AV392" s="1341">
        <f t="shared" si="236"/>
        <v>0</v>
      </c>
      <c r="AW392" s="1341">
        <f t="shared" si="237"/>
        <v>0</v>
      </c>
      <c r="AX392" s="1341">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8"/>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9"/>
      <c r="AV393" s="1341">
        <f t="shared" si="236"/>
        <v>0</v>
      </c>
      <c r="AW393" s="1341">
        <f t="shared" si="237"/>
        <v>0</v>
      </c>
      <c r="AX393" s="1341">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8"/>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9"/>
      <c r="AV394" s="1341">
        <f t="shared" si="236"/>
        <v>0</v>
      </c>
      <c r="AW394" s="1341">
        <f t="shared" si="237"/>
        <v>0</v>
      </c>
      <c r="AX394" s="1341">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8"/>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9"/>
      <c r="AV395" s="1341">
        <f t="shared" si="236"/>
        <v>0</v>
      </c>
      <c r="AW395" s="1341">
        <f t="shared" si="237"/>
        <v>0</v>
      </c>
      <c r="AX395" s="1341">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8"/>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9"/>
      <c r="AV396" s="1341">
        <f t="shared" si="236"/>
        <v>0</v>
      </c>
      <c r="AW396" s="1341">
        <f t="shared" si="237"/>
        <v>0</v>
      </c>
      <c r="AX396" s="1341">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8"/>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9"/>
      <c r="AV397" s="1341">
        <f t="shared" si="236"/>
        <v>0</v>
      </c>
      <c r="AW397" s="1341">
        <f t="shared" si="237"/>
        <v>0</v>
      </c>
      <c r="AX397" s="1341">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8"/>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9"/>
      <c r="AV398" s="1341">
        <f t="shared" ref="AV398:AV492" si="243">A398</f>
        <v>0</v>
      </c>
      <c r="AW398" s="1341">
        <f t="shared" ref="AW398:AW492" si="244">B398</f>
        <v>0</v>
      </c>
      <c r="AX398" s="1341">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8"/>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9"/>
      <c r="AV399" s="1341">
        <f t="shared" si="243"/>
        <v>0</v>
      </c>
      <c r="AW399" s="1341">
        <f t="shared" si="244"/>
        <v>0</v>
      </c>
      <c r="AX399" s="1341">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8"/>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9"/>
      <c r="AV400" s="1341">
        <f t="shared" si="243"/>
        <v>0</v>
      </c>
      <c r="AW400" s="1341">
        <f t="shared" si="244"/>
        <v>0</v>
      </c>
      <c r="AX400" s="1341">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8"/>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9"/>
      <c r="AV401" s="1341">
        <f t="shared" si="243"/>
        <v>0</v>
      </c>
      <c r="AW401" s="1341">
        <f t="shared" si="244"/>
        <v>0</v>
      </c>
      <c r="AX401" s="1341">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8"/>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9"/>
      <c r="AV402" s="1341">
        <f t="shared" si="243"/>
        <v>0</v>
      </c>
      <c r="AW402" s="1341">
        <f t="shared" si="244"/>
        <v>0</v>
      </c>
      <c r="AX402" s="1341">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8"/>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9"/>
      <c r="AV403" s="1341">
        <f t="shared" si="243"/>
        <v>0</v>
      </c>
      <c r="AW403" s="1341">
        <f t="shared" si="244"/>
        <v>0</v>
      </c>
      <c r="AX403" s="1341">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8"/>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9"/>
      <c r="AV404" s="1341">
        <f t="shared" si="243"/>
        <v>0</v>
      </c>
      <c r="AW404" s="1341">
        <f t="shared" si="244"/>
        <v>0</v>
      </c>
      <c r="AX404" s="1341">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8"/>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9"/>
      <c r="AV405" s="1341">
        <f t="shared" si="243"/>
        <v>0</v>
      </c>
      <c r="AW405" s="1341">
        <f t="shared" si="244"/>
        <v>0</v>
      </c>
      <c r="AX405" s="1341">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8"/>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9"/>
      <c r="AV406" s="1341">
        <f t="shared" si="243"/>
        <v>0</v>
      </c>
      <c r="AW406" s="1341">
        <f t="shared" si="244"/>
        <v>0</v>
      </c>
      <c r="AX406" s="1341">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8"/>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9"/>
      <c r="AV407" s="1341">
        <f t="shared" si="243"/>
        <v>0</v>
      </c>
      <c r="AW407" s="1341">
        <f t="shared" si="244"/>
        <v>0</v>
      </c>
      <c r="AX407" s="1341">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8"/>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9"/>
      <c r="AV408" s="1341">
        <f t="shared" si="243"/>
        <v>0</v>
      </c>
      <c r="AW408" s="1341">
        <f t="shared" si="244"/>
        <v>0</v>
      </c>
      <c r="AX408" s="1341">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8"/>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9"/>
      <c r="AV409" s="1341">
        <f t="shared" si="243"/>
        <v>0</v>
      </c>
      <c r="AW409" s="1341">
        <f t="shared" si="244"/>
        <v>0</v>
      </c>
      <c r="AX409" s="1341">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8"/>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9"/>
      <c r="AV410" s="1341">
        <f t="shared" si="243"/>
        <v>0</v>
      </c>
      <c r="AW410" s="1341">
        <f t="shared" si="244"/>
        <v>0</v>
      </c>
      <c r="AX410" s="1341">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8"/>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9"/>
      <c r="AV411" s="1341">
        <f t="shared" si="243"/>
        <v>0</v>
      </c>
      <c r="AW411" s="1341">
        <f t="shared" si="244"/>
        <v>0</v>
      </c>
      <c r="AX411" s="1341">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8"/>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9"/>
      <c r="AV412" s="1341">
        <f t="shared" si="243"/>
        <v>0</v>
      </c>
      <c r="AW412" s="1341">
        <f t="shared" si="244"/>
        <v>0</v>
      </c>
      <c r="AX412" s="1341">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8"/>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9"/>
      <c r="AV413" s="1341">
        <f t="shared" si="243"/>
        <v>0</v>
      </c>
      <c r="AW413" s="1341">
        <f t="shared" si="244"/>
        <v>0</v>
      </c>
      <c r="AX413" s="1341">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8"/>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9"/>
      <c r="AV414" s="1341">
        <f t="shared" si="243"/>
        <v>0</v>
      </c>
      <c r="AW414" s="1341">
        <f t="shared" si="244"/>
        <v>0</v>
      </c>
      <c r="AX414" s="1341">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8"/>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9"/>
      <c r="AV415" s="1341">
        <f t="shared" si="243"/>
        <v>0</v>
      </c>
      <c r="AW415" s="1341">
        <f t="shared" si="244"/>
        <v>0</v>
      </c>
      <c r="AX415" s="1341">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8"/>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9"/>
      <c r="AV416" s="1341">
        <f t="shared" si="243"/>
        <v>0</v>
      </c>
      <c r="AW416" s="1341">
        <f t="shared" si="244"/>
        <v>0</v>
      </c>
      <c r="AX416" s="1341">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8"/>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9"/>
      <c r="AV417" s="1341">
        <f t="shared" si="243"/>
        <v>0</v>
      </c>
      <c r="AW417" s="1341">
        <f t="shared" si="244"/>
        <v>0</v>
      </c>
      <c r="AX417" s="1341">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8"/>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9"/>
      <c r="AV418" s="1341">
        <f t="shared" si="243"/>
        <v>0</v>
      </c>
      <c r="AW418" s="1341">
        <f t="shared" si="244"/>
        <v>0</v>
      </c>
      <c r="AX418" s="1341">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8"/>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9"/>
      <c r="AV419" s="1341">
        <f t="shared" si="243"/>
        <v>0</v>
      </c>
      <c r="AW419" s="1341">
        <f t="shared" si="244"/>
        <v>0</v>
      </c>
      <c r="AX419" s="1341">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8"/>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9"/>
      <c r="AV420" s="1341">
        <f t="shared" si="243"/>
        <v>0</v>
      </c>
      <c r="AW420" s="1341">
        <f t="shared" si="244"/>
        <v>0</v>
      </c>
      <c r="AX420" s="1341">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8"/>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9"/>
      <c r="AV421" s="1341">
        <f t="shared" si="243"/>
        <v>0</v>
      </c>
      <c r="AW421" s="1341">
        <f t="shared" si="244"/>
        <v>0</v>
      </c>
      <c r="AX421" s="1341">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8"/>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9"/>
      <c r="AV422" s="1341">
        <f t="shared" si="243"/>
        <v>0</v>
      </c>
      <c r="AW422" s="1341">
        <f t="shared" si="244"/>
        <v>0</v>
      </c>
      <c r="AX422" s="1341">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8"/>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9"/>
      <c r="AV423" s="1341">
        <f t="shared" si="243"/>
        <v>0</v>
      </c>
      <c r="AW423" s="1341">
        <f t="shared" si="244"/>
        <v>0</v>
      </c>
      <c r="AX423" s="1341">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8"/>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9"/>
      <c r="AV424" s="1341">
        <f t="shared" si="243"/>
        <v>0</v>
      </c>
      <c r="AW424" s="1341">
        <f t="shared" si="244"/>
        <v>0</v>
      </c>
      <c r="AX424" s="1341">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8"/>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9"/>
      <c r="AV425" s="1341">
        <f t="shared" si="243"/>
        <v>0</v>
      </c>
      <c r="AW425" s="1341">
        <f t="shared" si="244"/>
        <v>0</v>
      </c>
      <c r="AX425" s="1341">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8"/>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9"/>
      <c r="AV426" s="1341">
        <f t="shared" si="243"/>
        <v>0</v>
      </c>
      <c r="AW426" s="1341">
        <f t="shared" si="244"/>
        <v>0</v>
      </c>
      <c r="AX426" s="1341">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8"/>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9"/>
      <c r="AV427" s="1341">
        <f t="shared" si="243"/>
        <v>0</v>
      </c>
      <c r="AW427" s="1341">
        <f t="shared" si="244"/>
        <v>0</v>
      </c>
      <c r="AX427" s="1341">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8"/>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9"/>
      <c r="AV428" s="1341">
        <f t="shared" si="243"/>
        <v>0</v>
      </c>
      <c r="AW428" s="1341">
        <f t="shared" si="244"/>
        <v>0</v>
      </c>
      <c r="AX428" s="1341">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8"/>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9"/>
      <c r="AV429" s="1341">
        <f t="shared" si="243"/>
        <v>0</v>
      </c>
      <c r="AW429" s="1341">
        <f t="shared" si="244"/>
        <v>0</v>
      </c>
      <c r="AX429" s="1341">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8"/>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9"/>
      <c r="AV430" s="1341">
        <f t="shared" si="243"/>
        <v>0</v>
      </c>
      <c r="AW430" s="1341">
        <f t="shared" si="244"/>
        <v>0</v>
      </c>
      <c r="AX430" s="1341">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8"/>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9"/>
      <c r="AV431" s="1341">
        <f t="shared" si="243"/>
        <v>0</v>
      </c>
      <c r="AW431" s="1341">
        <f t="shared" si="244"/>
        <v>0</v>
      </c>
      <c r="AX431" s="1341">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8"/>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9"/>
      <c r="AV432" s="1341">
        <f t="shared" si="243"/>
        <v>0</v>
      </c>
      <c r="AW432" s="1341">
        <f t="shared" si="244"/>
        <v>0</v>
      </c>
      <c r="AX432" s="1341">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8"/>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9"/>
      <c r="AV433" s="1341">
        <f t="shared" si="243"/>
        <v>0</v>
      </c>
      <c r="AW433" s="1341">
        <f t="shared" si="244"/>
        <v>0</v>
      </c>
      <c r="AX433" s="1341">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8"/>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9"/>
      <c r="AV434" s="1341">
        <f t="shared" si="243"/>
        <v>0</v>
      </c>
      <c r="AW434" s="1341">
        <f t="shared" si="244"/>
        <v>0</v>
      </c>
      <c r="AX434" s="1341">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8"/>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9"/>
      <c r="AV435" s="1341">
        <f t="shared" si="243"/>
        <v>0</v>
      </c>
      <c r="AW435" s="1341">
        <f t="shared" si="244"/>
        <v>0</v>
      </c>
      <c r="AX435" s="1341">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8"/>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9"/>
      <c r="AV436" s="1341">
        <f t="shared" si="243"/>
        <v>0</v>
      </c>
      <c r="AW436" s="1341">
        <f t="shared" si="244"/>
        <v>0</v>
      </c>
      <c r="AX436" s="1341">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8"/>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9"/>
      <c r="AV437" s="1341">
        <f t="shared" si="243"/>
        <v>0</v>
      </c>
      <c r="AW437" s="1341">
        <f t="shared" si="244"/>
        <v>0</v>
      </c>
      <c r="AX437" s="1341">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8"/>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9"/>
      <c r="AV438" s="1341">
        <f t="shared" si="243"/>
        <v>0</v>
      </c>
      <c r="AW438" s="1341">
        <f t="shared" si="244"/>
        <v>0</v>
      </c>
      <c r="AX438" s="1341">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8"/>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9"/>
      <c r="AV439" s="1341">
        <f t="shared" si="243"/>
        <v>0</v>
      </c>
      <c r="AW439" s="1341">
        <f t="shared" si="244"/>
        <v>0</v>
      </c>
      <c r="AX439" s="1341">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8"/>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9"/>
      <c r="AV440" s="1341">
        <f t="shared" si="243"/>
        <v>0</v>
      </c>
      <c r="AW440" s="1341">
        <f t="shared" si="244"/>
        <v>0</v>
      </c>
      <c r="AX440" s="1341">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8"/>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9"/>
      <c r="AV441" s="1341">
        <f t="shared" si="243"/>
        <v>0</v>
      </c>
      <c r="AW441" s="1341">
        <f t="shared" si="244"/>
        <v>0</v>
      </c>
      <c r="AX441" s="1341">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8"/>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9"/>
      <c r="AV442" s="1341">
        <f t="shared" si="243"/>
        <v>0</v>
      </c>
      <c r="AW442" s="1341">
        <f t="shared" si="244"/>
        <v>0</v>
      </c>
      <c r="AX442" s="1341">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8"/>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9"/>
      <c r="AV443" s="1341">
        <f t="shared" si="243"/>
        <v>0</v>
      </c>
      <c r="AW443" s="1341">
        <f t="shared" si="244"/>
        <v>0</v>
      </c>
      <c r="AX443" s="1341">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8"/>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9"/>
      <c r="AV444" s="1341">
        <f t="shared" si="243"/>
        <v>0</v>
      </c>
      <c r="AW444" s="1341">
        <f t="shared" si="244"/>
        <v>0</v>
      </c>
      <c r="AX444" s="1341">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8"/>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9"/>
      <c r="AV445" s="1341">
        <f t="shared" si="243"/>
        <v>0</v>
      </c>
      <c r="AW445" s="1341">
        <f t="shared" si="244"/>
        <v>0</v>
      </c>
      <c r="AX445" s="1341">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8"/>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9"/>
      <c r="AV446" s="1341">
        <f t="shared" si="243"/>
        <v>0</v>
      </c>
      <c r="AW446" s="1341">
        <f t="shared" si="244"/>
        <v>0</v>
      </c>
      <c r="AX446" s="1341">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8"/>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9"/>
      <c r="AV447" s="1341">
        <f t="shared" si="243"/>
        <v>0</v>
      </c>
      <c r="AW447" s="1341">
        <f t="shared" si="244"/>
        <v>0</v>
      </c>
      <c r="AX447" s="1341">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8"/>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9"/>
      <c r="AV448" s="1341">
        <f t="shared" si="243"/>
        <v>0</v>
      </c>
      <c r="AW448" s="1341">
        <f t="shared" si="244"/>
        <v>0</v>
      </c>
      <c r="AX448" s="1341">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8"/>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9"/>
      <c r="AV449" s="1341">
        <f t="shared" si="243"/>
        <v>0</v>
      </c>
      <c r="AW449" s="1341">
        <f t="shared" si="244"/>
        <v>0</v>
      </c>
      <c r="AX449" s="1341">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8"/>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9"/>
      <c r="AV450" s="1341">
        <f t="shared" si="243"/>
        <v>0</v>
      </c>
      <c r="AW450" s="1341">
        <f t="shared" si="244"/>
        <v>0</v>
      </c>
      <c r="AX450" s="1341">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8"/>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9"/>
      <c r="AV451" s="1341">
        <f t="shared" si="243"/>
        <v>0</v>
      </c>
      <c r="AW451" s="1341">
        <f t="shared" si="244"/>
        <v>0</v>
      </c>
      <c r="AX451" s="1341">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8"/>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9"/>
      <c r="AV452" s="1341">
        <f t="shared" si="243"/>
        <v>0</v>
      </c>
      <c r="AW452" s="1341">
        <f t="shared" si="244"/>
        <v>0</v>
      </c>
      <c r="AX452" s="1341">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8"/>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9"/>
      <c r="AV453" s="1341">
        <f t="shared" si="243"/>
        <v>0</v>
      </c>
      <c r="AW453" s="1341">
        <f t="shared" si="244"/>
        <v>0</v>
      </c>
      <c r="AX453" s="1341">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8"/>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9"/>
      <c r="AV454" s="1341">
        <f t="shared" si="243"/>
        <v>0</v>
      </c>
      <c r="AW454" s="1341">
        <f t="shared" si="244"/>
        <v>0</v>
      </c>
      <c r="AX454" s="1341">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8"/>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9"/>
      <c r="AV455" s="1341">
        <f t="shared" si="243"/>
        <v>0</v>
      </c>
      <c r="AW455" s="1341">
        <f t="shared" si="244"/>
        <v>0</v>
      </c>
      <c r="AX455" s="1341">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8"/>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9"/>
      <c r="AV456" s="1341">
        <f t="shared" si="243"/>
        <v>0</v>
      </c>
      <c r="AW456" s="1341">
        <f t="shared" si="244"/>
        <v>0</v>
      </c>
      <c r="AX456" s="1341">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8"/>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9"/>
      <c r="AV457" s="1341">
        <f t="shared" si="243"/>
        <v>0</v>
      </c>
      <c r="AW457" s="1341">
        <f t="shared" si="244"/>
        <v>0</v>
      </c>
      <c r="AX457" s="1341">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8"/>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9"/>
      <c r="AV458" s="1341">
        <f t="shared" si="243"/>
        <v>0</v>
      </c>
      <c r="AW458" s="1341">
        <f t="shared" si="244"/>
        <v>0</v>
      </c>
      <c r="AX458" s="1341">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8"/>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9"/>
      <c r="AV459" s="1341">
        <f t="shared" si="243"/>
        <v>0</v>
      </c>
      <c r="AW459" s="1341">
        <f t="shared" si="244"/>
        <v>0</v>
      </c>
      <c r="AX459" s="1341">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8"/>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9"/>
      <c r="AV460" s="1341">
        <f t="shared" si="243"/>
        <v>0</v>
      </c>
      <c r="AW460" s="1341">
        <f t="shared" si="244"/>
        <v>0</v>
      </c>
      <c r="AX460" s="1341">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8"/>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9"/>
      <c r="AV461" s="1341">
        <f t="shared" si="243"/>
        <v>0</v>
      </c>
      <c r="AW461" s="1341">
        <f t="shared" si="244"/>
        <v>0</v>
      </c>
      <c r="AX461" s="1341">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8"/>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9"/>
      <c r="AV462" s="1341">
        <f t="shared" si="243"/>
        <v>0</v>
      </c>
      <c r="AW462" s="1341">
        <f t="shared" si="244"/>
        <v>0</v>
      </c>
      <c r="AX462" s="1341">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8"/>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9"/>
      <c r="AV463" s="1341">
        <f t="shared" si="243"/>
        <v>0</v>
      </c>
      <c r="AW463" s="1341">
        <f t="shared" si="244"/>
        <v>0</v>
      </c>
      <c r="AX463" s="1341">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8"/>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9"/>
      <c r="AV464" s="1341">
        <f t="shared" si="243"/>
        <v>0</v>
      </c>
      <c r="AW464" s="1341">
        <f t="shared" si="244"/>
        <v>0</v>
      </c>
      <c r="AX464" s="1341">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8"/>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9"/>
      <c r="AV465" s="1341">
        <f t="shared" si="243"/>
        <v>0</v>
      </c>
      <c r="AW465" s="1341">
        <f t="shared" si="244"/>
        <v>0</v>
      </c>
      <c r="AX465" s="1341">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8"/>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9"/>
      <c r="AV466" s="1341">
        <f t="shared" si="243"/>
        <v>0</v>
      </c>
      <c r="AW466" s="1341">
        <f t="shared" si="244"/>
        <v>0</v>
      </c>
      <c r="AX466" s="1341">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8"/>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9"/>
      <c r="AV467" s="1341">
        <f t="shared" si="243"/>
        <v>0</v>
      </c>
      <c r="AW467" s="1341">
        <f t="shared" si="244"/>
        <v>0</v>
      </c>
      <c r="AX467" s="1341">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8"/>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9"/>
      <c r="AV468" s="1341">
        <f t="shared" si="243"/>
        <v>0</v>
      </c>
      <c r="AW468" s="1341">
        <f t="shared" si="244"/>
        <v>0</v>
      </c>
      <c r="AX468" s="1341">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8"/>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9"/>
      <c r="AV469" s="1341">
        <f t="shared" si="243"/>
        <v>0</v>
      </c>
      <c r="AW469" s="1341">
        <f t="shared" si="244"/>
        <v>0</v>
      </c>
      <c r="AX469" s="1341">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8"/>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9"/>
      <c r="AV470" s="1341">
        <f t="shared" si="243"/>
        <v>0</v>
      </c>
      <c r="AW470" s="1341">
        <f t="shared" si="244"/>
        <v>0</v>
      </c>
      <c r="AX470" s="1341">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8"/>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9"/>
      <c r="AV471" s="1341">
        <f t="shared" si="243"/>
        <v>0</v>
      </c>
      <c r="AW471" s="1341">
        <f t="shared" si="244"/>
        <v>0</v>
      </c>
      <c r="AX471" s="1341">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8"/>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9"/>
      <c r="AV472" s="1341">
        <f t="shared" si="243"/>
        <v>0</v>
      </c>
      <c r="AW472" s="1341">
        <f t="shared" si="244"/>
        <v>0</v>
      </c>
      <c r="AX472" s="1341">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8"/>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9"/>
      <c r="AV473" s="1341">
        <f t="shared" si="243"/>
        <v>0</v>
      </c>
      <c r="AW473" s="1341">
        <f t="shared" si="244"/>
        <v>0</v>
      </c>
      <c r="AX473" s="1341">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8"/>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9"/>
      <c r="AV474" s="1341">
        <f t="shared" si="243"/>
        <v>0</v>
      </c>
      <c r="AW474" s="1341">
        <f t="shared" si="244"/>
        <v>0</v>
      </c>
      <c r="AX474" s="1341">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8"/>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9"/>
      <c r="AV475" s="1341">
        <f t="shared" si="243"/>
        <v>0</v>
      </c>
      <c r="AW475" s="1341">
        <f t="shared" si="244"/>
        <v>0</v>
      </c>
      <c r="AX475" s="1341">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8"/>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9"/>
      <c r="AV476" s="1341">
        <f t="shared" si="243"/>
        <v>0</v>
      </c>
      <c r="AW476" s="1341">
        <f t="shared" si="244"/>
        <v>0</v>
      </c>
      <c r="AX476" s="1341">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8"/>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9"/>
      <c r="AV477" s="1341">
        <f t="shared" si="243"/>
        <v>0</v>
      </c>
      <c r="AW477" s="1341">
        <f t="shared" si="244"/>
        <v>0</v>
      </c>
      <c r="AX477" s="1341">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8"/>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9"/>
      <c r="AV478" s="1341">
        <f t="shared" si="243"/>
        <v>0</v>
      </c>
      <c r="AW478" s="1341">
        <f t="shared" si="244"/>
        <v>0</v>
      </c>
      <c r="AX478" s="1341">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8"/>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9"/>
      <c r="AV479" s="1341">
        <f t="shared" si="243"/>
        <v>0</v>
      </c>
      <c r="AW479" s="1341">
        <f t="shared" si="244"/>
        <v>0</v>
      </c>
      <c r="AX479" s="1341">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8"/>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9"/>
      <c r="AV480" s="1341">
        <f t="shared" si="243"/>
        <v>0</v>
      </c>
      <c r="AW480" s="1341">
        <f t="shared" si="244"/>
        <v>0</v>
      </c>
      <c r="AX480" s="1341">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8"/>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9"/>
      <c r="AV481" s="1341">
        <f t="shared" si="243"/>
        <v>0</v>
      </c>
      <c r="AW481" s="1341">
        <f t="shared" si="244"/>
        <v>0</v>
      </c>
      <c r="AX481" s="1341">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8"/>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9"/>
      <c r="AV482" s="1341">
        <f t="shared" si="243"/>
        <v>0</v>
      </c>
      <c r="AW482" s="1341">
        <f t="shared" si="244"/>
        <v>0</v>
      </c>
      <c r="AX482" s="1341">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8"/>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9"/>
      <c r="AV483" s="1341">
        <f t="shared" si="243"/>
        <v>0</v>
      </c>
      <c r="AW483" s="1341">
        <f t="shared" si="244"/>
        <v>0</v>
      </c>
      <c r="AX483" s="1341">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8"/>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9"/>
      <c r="AV484" s="1341">
        <f t="shared" si="243"/>
        <v>0</v>
      </c>
      <c r="AW484" s="1341">
        <f t="shared" si="244"/>
        <v>0</v>
      </c>
      <c r="AX484" s="1341">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8"/>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9"/>
      <c r="AV485" s="1341">
        <f t="shared" si="243"/>
        <v>0</v>
      </c>
      <c r="AW485" s="1341">
        <f t="shared" si="244"/>
        <v>0</v>
      </c>
      <c r="AX485" s="1341">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8"/>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9"/>
      <c r="AV486" s="1341">
        <f t="shared" si="243"/>
        <v>0</v>
      </c>
      <c r="AW486" s="1341">
        <f t="shared" si="244"/>
        <v>0</v>
      </c>
      <c r="AX486" s="1341">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8"/>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9"/>
      <c r="AV487" s="1341">
        <f t="shared" si="243"/>
        <v>0</v>
      </c>
      <c r="AW487" s="1341">
        <f t="shared" si="244"/>
        <v>0</v>
      </c>
      <c r="AX487" s="1341">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8"/>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9"/>
      <c r="AV488" s="1341">
        <f t="shared" si="243"/>
        <v>0</v>
      </c>
      <c r="AW488" s="1341">
        <f t="shared" si="244"/>
        <v>0</v>
      </c>
      <c r="AX488" s="1341">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8"/>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9"/>
      <c r="AV489" s="1341">
        <f t="shared" si="243"/>
        <v>0</v>
      </c>
      <c r="AW489" s="1341">
        <f t="shared" si="244"/>
        <v>0</v>
      </c>
      <c r="AX489" s="1341">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8"/>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9"/>
      <c r="AV490" s="1341">
        <f t="shared" si="243"/>
        <v>0</v>
      </c>
      <c r="AW490" s="1341">
        <f t="shared" si="244"/>
        <v>0</v>
      </c>
      <c r="AX490" s="1341">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8"/>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9"/>
      <c r="AV491" s="1341">
        <f t="shared" si="243"/>
        <v>0</v>
      </c>
      <c r="AW491" s="1341">
        <f t="shared" si="244"/>
        <v>0</v>
      </c>
      <c r="AX491" s="1341">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8"/>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9"/>
      <c r="AV492" s="1341">
        <f t="shared" si="243"/>
        <v>0</v>
      </c>
      <c r="AW492" s="1341">
        <f t="shared" si="244"/>
        <v>0</v>
      </c>
      <c r="AX492" s="1341">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8"/>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9"/>
      <c r="AV493" s="1341">
        <f t="shared" ref="AV493:AV520" si="294">A493</f>
        <v>0</v>
      </c>
      <c r="AW493" s="1341">
        <f t="shared" ref="AW493:AW520" si="295">B493</f>
        <v>0</v>
      </c>
      <c r="AX493" s="1341">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8"/>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9"/>
      <c r="AV494" s="1341">
        <f t="shared" si="294"/>
        <v>0</v>
      </c>
      <c r="AW494" s="1341">
        <f t="shared" si="295"/>
        <v>0</v>
      </c>
      <c r="AX494" s="1341">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8"/>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9"/>
      <c r="AV495" s="1341">
        <f t="shared" si="294"/>
        <v>0</v>
      </c>
      <c r="AW495" s="1341">
        <f t="shared" si="295"/>
        <v>0</v>
      </c>
      <c r="AX495" s="1341">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8"/>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9"/>
      <c r="AV496" s="1341">
        <f t="shared" si="294"/>
        <v>0</v>
      </c>
      <c r="AW496" s="1341">
        <f t="shared" si="295"/>
        <v>0</v>
      </c>
      <c r="AX496" s="1341">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8"/>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9"/>
      <c r="AV497" s="1341">
        <f t="shared" si="294"/>
        <v>0</v>
      </c>
      <c r="AW497" s="1341">
        <f t="shared" si="295"/>
        <v>0</v>
      </c>
      <c r="AX497" s="1341">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8"/>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9"/>
      <c r="AV498" s="1341">
        <f t="shared" si="294"/>
        <v>0</v>
      </c>
      <c r="AW498" s="1341">
        <f t="shared" si="295"/>
        <v>0</v>
      </c>
      <c r="AX498" s="1341">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8"/>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9"/>
      <c r="AV499" s="1341">
        <f t="shared" si="294"/>
        <v>0</v>
      </c>
      <c r="AW499" s="1341">
        <f t="shared" si="295"/>
        <v>0</v>
      </c>
      <c r="AX499" s="1341">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8"/>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9"/>
      <c r="AV500" s="1341">
        <f t="shared" si="294"/>
        <v>0</v>
      </c>
      <c r="AW500" s="1341">
        <f t="shared" si="295"/>
        <v>0</v>
      </c>
      <c r="AX500" s="1341">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8"/>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9"/>
      <c r="AV501" s="1341">
        <f t="shared" si="294"/>
        <v>0</v>
      </c>
      <c r="AW501" s="1341">
        <f t="shared" si="295"/>
        <v>0</v>
      </c>
      <c r="AX501" s="1341">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8"/>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9"/>
      <c r="AV502" s="1341">
        <f t="shared" si="294"/>
        <v>0</v>
      </c>
      <c r="AW502" s="1341">
        <f t="shared" si="295"/>
        <v>0</v>
      </c>
      <c r="AX502" s="1341">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8"/>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9"/>
      <c r="AV503" s="1341">
        <f t="shared" si="294"/>
        <v>0</v>
      </c>
      <c r="AW503" s="1341">
        <f t="shared" si="295"/>
        <v>0</v>
      </c>
      <c r="AX503" s="1341">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8"/>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9"/>
      <c r="AV504" s="1341">
        <f t="shared" si="294"/>
        <v>0</v>
      </c>
      <c r="AW504" s="1341">
        <f t="shared" si="295"/>
        <v>0</v>
      </c>
      <c r="AX504" s="1341">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8"/>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9"/>
      <c r="AV505" s="1341">
        <f t="shared" si="294"/>
        <v>0</v>
      </c>
      <c r="AW505" s="1341">
        <f t="shared" si="295"/>
        <v>0</v>
      </c>
      <c r="AX505" s="1341">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8"/>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9"/>
      <c r="AV506" s="1341">
        <f t="shared" si="294"/>
        <v>0</v>
      </c>
      <c r="AW506" s="1341">
        <f t="shared" si="295"/>
        <v>0</v>
      </c>
      <c r="AX506" s="1341">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8"/>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9"/>
      <c r="AV507" s="1341">
        <f t="shared" si="294"/>
        <v>0</v>
      </c>
      <c r="AW507" s="1341">
        <f t="shared" si="295"/>
        <v>0</v>
      </c>
      <c r="AX507" s="1341">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8"/>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9"/>
      <c r="AV508" s="1341">
        <f t="shared" si="294"/>
        <v>0</v>
      </c>
      <c r="AW508" s="1341">
        <f t="shared" si="295"/>
        <v>0</v>
      </c>
      <c r="AX508" s="1341">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8"/>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9"/>
      <c r="AV509" s="1341">
        <f t="shared" si="294"/>
        <v>0</v>
      </c>
      <c r="AW509" s="1341">
        <f t="shared" si="295"/>
        <v>0</v>
      </c>
      <c r="AX509" s="1341">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8"/>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9"/>
      <c r="AV510" s="1341">
        <f t="shared" si="294"/>
        <v>0</v>
      </c>
      <c r="AW510" s="1341">
        <f t="shared" si="295"/>
        <v>0</v>
      </c>
      <c r="AX510" s="1341">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8"/>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9"/>
      <c r="AV511" s="1341">
        <f t="shared" si="294"/>
        <v>0</v>
      </c>
      <c r="AW511" s="1341">
        <f t="shared" si="295"/>
        <v>0</v>
      </c>
      <c r="AX511" s="1341">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8"/>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9"/>
      <c r="AV512" s="1341">
        <f t="shared" si="294"/>
        <v>0</v>
      </c>
      <c r="AW512" s="1341">
        <f t="shared" si="295"/>
        <v>0</v>
      </c>
      <c r="AX512" s="1341">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8"/>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9"/>
      <c r="AV513" s="1341">
        <f t="shared" si="294"/>
        <v>0</v>
      </c>
      <c r="AW513" s="1341">
        <f t="shared" si="295"/>
        <v>0</v>
      </c>
      <c r="AX513" s="1341">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8"/>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9"/>
      <c r="AV514" s="1341">
        <f t="shared" si="294"/>
        <v>0</v>
      </c>
      <c r="AW514" s="1341">
        <f t="shared" si="295"/>
        <v>0</v>
      </c>
      <c r="AX514" s="1341">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8"/>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9"/>
      <c r="AV515" s="1341">
        <f t="shared" si="294"/>
        <v>0</v>
      </c>
      <c r="AW515" s="1341">
        <f t="shared" si="295"/>
        <v>0</v>
      </c>
      <c r="AX515" s="1341">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8"/>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9"/>
      <c r="AV516" s="1341">
        <f t="shared" si="294"/>
        <v>0</v>
      </c>
      <c r="AW516" s="1341">
        <f t="shared" si="295"/>
        <v>0</v>
      </c>
      <c r="AX516" s="1341">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8"/>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9"/>
      <c r="AV517" s="1341">
        <f t="shared" si="294"/>
        <v>0</v>
      </c>
      <c r="AW517" s="1341">
        <f t="shared" si="295"/>
        <v>0</v>
      </c>
      <c r="AX517" s="1341">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8"/>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9"/>
      <c r="AV518" s="1341">
        <f t="shared" si="294"/>
        <v>0</v>
      </c>
      <c r="AW518" s="1341">
        <f t="shared" si="295"/>
        <v>0</v>
      </c>
      <c r="AX518" s="1341">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8"/>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9"/>
      <c r="AV519" s="1341">
        <f t="shared" si="294"/>
        <v>0</v>
      </c>
      <c r="AW519" s="1341">
        <f t="shared" si="295"/>
        <v>0</v>
      </c>
      <c r="AX519" s="1341">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8"/>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9"/>
      <c r="AV520" s="1341">
        <f t="shared" si="294"/>
        <v>0</v>
      </c>
      <c r="AW520" s="1341">
        <f t="shared" si="295"/>
        <v>0</v>
      </c>
      <c r="AX520" s="1341">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8"/>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9"/>
      <c r="AV521" s="1341">
        <f t="shared" ref="AV521:AV552" si="298">A521</f>
        <v>0</v>
      </c>
      <c r="AW521" s="1341">
        <f t="shared" ref="AW521:AW552" si="299">B521</f>
        <v>0</v>
      </c>
      <c r="AX521" s="1341">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8"/>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9"/>
      <c r="AV522" s="1341">
        <f t="shared" si="298"/>
        <v>0</v>
      </c>
      <c r="AW522" s="1341">
        <f t="shared" si="299"/>
        <v>0</v>
      </c>
      <c r="AX522" s="1341">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8"/>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9"/>
      <c r="AV523" s="1341">
        <f t="shared" si="298"/>
        <v>0</v>
      </c>
      <c r="AW523" s="1341">
        <f t="shared" si="299"/>
        <v>0</v>
      </c>
      <c r="AX523" s="1341">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8"/>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9"/>
      <c r="AV524" s="1341">
        <f t="shared" si="298"/>
        <v>0</v>
      </c>
      <c r="AW524" s="1341">
        <f t="shared" si="299"/>
        <v>0</v>
      </c>
      <c r="AX524" s="1341">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8"/>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9"/>
      <c r="AV525" s="1341">
        <f t="shared" si="298"/>
        <v>0</v>
      </c>
      <c r="AW525" s="1341">
        <f t="shared" si="299"/>
        <v>0</v>
      </c>
      <c r="AX525" s="1341">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8"/>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9"/>
      <c r="AV526" s="1341">
        <f t="shared" si="298"/>
        <v>0</v>
      </c>
      <c r="AW526" s="1341">
        <f t="shared" si="299"/>
        <v>0</v>
      </c>
      <c r="AX526" s="1341">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8"/>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9"/>
      <c r="AV527" s="1341">
        <f t="shared" si="298"/>
        <v>0</v>
      </c>
      <c r="AW527" s="1341">
        <f t="shared" si="299"/>
        <v>0</v>
      </c>
      <c r="AX527" s="1341">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8"/>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9"/>
      <c r="AV528" s="1341">
        <f t="shared" si="298"/>
        <v>0</v>
      </c>
      <c r="AW528" s="1341">
        <f t="shared" si="299"/>
        <v>0</v>
      </c>
      <c r="AX528" s="1341">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8"/>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9"/>
      <c r="AV529" s="1341">
        <f t="shared" si="298"/>
        <v>0</v>
      </c>
      <c r="AW529" s="1341">
        <f t="shared" si="299"/>
        <v>0</v>
      </c>
      <c r="AX529" s="1341">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8"/>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9"/>
      <c r="AV530" s="1341">
        <f t="shared" si="298"/>
        <v>0</v>
      </c>
      <c r="AW530" s="1341">
        <f t="shared" si="299"/>
        <v>0</v>
      </c>
      <c r="AX530" s="1341">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8"/>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9"/>
      <c r="AV531" s="1341">
        <f t="shared" si="298"/>
        <v>0</v>
      </c>
      <c r="AW531" s="1341">
        <f t="shared" si="299"/>
        <v>0</v>
      </c>
      <c r="AX531" s="1341">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8"/>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9"/>
      <c r="AV532" s="1341">
        <f t="shared" si="298"/>
        <v>0</v>
      </c>
      <c r="AW532" s="1341">
        <f t="shared" si="299"/>
        <v>0</v>
      </c>
      <c r="AX532" s="1341">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8"/>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9"/>
      <c r="AV533" s="1341">
        <f t="shared" si="298"/>
        <v>0</v>
      </c>
      <c r="AW533" s="1341">
        <f t="shared" si="299"/>
        <v>0</v>
      </c>
      <c r="AX533" s="1341">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8"/>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9"/>
      <c r="AV534" s="1341">
        <f t="shared" si="298"/>
        <v>0</v>
      </c>
      <c r="AW534" s="1341">
        <f t="shared" si="299"/>
        <v>0</v>
      </c>
      <c r="AX534" s="1341">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8"/>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9"/>
      <c r="AV535" s="1341">
        <f t="shared" si="298"/>
        <v>0</v>
      </c>
      <c r="AW535" s="1341">
        <f t="shared" si="299"/>
        <v>0</v>
      </c>
      <c r="AX535" s="1341">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8"/>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9"/>
      <c r="AV536" s="1341">
        <f t="shared" si="298"/>
        <v>0</v>
      </c>
      <c r="AW536" s="1341">
        <f t="shared" si="299"/>
        <v>0</v>
      </c>
      <c r="AX536" s="1341">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8"/>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9"/>
      <c r="AV537" s="1341">
        <f t="shared" si="298"/>
        <v>0</v>
      </c>
      <c r="AW537" s="1341">
        <f t="shared" si="299"/>
        <v>0</v>
      </c>
      <c r="AX537" s="1341">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8"/>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9"/>
      <c r="AV538" s="1341">
        <f t="shared" si="298"/>
        <v>0</v>
      </c>
      <c r="AW538" s="1341">
        <f t="shared" si="299"/>
        <v>0</v>
      </c>
      <c r="AX538" s="1341">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8"/>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9"/>
      <c r="AV539" s="1341">
        <f t="shared" si="298"/>
        <v>0</v>
      </c>
      <c r="AW539" s="1341">
        <f t="shared" si="299"/>
        <v>0</v>
      </c>
      <c r="AX539" s="1341">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8"/>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9"/>
      <c r="AV540" s="1341">
        <f t="shared" si="298"/>
        <v>0</v>
      </c>
      <c r="AW540" s="1341">
        <f t="shared" si="299"/>
        <v>0</v>
      </c>
      <c r="AX540" s="1341">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8"/>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9"/>
      <c r="AV541" s="1341">
        <f t="shared" si="298"/>
        <v>0</v>
      </c>
      <c r="AW541" s="1341">
        <f t="shared" si="299"/>
        <v>0</v>
      </c>
      <c r="AX541" s="1341">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8"/>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9"/>
      <c r="AV542" s="1341">
        <f t="shared" si="298"/>
        <v>0</v>
      </c>
      <c r="AW542" s="1341">
        <f t="shared" si="299"/>
        <v>0</v>
      </c>
      <c r="AX542" s="1341">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8"/>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9"/>
      <c r="AV543" s="1341">
        <f t="shared" si="298"/>
        <v>0</v>
      </c>
      <c r="AW543" s="1341">
        <f t="shared" si="299"/>
        <v>0</v>
      </c>
      <c r="AX543" s="1341">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8"/>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9"/>
      <c r="AV544" s="1341">
        <f t="shared" si="298"/>
        <v>0</v>
      </c>
      <c r="AW544" s="1341">
        <f t="shared" si="299"/>
        <v>0</v>
      </c>
      <c r="AX544" s="1341">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8"/>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9"/>
      <c r="AV545" s="1341">
        <f t="shared" si="298"/>
        <v>0</v>
      </c>
      <c r="AW545" s="1341">
        <f t="shared" si="299"/>
        <v>0</v>
      </c>
      <c r="AX545" s="1341">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8"/>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9"/>
      <c r="AV546" s="1341">
        <f t="shared" si="298"/>
        <v>0</v>
      </c>
      <c r="AW546" s="1341">
        <f t="shared" si="299"/>
        <v>0</v>
      </c>
      <c r="AX546" s="1341">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8"/>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9"/>
      <c r="AV547" s="1341">
        <f t="shared" si="298"/>
        <v>0</v>
      </c>
      <c r="AW547" s="1341">
        <f t="shared" si="299"/>
        <v>0</v>
      </c>
      <c r="AX547" s="1341">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8"/>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9"/>
      <c r="AV548" s="1341">
        <f t="shared" si="298"/>
        <v>0</v>
      </c>
      <c r="AW548" s="1341">
        <f t="shared" si="299"/>
        <v>0</v>
      </c>
      <c r="AX548" s="1341">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8"/>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9"/>
      <c r="AV549" s="1341">
        <f t="shared" si="298"/>
        <v>0</v>
      </c>
      <c r="AW549" s="1341">
        <f t="shared" si="299"/>
        <v>0</v>
      </c>
      <c r="AX549" s="1341">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8"/>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9"/>
      <c r="AV550" s="1341">
        <f t="shared" si="298"/>
        <v>0</v>
      </c>
      <c r="AW550" s="1341">
        <f t="shared" si="299"/>
        <v>0</v>
      </c>
      <c r="AX550" s="1341">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8"/>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9"/>
      <c r="AV551" s="1341">
        <f t="shared" si="298"/>
        <v>0</v>
      </c>
      <c r="AW551" s="1341">
        <f t="shared" si="299"/>
        <v>0</v>
      </c>
      <c r="AX551" s="1341">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8"/>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9"/>
      <c r="AV552" s="1341">
        <f t="shared" si="298"/>
        <v>0</v>
      </c>
      <c r="AW552" s="1341">
        <f t="shared" si="299"/>
        <v>0</v>
      </c>
      <c r="AX552" s="1341">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8"/>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9"/>
      <c r="AV553" s="1341">
        <f t="shared" ref="AV553:AV587" si="330">A553</f>
        <v>0</v>
      </c>
      <c r="AW553" s="1341">
        <f t="shared" ref="AW553:AW587" si="331">B553</f>
        <v>0</v>
      </c>
      <c r="AX553" s="1341">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8"/>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9"/>
      <c r="AV554" s="1341">
        <f t="shared" si="330"/>
        <v>0</v>
      </c>
      <c r="AW554" s="1341">
        <f t="shared" si="331"/>
        <v>0</v>
      </c>
      <c r="AX554" s="1341">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8"/>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9"/>
      <c r="AV555" s="1341">
        <f t="shared" si="330"/>
        <v>0</v>
      </c>
      <c r="AW555" s="1341">
        <f t="shared" si="331"/>
        <v>0</v>
      </c>
      <c r="AX555" s="1341">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8"/>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9"/>
      <c r="AV556" s="1341">
        <f t="shared" si="330"/>
        <v>0</v>
      </c>
      <c r="AW556" s="1341">
        <f t="shared" si="331"/>
        <v>0</v>
      </c>
      <c r="AX556" s="1341">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8"/>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9"/>
      <c r="AV557" s="1341">
        <f t="shared" si="330"/>
        <v>0</v>
      </c>
      <c r="AW557" s="1341">
        <f t="shared" si="331"/>
        <v>0</v>
      </c>
      <c r="AX557" s="1341">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8"/>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9"/>
      <c r="AV558" s="1341">
        <f t="shared" si="330"/>
        <v>0</v>
      </c>
      <c r="AW558" s="1341">
        <f t="shared" si="331"/>
        <v>0</v>
      </c>
      <c r="AX558" s="1341">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8"/>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9"/>
      <c r="AV559" s="1341">
        <f t="shared" si="330"/>
        <v>0</v>
      </c>
      <c r="AW559" s="1341">
        <f t="shared" si="331"/>
        <v>0</v>
      </c>
      <c r="AX559" s="1341">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8"/>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9"/>
      <c r="AV560" s="1341">
        <f t="shared" si="330"/>
        <v>0</v>
      </c>
      <c r="AW560" s="1341">
        <f t="shared" si="331"/>
        <v>0</v>
      </c>
      <c r="AX560" s="1341">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8"/>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9"/>
      <c r="AV561" s="1341">
        <f t="shared" si="330"/>
        <v>0</v>
      </c>
      <c r="AW561" s="1341">
        <f t="shared" si="331"/>
        <v>0</v>
      </c>
      <c r="AX561" s="1341">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8"/>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9"/>
      <c r="AV562" s="1341">
        <f t="shared" si="330"/>
        <v>0</v>
      </c>
      <c r="AW562" s="1341">
        <f t="shared" si="331"/>
        <v>0</v>
      </c>
      <c r="AX562" s="1341">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8"/>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9"/>
      <c r="AV563" s="1341">
        <f t="shared" si="330"/>
        <v>0</v>
      </c>
      <c r="AW563" s="1341">
        <f t="shared" si="331"/>
        <v>0</v>
      </c>
      <c r="AX563" s="1341">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8"/>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9"/>
      <c r="AV564" s="1341">
        <f t="shared" si="330"/>
        <v>0</v>
      </c>
      <c r="AW564" s="1341">
        <f t="shared" si="331"/>
        <v>0</v>
      </c>
      <c r="AX564" s="1341">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8"/>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9"/>
      <c r="AV565" s="1341">
        <f t="shared" si="330"/>
        <v>0</v>
      </c>
      <c r="AW565" s="1341">
        <f t="shared" si="331"/>
        <v>0</v>
      </c>
      <c r="AX565" s="1341">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8"/>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9"/>
      <c r="AV566" s="1341">
        <f t="shared" si="330"/>
        <v>0</v>
      </c>
      <c r="AW566" s="1341">
        <f t="shared" si="331"/>
        <v>0</v>
      </c>
      <c r="AX566" s="1341">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8"/>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9"/>
      <c r="AV567" s="1341">
        <f t="shared" si="330"/>
        <v>0</v>
      </c>
      <c r="AW567" s="1341">
        <f t="shared" si="331"/>
        <v>0</v>
      </c>
      <c r="AX567" s="1341">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8"/>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9"/>
      <c r="AV568" s="1341">
        <f t="shared" si="330"/>
        <v>0</v>
      </c>
      <c r="AW568" s="1341">
        <f t="shared" si="331"/>
        <v>0</v>
      </c>
      <c r="AX568" s="1341">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8"/>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9"/>
      <c r="AV569" s="1341">
        <f t="shared" si="330"/>
        <v>0</v>
      </c>
      <c r="AW569" s="1341">
        <f t="shared" si="331"/>
        <v>0</v>
      </c>
      <c r="AX569" s="1341">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8"/>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9"/>
      <c r="AV570" s="1341">
        <f t="shared" si="330"/>
        <v>0</v>
      </c>
      <c r="AW570" s="1341">
        <f t="shared" si="331"/>
        <v>0</v>
      </c>
      <c r="AX570" s="1341">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8"/>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9"/>
      <c r="AV571" s="1341">
        <f t="shared" si="330"/>
        <v>0</v>
      </c>
      <c r="AW571" s="1341">
        <f t="shared" si="331"/>
        <v>0</v>
      </c>
      <c r="AX571" s="1341">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8"/>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9"/>
      <c r="AV572" s="1341">
        <f t="shared" si="330"/>
        <v>0</v>
      </c>
      <c r="AW572" s="1341">
        <f t="shared" si="331"/>
        <v>0</v>
      </c>
      <c r="AX572" s="1341">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8"/>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9"/>
      <c r="AV573" s="1341">
        <f t="shared" si="330"/>
        <v>0</v>
      </c>
      <c r="AW573" s="1341">
        <f t="shared" si="331"/>
        <v>0</v>
      </c>
      <c r="AX573" s="1341">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8"/>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9"/>
      <c r="AV574" s="1341">
        <f t="shared" si="330"/>
        <v>0</v>
      </c>
      <c r="AW574" s="1341">
        <f t="shared" si="331"/>
        <v>0</v>
      </c>
      <c r="AX574" s="1341">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8"/>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9"/>
      <c r="AV575" s="1341">
        <f t="shared" si="330"/>
        <v>0</v>
      </c>
      <c r="AW575" s="1341">
        <f t="shared" si="331"/>
        <v>0</v>
      </c>
      <c r="AX575" s="1341">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8"/>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9"/>
      <c r="AV576" s="1341">
        <f t="shared" si="330"/>
        <v>0</v>
      </c>
      <c r="AW576" s="1341">
        <f t="shared" si="331"/>
        <v>0</v>
      </c>
      <c r="AX576" s="1341">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8"/>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9"/>
      <c r="AV577" s="1341">
        <f t="shared" si="330"/>
        <v>0</v>
      </c>
      <c r="AW577" s="1341">
        <f t="shared" si="331"/>
        <v>0</v>
      </c>
      <c r="AX577" s="1341">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8"/>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9"/>
      <c r="AV578" s="1341">
        <f t="shared" si="330"/>
        <v>0</v>
      </c>
      <c r="AW578" s="1341">
        <f t="shared" si="331"/>
        <v>0</v>
      </c>
      <c r="AX578" s="1341">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8"/>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9"/>
      <c r="AV579" s="1341">
        <f t="shared" si="330"/>
        <v>0</v>
      </c>
      <c r="AW579" s="1341">
        <f t="shared" si="331"/>
        <v>0</v>
      </c>
      <c r="AX579" s="1341">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8"/>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9"/>
      <c r="AV580" s="1341">
        <f t="shared" si="330"/>
        <v>0</v>
      </c>
      <c r="AW580" s="1341">
        <f t="shared" si="331"/>
        <v>0</v>
      </c>
      <c r="AX580" s="1341">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8"/>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9"/>
      <c r="AV581" s="1341">
        <f t="shared" si="330"/>
        <v>0</v>
      </c>
      <c r="AW581" s="1341">
        <f t="shared" si="331"/>
        <v>0</v>
      </c>
      <c r="AX581" s="1341">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8"/>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9"/>
      <c r="AV582" s="1341">
        <f t="shared" si="330"/>
        <v>0</v>
      </c>
      <c r="AW582" s="1341">
        <f t="shared" si="331"/>
        <v>0</v>
      </c>
      <c r="AX582" s="1341">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8"/>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9"/>
      <c r="AV583" s="1341">
        <f t="shared" si="330"/>
        <v>0</v>
      </c>
      <c r="AW583" s="1341">
        <f t="shared" si="331"/>
        <v>0</v>
      </c>
      <c r="AX583" s="1341">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8"/>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9"/>
      <c r="AV584" s="1341">
        <f t="shared" si="330"/>
        <v>0</v>
      </c>
      <c r="AW584" s="1341">
        <f t="shared" si="331"/>
        <v>0</v>
      </c>
      <c r="AX584" s="1341">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8"/>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9"/>
      <c r="AV585" s="1341">
        <f t="shared" si="330"/>
        <v>0</v>
      </c>
      <c r="AW585" s="1341">
        <f t="shared" si="331"/>
        <v>0</v>
      </c>
      <c r="AX585" s="1341">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8"/>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9"/>
      <c r="AV586" s="1341">
        <f t="shared" si="330"/>
        <v>0</v>
      </c>
      <c r="AW586" s="1341">
        <f t="shared" si="331"/>
        <v>0</v>
      </c>
      <c r="AX586" s="1341">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8"/>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9"/>
      <c r="AV587" s="1341">
        <f t="shared" si="330"/>
        <v>0</v>
      </c>
      <c r="AW587" s="1341">
        <f t="shared" si="331"/>
        <v>0</v>
      </c>
      <c r="AX587" s="1341">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algorithmName="SHA-512" hashValue="q9UWA3qoLMbOVxBdRG8NtWAAq5RToytdUIy6Xxzdhxs07aM5Pg37keA7fCva7H73eE3dJvh+IbmlEmLnwt3oNA==" saltValue="vzSmv+nWpJ99fJhTLTKNIw==" spinCount="100000"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18" sqref="G1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17" t="s">
        <v>1131</v>
      </c>
      <c r="B2" s="3617"/>
      <c r="C2" s="3617"/>
      <c r="D2" s="794" t="s">
        <v>1107</v>
      </c>
      <c r="E2" s="1637" t="s">
        <v>1108</v>
      </c>
      <c r="F2" s="2657"/>
      <c r="G2" s="2648"/>
      <c r="H2" s="2649"/>
      <c r="I2" s="2323" t="s">
        <v>1132</v>
      </c>
      <c r="J2" s="2657"/>
      <c r="K2" s="2657"/>
      <c r="L2" s="2657"/>
      <c r="M2" s="2657"/>
      <c r="N2" s="2659"/>
      <c r="O2" s="2657"/>
      <c r="P2" s="2657"/>
    </row>
    <row r="3" spans="1:16" ht="15.75" thickBot="1">
      <c r="A3" s="3618" t="s">
        <v>1105</v>
      </c>
      <c r="B3" s="3618"/>
      <c r="C3" s="3618"/>
      <c r="D3" s="3525">
        <f>'数据-基础表'!AY6</f>
        <v>53147.14</v>
      </c>
      <c r="E3" s="42">
        <f>'数据-基础表'!AZ5</f>
        <v>8327.76</v>
      </c>
      <c r="F3" s="2657"/>
      <c r="G3" s="1143"/>
      <c r="H3" s="1024" t="s">
        <v>1106</v>
      </c>
      <c r="I3" s="853">
        <f>ROUND('数据-基础表'!B3/'数据-基础表'!A3,2)</f>
        <v>0.16</v>
      </c>
      <c r="J3" s="2657"/>
      <c r="K3" s="2657"/>
      <c r="L3" s="2657"/>
      <c r="M3" s="2657"/>
      <c r="N3" s="2659"/>
      <c r="O3" s="2657"/>
      <c r="P3" s="2657"/>
    </row>
    <row r="4" spans="1:16" ht="15">
      <c r="A4" s="3619"/>
      <c r="B4" s="3620"/>
      <c r="C4" s="3621"/>
      <c r="D4" s="1639" t="s">
        <v>1107</v>
      </c>
      <c r="E4" s="1640" t="s">
        <v>1108</v>
      </c>
      <c r="F4" s="2657"/>
      <c r="G4" s="2650" t="s">
        <v>1133</v>
      </c>
      <c r="H4" s="1024" t="s">
        <v>1113</v>
      </c>
      <c r="I4" s="853">
        <f>ROUND(SUMIF('数据-基础表'!I9:AS9,"地上",'数据-基础表'!I5:AS5)/'数据-基础表'!A3,2)</f>
        <v>0.16</v>
      </c>
      <c r="J4" s="2657"/>
      <c r="K4" s="2657"/>
      <c r="L4" s="2657"/>
      <c r="M4" s="2657"/>
      <c r="N4" s="2659"/>
      <c r="O4" s="2657"/>
      <c r="P4" s="2657"/>
    </row>
    <row r="5" spans="1:16">
      <c r="A5" s="43" t="s">
        <v>1109</v>
      </c>
      <c r="B5" s="3622" t="s">
        <v>1110</v>
      </c>
      <c r="C5" s="3622"/>
      <c r="D5" s="44">
        <f>ROUND($D$3*E5/$E$3,2)</f>
        <v>0</v>
      </c>
      <c r="E5" s="45">
        <f>SUMIF('数据-基础表'!$11:$11,"住宅",'数据-基础表'!$5:$5)</f>
        <v>0</v>
      </c>
      <c r="F5" s="2657"/>
      <c r="G5" s="1143"/>
      <c r="H5" s="1024" t="s">
        <v>1106</v>
      </c>
      <c r="I5" s="853">
        <f>ROUND(E31/D31,2)</f>
        <v>0.16</v>
      </c>
      <c r="J5" s="2657"/>
      <c r="K5" s="2657"/>
      <c r="L5" s="2657"/>
      <c r="M5" s="2657"/>
      <c r="N5" s="2657"/>
      <c r="O5" s="2657"/>
      <c r="P5" s="2657"/>
    </row>
    <row r="6" spans="1:16" ht="15" thickBot="1">
      <c r="A6" s="1642"/>
      <c r="B6" s="3622" t="s">
        <v>1111</v>
      </c>
      <c r="C6" s="3622"/>
      <c r="D6" s="3526">
        <f>ROUND($D$3*E6/$E$3,2)</f>
        <v>53147.14</v>
      </c>
      <c r="E6" s="45">
        <f>E3-E5</f>
        <v>8327.76</v>
      </c>
      <c r="F6" s="2657"/>
      <c r="G6" s="2651" t="s">
        <v>1112</v>
      </c>
      <c r="H6" s="1144" t="s">
        <v>1113</v>
      </c>
      <c r="I6" s="2652">
        <f>ROUND(F31/D31,2)</f>
        <v>0.16</v>
      </c>
      <c r="J6" s="2657"/>
      <c r="K6" s="2657"/>
      <c r="L6" s="2657"/>
      <c r="M6" s="2657"/>
      <c r="N6" s="2657"/>
      <c r="O6" s="2657"/>
      <c r="P6" s="2657"/>
    </row>
    <row r="7" spans="1:16" ht="15.75" thickBot="1">
      <c r="A7" s="3614"/>
      <c r="B7" s="3615"/>
      <c r="C7" s="3616"/>
      <c r="D7" s="1639" t="s">
        <v>1107</v>
      </c>
      <c r="E7" s="1643" t="s">
        <v>1114</v>
      </c>
      <c r="F7" s="2657"/>
      <c r="G7" s="2653" t="s">
        <v>1115</v>
      </c>
      <c r="H7" s="2654"/>
      <c r="I7" s="2655">
        <v>1</v>
      </c>
      <c r="J7" s="2657"/>
      <c r="K7" s="2657"/>
      <c r="L7" s="2657"/>
      <c r="M7" s="2657"/>
      <c r="N7" s="2657"/>
      <c r="O7" s="2657"/>
      <c r="P7" s="2657"/>
    </row>
    <row r="8" spans="1:16">
      <c r="A8" s="43" t="s">
        <v>1116</v>
      </c>
      <c r="B8" s="46" t="s">
        <v>1117</v>
      </c>
      <c r="C8" s="44" t="s">
        <v>1118</v>
      </c>
      <c r="D8" s="44">
        <f t="shared" ref="D8:D15" si="0">ROUND($D$3*E8/$E$3,2)</f>
        <v>53147.14</v>
      </c>
      <c r="E8" s="47">
        <f>SUMIF('数据-基础表'!BB10:BK10,"地上",'数据-基础表'!BB5:BK5)</f>
        <v>8327.76</v>
      </c>
      <c r="F8" s="2657"/>
      <c r="G8" s="2658"/>
      <c r="H8" s="2658"/>
      <c r="I8" s="2657"/>
      <c r="J8" s="2657"/>
      <c r="K8" s="2657"/>
      <c r="L8" s="2657"/>
      <c r="M8" s="2657"/>
      <c r="N8" s="2657"/>
      <c r="O8" s="2657"/>
      <c r="P8" s="2657"/>
    </row>
    <row r="9" spans="1:16">
      <c r="A9" s="1644"/>
      <c r="B9" s="1645"/>
      <c r="C9" s="44" t="s">
        <v>1119</v>
      </c>
      <c r="D9" s="44">
        <f t="shared" si="0"/>
        <v>0</v>
      </c>
      <c r="E9" s="48">
        <v>0</v>
      </c>
      <c r="F9" s="2657"/>
      <c r="G9" s="2658"/>
      <c r="H9" s="2658"/>
      <c r="I9" s="2657"/>
      <c r="J9" s="2657"/>
      <c r="K9" s="2657"/>
      <c r="L9" s="2657"/>
      <c r="M9" s="2657"/>
      <c r="N9" s="2657"/>
      <c r="O9" s="2657"/>
      <c r="P9" s="2657"/>
    </row>
    <row r="10" spans="1:16">
      <c r="A10" s="1644"/>
      <c r="B10" s="1645"/>
      <c r="C10" s="44" t="s">
        <v>1128</v>
      </c>
      <c r="D10" s="44">
        <f t="shared" si="0"/>
        <v>0</v>
      </c>
      <c r="E10" s="47">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4" t="s">
        <v>1120</v>
      </c>
      <c r="D11" s="44">
        <f t="shared" si="0"/>
        <v>0</v>
      </c>
      <c r="E11" s="47">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4" t="s">
        <v>1121</v>
      </c>
      <c r="D12" s="44">
        <f t="shared" si="0"/>
        <v>0</v>
      </c>
      <c r="E12" s="47">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4" t="s">
        <v>1122</v>
      </c>
      <c r="D13" s="44">
        <f t="shared" si="0"/>
        <v>0</v>
      </c>
      <c r="E13" s="47">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4" t="s">
        <v>1134</v>
      </c>
      <c r="D14" s="44">
        <f t="shared" si="0"/>
        <v>0</v>
      </c>
      <c r="E14" s="47">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4" t="s">
        <v>1129</v>
      </c>
      <c r="D15" s="44">
        <f t="shared" si="0"/>
        <v>0</v>
      </c>
      <c r="E15" s="47">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6" t="s">
        <v>1123</v>
      </c>
      <c r="D16" s="3527">
        <f>SUM(D8:D15)</f>
        <v>53147.14</v>
      </c>
      <c r="E16" s="49">
        <f>SUM(E8:E15)</f>
        <v>8327.76</v>
      </c>
      <c r="F16" s="2657"/>
      <c r="G16" s="2658"/>
      <c r="H16" s="1646" t="s">
        <v>1135</v>
      </c>
      <c r="I16" s="1647"/>
      <c r="J16" s="1137"/>
      <c r="K16" s="3611" t="s">
        <v>1135</v>
      </c>
      <c r="L16" s="3612"/>
      <c r="M16" s="3612"/>
      <c r="N16" s="3612"/>
      <c r="O16" s="3612"/>
      <c r="P16" s="3613"/>
    </row>
    <row r="17" spans="1:19" ht="15">
      <c r="A17" s="1648" t="s">
        <v>1136</v>
      </c>
      <c r="B17" s="1649" t="s">
        <v>1137</v>
      </c>
      <c r="C17" s="1650" t="s">
        <v>1138</v>
      </c>
      <c r="D17" s="1651" t="s">
        <v>1126</v>
      </c>
      <c r="E17" s="1652" t="s">
        <v>1127</v>
      </c>
      <c r="F17" s="1653"/>
      <c r="G17" s="1654"/>
      <c r="H17" s="1655" t="s">
        <v>1139</v>
      </c>
      <c r="I17" s="1656" t="s">
        <v>1124</v>
      </c>
      <c r="J17" s="1137"/>
      <c r="K17" s="3608" t="s">
        <v>1140</v>
      </c>
      <c r="L17" s="3609"/>
      <c r="M17" s="3610"/>
      <c r="N17" s="3608" t="s">
        <v>1141</v>
      </c>
      <c r="O17" s="3609"/>
      <c r="P17" s="3610"/>
      <c r="R17" s="1638" t="s">
        <v>1142</v>
      </c>
      <c r="S17" s="55"/>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6" t="s">
        <v>1125</v>
      </c>
      <c r="C19" s="3415" t="s">
        <v>3522</v>
      </c>
      <c r="D19" s="44">
        <f>ROUND($D$3*E19/$E$3,2)</f>
        <v>53147.14</v>
      </c>
      <c r="E19" s="52">
        <f t="shared" ref="E19:E26" si="1">SUM(F19:G19)</f>
        <v>8327.76</v>
      </c>
      <c r="F19" s="2793">
        <f>'数据-基础表'!I13</f>
        <v>8327.76</v>
      </c>
      <c r="G19" s="2794"/>
      <c r="H19" s="669">
        <f>ROUND($D$3*I19/$E$3,2)</f>
        <v>0</v>
      </c>
      <c r="I19" s="47">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53147.14</v>
      </c>
      <c r="S19" s="1025">
        <f t="shared" si="5"/>
        <v>8327.76</v>
      </c>
    </row>
    <row r="20" spans="1:19">
      <c r="A20" s="1668"/>
      <c r="B20" s="46" t="s">
        <v>1153</v>
      </c>
      <c r="C20" s="3415" t="s">
        <v>3532</v>
      </c>
      <c r="D20" s="44">
        <f t="shared" ref="D20:D26" si="6">ROUND($D$3*E20/$E$3,2)</f>
        <v>0</v>
      </c>
      <c r="E20" s="52">
        <f t="shared" si="1"/>
        <v>0</v>
      </c>
      <c r="F20" s="2793"/>
      <c r="G20" s="2794"/>
      <c r="H20" s="669">
        <f t="shared" ref="H20:H26" si="7">ROUND($D$3*I20/$E$3,2)</f>
        <v>0</v>
      </c>
      <c r="I20" s="47">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6" t="s">
        <v>1153</v>
      </c>
      <c r="C21" s="3415"/>
      <c r="D21" s="44">
        <f t="shared" si="6"/>
        <v>0</v>
      </c>
      <c r="E21" s="52">
        <f t="shared" si="1"/>
        <v>0</v>
      </c>
      <c r="F21" s="2793"/>
      <c r="G21" s="2794"/>
      <c r="H21" s="669">
        <f t="shared" si="7"/>
        <v>0</v>
      </c>
      <c r="I21" s="47">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6" t="s">
        <v>1153</v>
      </c>
      <c r="C22" s="3416"/>
      <c r="D22" s="44">
        <f t="shared" si="6"/>
        <v>0</v>
      </c>
      <c r="E22" s="52">
        <f t="shared" si="1"/>
        <v>0</v>
      </c>
      <c r="F22" s="2795"/>
      <c r="G22" s="2796"/>
      <c r="H22" s="669">
        <f t="shared" si="7"/>
        <v>0</v>
      </c>
      <c r="I22" s="47">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6" t="s">
        <v>1153</v>
      </c>
      <c r="C23" s="3416"/>
      <c r="D23" s="44">
        <f>ROUND($D$3*E23/$E$3,2)</f>
        <v>0</v>
      </c>
      <c r="E23" s="52">
        <f>SUM(F23:G23)</f>
        <v>0</v>
      </c>
      <c r="F23" s="2795"/>
      <c r="G23" s="2796"/>
      <c r="H23" s="669">
        <f>ROUND($D$3*I23/$E$3,2)</f>
        <v>0</v>
      </c>
      <c r="I23" s="47">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6" t="s">
        <v>1153</v>
      </c>
      <c r="C24" s="3416"/>
      <c r="D24" s="44">
        <f>ROUND($D$3*E24/$E$3,2)</f>
        <v>0</v>
      </c>
      <c r="E24" s="52">
        <f>SUM(F24:G24)</f>
        <v>0</v>
      </c>
      <c r="F24" s="2795"/>
      <c r="G24" s="2796"/>
      <c r="H24" s="669">
        <f>ROUND($D$3*I24/$E$3,2)</f>
        <v>0</v>
      </c>
      <c r="I24" s="47">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6" t="s">
        <v>1153</v>
      </c>
      <c r="C25" s="3416"/>
      <c r="D25" s="44">
        <f t="shared" si="6"/>
        <v>0</v>
      </c>
      <c r="E25" s="52">
        <f t="shared" si="1"/>
        <v>0</v>
      </c>
      <c r="F25" s="2795"/>
      <c r="G25" s="2796"/>
      <c r="H25" s="43">
        <f t="shared" si="7"/>
        <v>0</v>
      </c>
      <c r="I25" s="47">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6" t="s">
        <v>1153</v>
      </c>
      <c r="C26" s="54"/>
      <c r="D26" s="44">
        <f t="shared" si="6"/>
        <v>0</v>
      </c>
      <c r="E26" s="52">
        <f t="shared" si="1"/>
        <v>0</v>
      </c>
      <c r="F26" s="2795"/>
      <c r="G26" s="2796"/>
      <c r="H26" s="43">
        <f t="shared" si="7"/>
        <v>0</v>
      </c>
      <c r="I26" s="47">
        <f t="shared" si="2"/>
        <v>0</v>
      </c>
      <c r="J26" s="1137"/>
      <c r="K26" s="1143">
        <f t="shared" si="3"/>
        <v>0</v>
      </c>
      <c r="L26" s="1144">
        <f t="shared" si="4"/>
        <v>0</v>
      </c>
      <c r="M26" s="58">
        <f t="shared" si="8"/>
        <v>0</v>
      </c>
      <c r="N26" s="1669"/>
      <c r="O26" s="1670"/>
      <c r="P26" s="58">
        <f t="shared" si="9"/>
        <v>0</v>
      </c>
      <c r="R26" s="1024">
        <f t="shared" si="5"/>
        <v>0</v>
      </c>
      <c r="S26" s="1025">
        <f t="shared" si="5"/>
        <v>0</v>
      </c>
    </row>
    <row r="27" spans="1:19" ht="15.75" thickBot="1">
      <c r="A27" s="1668"/>
      <c r="B27" s="44"/>
      <c r="C27" s="1671" t="s">
        <v>1154</v>
      </c>
      <c r="D27" s="1138">
        <f>SUM(D19:D26)</f>
        <v>53147.14</v>
      </c>
      <c r="E27" s="1139">
        <f>IF(SUM(E19:E26)='数据-基础表'!BA5,SUM(E19:E26),IF(F27="地上面积有误","面积有误","地下面积有误"))</f>
        <v>8327.76</v>
      </c>
      <c r="F27" s="1138">
        <f>IF(SUM(F19:F26)=E8,SUM(F19:F26),"地上面积有误")</f>
        <v>8327.76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53147.14</v>
      </c>
      <c r="S27" s="1024">
        <f>IF(SUM(S19:S26)=$E$3,SUM(S19:S26),SUM(S19:S26)&amp;"误差"&amp;ROUND(SUM(S19:S26)-E3,2))</f>
        <v>8327.76</v>
      </c>
    </row>
    <row r="28" spans="1:19">
      <c r="A28" s="1668"/>
      <c r="B28" s="46" t="s">
        <v>1155</v>
      </c>
      <c r="C28" s="1036" t="s">
        <v>1156</v>
      </c>
      <c r="D28" s="44">
        <f>ROUND($D$3*E28/$E$3,2)</f>
        <v>0</v>
      </c>
      <c r="E28" s="52">
        <f>SUM(F28:G28)</f>
        <v>0</v>
      </c>
      <c r="F28" s="55">
        <f>'数据-基础表'!BQ5+'数据-基础表'!BS5</f>
        <v>0</v>
      </c>
      <c r="G28" s="56">
        <f>'数据-基础表'!BR5+'数据-基础表'!BT5</f>
        <v>0</v>
      </c>
      <c r="H28" s="2657"/>
      <c r="I28" s="2657"/>
      <c r="J28" s="2657"/>
      <c r="K28" s="2657"/>
      <c r="L28" s="2657"/>
      <c r="M28" s="2657"/>
      <c r="N28" s="2657"/>
      <c r="O28" s="2657"/>
      <c r="P28" s="2657"/>
    </row>
    <row r="29" spans="1:19">
      <c r="A29" s="1668"/>
      <c r="B29" s="46" t="s">
        <v>1155</v>
      </c>
      <c r="C29" s="1672" t="s">
        <v>1157</v>
      </c>
      <c r="D29" s="44">
        <f>ROUND($D$3*E29/$E$3,2)</f>
        <v>0</v>
      </c>
      <c r="E29" s="52">
        <f>SUM(F29:G29)</f>
        <v>0</v>
      </c>
      <c r="F29" s="57">
        <f>'数据-基础表'!BM5+'数据-基础表'!BO5</f>
        <v>0</v>
      </c>
      <c r="G29" s="58">
        <f>'数据-基础表'!BN5+'数据-基础表'!BP5</f>
        <v>0</v>
      </c>
      <c r="H29" s="2657"/>
      <c r="I29" s="2657"/>
      <c r="J29" s="2657"/>
      <c r="K29" s="2657"/>
      <c r="L29" s="2657"/>
      <c r="M29" s="2657"/>
      <c r="N29" s="2657"/>
      <c r="O29" s="2657"/>
      <c r="P29" s="2657"/>
    </row>
    <row r="30" spans="1:19" ht="15">
      <c r="A30" s="1668"/>
      <c r="B30" s="46"/>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53147.14</v>
      </c>
      <c r="E31" s="674">
        <f>E27+E30</f>
        <v>8327.76</v>
      </c>
      <c r="F31" s="675">
        <f>F27+F30</f>
        <v>8327.76</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3" width="7.25" style="1680" customWidth="1"/>
    <col min="34" max="34" width="10.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45062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59"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3523</v>
      </c>
      <c r="O5" s="1700" t="s">
        <v>1181</v>
      </c>
      <c r="P5" s="1703" t="s">
        <v>1182</v>
      </c>
      <c r="Q5" s="60" t="s">
        <v>1183</v>
      </c>
      <c r="R5" s="1704" t="s">
        <v>1184</v>
      </c>
      <c r="S5" s="1705" t="s">
        <v>1185</v>
      </c>
      <c r="T5" s="1706" t="s">
        <v>1186</v>
      </c>
      <c r="U5" s="1044" t="s">
        <v>1187</v>
      </c>
      <c r="V5" s="1045" t="s">
        <v>1188</v>
      </c>
      <c r="W5" s="1045" t="s">
        <v>1189</v>
      </c>
      <c r="X5" s="62"/>
      <c r="Y5" s="61" t="s">
        <v>1190</v>
      </c>
      <c r="Z5" s="1707" t="s">
        <v>1187</v>
      </c>
      <c r="AA5" s="1045" t="s">
        <v>1188</v>
      </c>
      <c r="AB5" s="1045" t="s">
        <v>1189</v>
      </c>
      <c r="AC5" s="62"/>
      <c r="AD5" s="62" t="s">
        <v>1190</v>
      </c>
      <c r="AE5" s="1044" t="s">
        <v>1191</v>
      </c>
      <c r="AF5" s="1045" t="s">
        <v>1192</v>
      </c>
      <c r="AG5" s="61" t="s">
        <v>1193</v>
      </c>
      <c r="AH5" s="1044" t="s">
        <v>1194</v>
      </c>
      <c r="AI5" s="1707" t="s">
        <v>1195</v>
      </c>
      <c r="AJ5" s="1707" t="s">
        <v>1196</v>
      </c>
      <c r="AK5" s="1045" t="s">
        <v>1197</v>
      </c>
      <c r="AL5" s="1045" t="s">
        <v>1198</v>
      </c>
      <c r="AM5" s="61"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公服</v>
      </c>
      <c r="B6" s="1711" t="str">
        <f>IF(A6=0,"","经营性")</f>
        <v>经营性</v>
      </c>
      <c r="C6" s="1712" t="s">
        <v>3381</v>
      </c>
      <c r="D6" s="856">
        <f>SUMIF(项目基本情况!C$12:I$12,C6,项目基本情况!C$14:I$14)</f>
        <v>50</v>
      </c>
      <c r="E6" s="855">
        <f>IF(B6="","",SUMIF(项目基本情况!C$12:I$12,C6,项目基本情况!C$13:I$13))</f>
        <v>63321</v>
      </c>
      <c r="F6" s="63">
        <f>SUMIF(项目基本情况!C$12:I$12,C6,项目基本情况!C$15:I$15)</f>
        <v>50</v>
      </c>
      <c r="G6" s="64">
        <f>IF(ISERROR(ROUND(POWER(1+H6,D6-F6)*(POWER(1+H6,F6)-1)/(POWER(1+H6,D6)-1),3)),0,ROUND(POWER(1+H6,D6-F6)*(POWER(1+H6,F6)-1)/(POWER(1+H6,D6)-1),3))</f>
        <v>1</v>
      </c>
      <c r="H6" s="730">
        <v>0.05</v>
      </c>
      <c r="I6" s="730">
        <v>4.4999999999999998E-2</v>
      </c>
      <c r="J6" s="65">
        <v>7.0000000000000007E-2</v>
      </c>
      <c r="K6" s="1028">
        <f>SUMIF('数据-汇总表'!C$19:C$33,A6,'数据-汇总表'!E$19:E$33)</f>
        <v>8327.76</v>
      </c>
      <c r="L6" s="731">
        <v>3000</v>
      </c>
      <c r="M6" s="66">
        <f t="shared" ref="M6:M14" si="0">ROUND(K6*L6/10000,0)</f>
        <v>2498</v>
      </c>
      <c r="N6" s="729">
        <v>0.85</v>
      </c>
      <c r="O6" s="66" t="str">
        <f>IF($N$5="成新度","——",ROUND(M6*N6,0))</f>
        <v>——</v>
      </c>
      <c r="P6" s="67" t="str">
        <f>IF($N$5="成新度","——",M6-O6)</f>
        <v>——</v>
      </c>
      <c r="Q6" s="732">
        <v>0.2</v>
      </c>
      <c r="R6" s="68">
        <f ca="1">SUMIF('数据-汇总表'!C$19:C$33,A6,'数据-汇总表'!R$19:R$27)</f>
        <v>53147.14</v>
      </c>
      <c r="S6" s="50">
        <f>IF('数据-汇总表'!$I$17="按面积比例",SUMIF('数据-汇总表'!C$19:C$33,A6,'数据-汇总表'!K$19:K$33),SUMIF('数据-汇总表'!C$19:C$33,A6,'数据-汇总表'!N$19:N$33))</f>
        <v>0</v>
      </c>
      <c r="T6" s="1170">
        <f>ROUND($L$14*S6/10000,0)</f>
        <v>0</v>
      </c>
      <c r="U6" s="3426">
        <v>1.8</v>
      </c>
      <c r="V6" s="69">
        <v>2.5000000000000001E-2</v>
      </c>
      <c r="W6" s="69">
        <v>0.1</v>
      </c>
      <c r="X6" s="1038"/>
      <c r="Y6" s="70">
        <f>N6</f>
        <v>0.85</v>
      </c>
      <c r="Z6" s="71"/>
      <c r="AA6" s="65"/>
      <c r="AB6" s="65"/>
      <c r="AC6" s="1038"/>
      <c r="AD6" s="72"/>
      <c r="AE6" s="1039">
        <f ca="1">IF(AN6="",0,SUMIF(INDIRECT("'"&amp;AN6&amp;"'"&amp;"!E:E"),$AE$5,INDIRECT("'"&amp;AN6&amp;"'"&amp;"!F:F")))</f>
        <v>50</v>
      </c>
      <c r="AF6" s="1346"/>
      <c r="AG6" s="137">
        <f>IF(AF6="",0,AE6-AF6)</f>
        <v>0</v>
      </c>
      <c r="AH6" s="3426">
        <f>K6</f>
        <v>8327.76</v>
      </c>
      <c r="AI6" s="75">
        <v>365</v>
      </c>
      <c r="AJ6" s="76"/>
      <c r="AK6" s="77">
        <v>1.4999999999999999E-2</v>
      </c>
      <c r="AL6" s="78">
        <v>3.0000000000000001E-3</v>
      </c>
      <c r="AM6" s="79">
        <v>0.01</v>
      </c>
      <c r="AN6" s="1713" t="s">
        <v>3508</v>
      </c>
      <c r="AO6" s="51">
        <f ca="1">SUMIF(INDIRECT("'"&amp;AN6&amp;"'"&amp;"!A:A"),"总价",INDIRECT("'"&amp;AN6&amp;"'"&amp;"!B:B"))</f>
        <v>5273</v>
      </c>
      <c r="AP6" s="1714">
        <f>IF(C6="住宅",K6*L6,0)</f>
        <v>0</v>
      </c>
      <c r="AQ6" s="51">
        <f>ROUND($L$14*$N$14*S6/10000,0)</f>
        <v>0</v>
      </c>
      <c r="AR6" s="51">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工业</v>
      </c>
      <c r="B7" s="1711" t="str">
        <f t="shared" ref="B7:B13" si="1">IF(A7=0,"","经营性")</f>
        <v>经营性</v>
      </c>
      <c r="C7" s="1712" t="s">
        <v>3</v>
      </c>
      <c r="D7" s="856">
        <f>SUMIF(项目基本情况!C$12:I$12,C7,项目基本情况!C$14:I$14)</f>
        <v>50</v>
      </c>
      <c r="E7" s="855">
        <f>IF(B7="","",SUMIF(项目基本情况!C$12:I$12,C7,项目基本情况!C$13:I$13))</f>
        <v>63321</v>
      </c>
      <c r="F7" s="63">
        <f>SUMIF(项目基本情况!C$12:I$12,C7,项目基本情况!C$15:I$15)</f>
        <v>50</v>
      </c>
      <c r="G7" s="64">
        <f t="shared" ref="G7:G11" si="2">IF(ISERROR(ROUND(POWER(1+H7,D7-F7)*(POWER(1+H7,F7)-1)/(POWER(1+H7,D7)-1),3)),0,ROUND(POWER(1+H7,D7-F7)*(POWER(1+H7,F7)-1)/(POWER(1+H7,D7)-1),3))</f>
        <v>0</v>
      </c>
      <c r="H7" s="730"/>
      <c r="I7" s="730"/>
      <c r="J7" s="65"/>
      <c r="K7" s="1028">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0">
        <f>IF('数据-汇总表'!$I$17="按面积比例",SUMIF('数据-汇总表'!C$19:C$33,A7,'数据-汇总表'!K$19:K$33),SUMIF('数据-汇总表'!C$19:C$33,A7,'数据-汇总表'!N$19:N$33))</f>
        <v>0</v>
      </c>
      <c r="T7" s="1170">
        <f t="shared" ref="T7:T13" si="5">ROUND($L$14*S7/10000,0)</f>
        <v>0</v>
      </c>
      <c r="U7" s="3426"/>
      <c r="V7" s="69"/>
      <c r="W7" s="69"/>
      <c r="X7" s="1038"/>
      <c r="Y7" s="70"/>
      <c r="Z7" s="71"/>
      <c r="AA7" s="65"/>
      <c r="AB7" s="65"/>
      <c r="AC7" s="1038"/>
      <c r="AD7" s="72"/>
      <c r="AE7" s="1039">
        <f t="shared" ref="AE7:AE13" ca="1" si="6">IF(AN7="",0,SUMIF(INDIRECT("'"&amp;AN7&amp;"'"&amp;"!E:E"),$AE$5,INDIRECT("'"&amp;AN7&amp;"'"&amp;"!F:F")))</f>
        <v>0</v>
      </c>
      <c r="AF7" s="1346"/>
      <c r="AG7" s="137">
        <f t="shared" ref="AG7:AG13" si="7">IF(AF7="",0,AE7-AF7)</f>
        <v>0</v>
      </c>
      <c r="AH7" s="73"/>
      <c r="AI7" s="75"/>
      <c r="AJ7" s="76"/>
      <c r="AK7" s="77"/>
      <c r="AL7" s="78"/>
      <c r="AM7" s="79"/>
      <c r="AN7" s="1713"/>
      <c r="AO7" s="51" t="e">
        <f t="shared" ref="AO7:AO13" ca="1" si="8">SUMIF(INDIRECT("'"&amp;AN7&amp;"'"&amp;"!A:A"),"总价",INDIRECT("'"&amp;AN7&amp;"'"&amp;"!B:B"))</f>
        <v>#REF!</v>
      </c>
      <c r="AP7" s="1714">
        <f t="shared" ref="AP7:AP13" si="9">IF(C7="住宅",K7*L7,0)</f>
        <v>0</v>
      </c>
      <c r="AQ7" s="51">
        <f t="shared" ref="AQ7:AQ13" si="10">ROUND($L$14*$N$14*S7/10000,0)</f>
        <v>0</v>
      </c>
      <c r="AR7" s="51">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8">
        <f>SUMIF('数据-汇总表'!C$19:C$33,A8,'数据-汇总表'!E$19:E$33)</f>
        <v>0</v>
      </c>
      <c r="L8" s="731"/>
      <c r="M8" s="66">
        <f>ROUND(K8*L8/10000,0)</f>
        <v>0</v>
      </c>
      <c r="N8" s="729"/>
      <c r="O8" s="66" t="str">
        <f t="shared" si="3"/>
        <v>——</v>
      </c>
      <c r="P8" s="67" t="str">
        <f t="shared" si="4"/>
        <v>——</v>
      </c>
      <c r="Q8" s="732"/>
      <c r="R8" s="68">
        <f ca="1">SUMIF('数据-汇总表'!C$19:C$33,A8,'数据-汇总表'!R$19:R$27)</f>
        <v>0</v>
      </c>
      <c r="S8" s="50">
        <f>IF('数据-汇总表'!$I$17="按面积比例",SUMIF('数据-汇总表'!C$19:C$33,A8,'数据-汇总表'!K$19:K$33),SUMIF('数据-汇总表'!C$19:C$33,A8,'数据-汇总表'!N$19:N$33))</f>
        <v>0</v>
      </c>
      <c r="T8" s="1170">
        <f t="shared" si="5"/>
        <v>0</v>
      </c>
      <c r="U8" s="3427"/>
      <c r="V8" s="733"/>
      <c r="W8" s="733"/>
      <c r="X8" s="1038"/>
      <c r="Y8" s="70"/>
      <c r="Z8" s="71"/>
      <c r="AA8" s="65"/>
      <c r="AB8" s="65"/>
      <c r="AC8" s="1038"/>
      <c r="AD8" s="72"/>
      <c r="AE8" s="1039">
        <f t="shared" ca="1" si="6"/>
        <v>0</v>
      </c>
      <c r="AF8" s="1346"/>
      <c r="AG8" s="137">
        <f t="shared" si="7"/>
        <v>0</v>
      </c>
      <c r="AH8" s="734"/>
      <c r="AI8" s="75"/>
      <c r="AJ8" s="76"/>
      <c r="AK8" s="735"/>
      <c r="AL8" s="736"/>
      <c r="AM8" s="737"/>
      <c r="AN8" s="1713"/>
      <c r="AO8" s="51" t="e">
        <f t="shared" ca="1" si="8"/>
        <v>#REF!</v>
      </c>
      <c r="AP8" s="1714">
        <f t="shared" si="9"/>
        <v>0</v>
      </c>
      <c r="AQ8" s="51">
        <f t="shared" si="10"/>
        <v>0</v>
      </c>
      <c r="AR8" s="51">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8">
        <f>SUMIF('数据-汇总表'!C$19:C$33,A9,'数据-汇总表'!E$19:E$33)</f>
        <v>0</v>
      </c>
      <c r="L9" s="731"/>
      <c r="M9" s="66">
        <f t="shared" si="0"/>
        <v>0</v>
      </c>
      <c r="N9" s="729"/>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0">
        <f t="shared" si="5"/>
        <v>0</v>
      </c>
      <c r="U9" s="3426"/>
      <c r="V9" s="69"/>
      <c r="W9" s="69"/>
      <c r="X9" s="1038"/>
      <c r="Y9" s="70"/>
      <c r="Z9" s="71"/>
      <c r="AA9" s="65"/>
      <c r="AB9" s="65"/>
      <c r="AC9" s="1038"/>
      <c r="AD9" s="72"/>
      <c r="AE9" s="1039">
        <f t="shared" ca="1" si="6"/>
        <v>0</v>
      </c>
      <c r="AF9" s="1346"/>
      <c r="AG9" s="137">
        <f t="shared" si="7"/>
        <v>0</v>
      </c>
      <c r="AH9" s="73"/>
      <c r="AI9" s="75"/>
      <c r="AJ9" s="76"/>
      <c r="AK9" s="77"/>
      <c r="AL9" s="78"/>
      <c r="AM9" s="79"/>
      <c r="AN9" s="1713"/>
      <c r="AO9" s="51" t="e">
        <f t="shared" ca="1" si="8"/>
        <v>#REF!</v>
      </c>
      <c r="AP9" s="1714">
        <f t="shared" si="9"/>
        <v>0</v>
      </c>
      <c r="AQ9" s="51">
        <f t="shared" si="10"/>
        <v>0</v>
      </c>
      <c r="AR9" s="51">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8">
        <f>SUMIF('数据-汇总表'!C$19:C$33,A10,'数据-汇总表'!E$19:E$33)</f>
        <v>0</v>
      </c>
      <c r="L10" s="731"/>
      <c r="M10" s="66">
        <f t="shared" si="0"/>
        <v>0</v>
      </c>
      <c r="N10" s="729"/>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0">
        <f t="shared" si="5"/>
        <v>0</v>
      </c>
      <c r="U10" s="3426"/>
      <c r="V10" s="69"/>
      <c r="W10" s="69"/>
      <c r="X10" s="1038"/>
      <c r="Y10" s="70"/>
      <c r="Z10" s="71"/>
      <c r="AA10" s="65"/>
      <c r="AB10" s="65"/>
      <c r="AC10" s="1038"/>
      <c r="AD10" s="72"/>
      <c r="AE10" s="1039">
        <f t="shared" ca="1" si="6"/>
        <v>0</v>
      </c>
      <c r="AF10" s="1346"/>
      <c r="AG10" s="137">
        <f t="shared" si="7"/>
        <v>0</v>
      </c>
      <c r="AH10" s="73"/>
      <c r="AI10" s="75"/>
      <c r="AJ10" s="76"/>
      <c r="AK10" s="77"/>
      <c r="AL10" s="78"/>
      <c r="AM10" s="79"/>
      <c r="AN10" s="1713"/>
      <c r="AO10" s="51" t="e">
        <f t="shared" ca="1" si="8"/>
        <v>#REF!</v>
      </c>
      <c r="AP10" s="1714">
        <f t="shared" si="9"/>
        <v>0</v>
      </c>
      <c r="AQ10" s="51">
        <f t="shared" si="10"/>
        <v>0</v>
      </c>
      <c r="AR10" s="51">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8">
        <f>SUMIF('数据-汇总表'!C$19:C$33,A11,'数据-汇总表'!E$19:E$33)</f>
        <v>0</v>
      </c>
      <c r="L11" s="81"/>
      <c r="M11" s="66">
        <f t="shared" si="0"/>
        <v>0</v>
      </c>
      <c r="N11" s="729"/>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0">
        <f t="shared" si="5"/>
        <v>0</v>
      </c>
      <c r="U11" s="3426"/>
      <c r="V11" s="65"/>
      <c r="W11" s="65"/>
      <c r="X11" s="1038"/>
      <c r="Y11" s="70"/>
      <c r="Z11" s="83"/>
      <c r="AA11" s="65"/>
      <c r="AB11" s="65"/>
      <c r="AC11" s="1038"/>
      <c r="AD11" s="72"/>
      <c r="AE11" s="1039">
        <f t="shared" ca="1" si="6"/>
        <v>0</v>
      </c>
      <c r="AF11" s="1346"/>
      <c r="AG11" s="137">
        <f t="shared" si="7"/>
        <v>0</v>
      </c>
      <c r="AH11" s="73"/>
      <c r="AI11" s="75"/>
      <c r="AJ11" s="76"/>
      <c r="AK11" s="84"/>
      <c r="AL11" s="85"/>
      <c r="AM11" s="86"/>
      <c r="AN11" s="1713"/>
      <c r="AO11" s="51" t="e">
        <f t="shared" ca="1" si="8"/>
        <v>#REF!</v>
      </c>
      <c r="AP11" s="1714">
        <f t="shared" si="9"/>
        <v>0</v>
      </c>
      <c r="AQ11" s="51">
        <f t="shared" si="10"/>
        <v>0</v>
      </c>
      <c r="AR11" s="51">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8">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0">
        <f t="shared" si="5"/>
        <v>0</v>
      </c>
      <c r="U12" s="3426"/>
      <c r="V12" s="65"/>
      <c r="W12" s="65"/>
      <c r="X12" s="1038"/>
      <c r="Y12" s="70"/>
      <c r="Z12" s="83"/>
      <c r="AA12" s="65"/>
      <c r="AB12" s="65"/>
      <c r="AC12" s="1038"/>
      <c r="AD12" s="72"/>
      <c r="AE12" s="1039">
        <f t="shared" ca="1" si="6"/>
        <v>0</v>
      </c>
      <c r="AF12" s="1346"/>
      <c r="AG12" s="137">
        <f t="shared" si="7"/>
        <v>0</v>
      </c>
      <c r="AH12" s="73"/>
      <c r="AI12" s="75"/>
      <c r="AJ12" s="76"/>
      <c r="AK12" s="84"/>
      <c r="AL12" s="85"/>
      <c r="AM12" s="86"/>
      <c r="AN12" s="1713"/>
      <c r="AO12" s="51" t="e">
        <f t="shared" ca="1" si="8"/>
        <v>#REF!</v>
      </c>
      <c r="AP12" s="1714">
        <f t="shared" si="9"/>
        <v>0</v>
      </c>
      <c r="AQ12" s="51">
        <f t="shared" si="10"/>
        <v>0</v>
      </c>
      <c r="AR12" s="51">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8">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0">
        <f t="shared" si="5"/>
        <v>0</v>
      </c>
      <c r="U13" s="3428"/>
      <c r="V13" s="69"/>
      <c r="W13" s="69"/>
      <c r="X13" s="1038"/>
      <c r="Y13" s="70"/>
      <c r="Z13" s="71"/>
      <c r="AA13" s="65"/>
      <c r="AB13" s="65"/>
      <c r="AC13" s="1038"/>
      <c r="AD13" s="72"/>
      <c r="AE13" s="1039">
        <f t="shared" ca="1" si="6"/>
        <v>0</v>
      </c>
      <c r="AF13" s="1346"/>
      <c r="AG13" s="137">
        <f t="shared" si="7"/>
        <v>0</v>
      </c>
      <c r="AH13" s="73"/>
      <c r="AI13" s="75"/>
      <c r="AJ13" s="76"/>
      <c r="AK13" s="77"/>
      <c r="AL13" s="78"/>
      <c r="AM13" s="79"/>
      <c r="AN13" s="1713"/>
      <c r="AO13" s="51" t="e">
        <f t="shared" ca="1" si="8"/>
        <v>#REF!</v>
      </c>
      <c r="AP13" s="1714">
        <f t="shared" si="9"/>
        <v>0</v>
      </c>
      <c r="AQ13" s="51">
        <f t="shared" si="10"/>
        <v>0</v>
      </c>
      <c r="AR13" s="51">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3"/>
      <c r="G14" s="64"/>
      <c r="H14" s="1027"/>
      <c r="I14" s="1027"/>
      <c r="J14" s="1027"/>
      <c r="K14" s="1028">
        <f>SUMIF('数据-汇总表'!C$19:C$33,A14,'数据-汇总表'!E$19:E$33)</f>
        <v>0</v>
      </c>
      <c r="L14" s="81"/>
      <c r="M14" s="66">
        <f t="shared" si="0"/>
        <v>0</v>
      </c>
      <c r="N14" s="82"/>
      <c r="O14" s="66" t="str">
        <f t="shared" si="3"/>
        <v>——</v>
      </c>
      <c r="P14" s="67" t="str">
        <f t="shared" si="4"/>
        <v>——</v>
      </c>
      <c r="Q14" s="1031"/>
      <c r="R14" s="68"/>
      <c r="S14" s="50"/>
      <c r="T14" s="1170"/>
      <c r="U14" s="669"/>
      <c r="V14" s="1033"/>
      <c r="W14" s="1033"/>
      <c r="X14" s="1034"/>
      <c r="Y14" s="1035"/>
      <c r="Z14" s="1036"/>
      <c r="AA14" s="1037"/>
      <c r="AB14" s="1037"/>
      <c r="AC14" s="1038"/>
      <c r="AD14" s="1034"/>
      <c r="AE14" s="1039"/>
      <c r="AF14" s="51"/>
      <c r="AG14" s="137"/>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3"/>
      <c r="G15" s="64"/>
      <c r="H15" s="1027"/>
      <c r="I15" s="1027"/>
      <c r="J15" s="1027"/>
      <c r="K15" s="1028">
        <f>SUMIF('数据-汇总表'!C$19:C$33,A15,'数据-汇总表'!E$19:E$33)</f>
        <v>0</v>
      </c>
      <c r="L15" s="1029"/>
      <c r="M15" s="66"/>
      <c r="N15" s="1030"/>
      <c r="O15" s="66"/>
      <c r="P15" s="67"/>
      <c r="Q15" s="1031"/>
      <c r="R15" s="68"/>
      <c r="S15" s="50"/>
      <c r="T15" s="1170"/>
      <c r="U15" s="669"/>
      <c r="V15" s="1033"/>
      <c r="W15" s="1033"/>
      <c r="X15" s="1034"/>
      <c r="Y15" s="1035"/>
      <c r="Z15" s="1036"/>
      <c r="AA15" s="1037"/>
      <c r="AB15" s="1037"/>
      <c r="AC15" s="1038"/>
      <c r="AD15" s="1034"/>
      <c r="AE15" s="1039"/>
      <c r="AF15" s="51"/>
      <c r="AG15" s="137"/>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1"/>
      <c r="D16" s="1718"/>
      <c r="E16" s="87"/>
      <c r="F16" s="87"/>
      <c r="G16" s="88">
        <f>ROUND(SUMPRODUCT(G6:G13,K6:K13)/SUMPRODUCT((G6:G13&gt;0)*(K6:K13)),3)</f>
        <v>1</v>
      </c>
      <c r="H16" s="89">
        <f>ROUND(SUMPRODUCT(H6:H13,K6:K13)/SUMPRODUCT((H6:H13&gt;0)*(K6:K13)),3)</f>
        <v>0.05</v>
      </c>
      <c r="I16" s="90"/>
      <c r="J16" s="90"/>
      <c r="K16" s="91">
        <f>SUM(K6:K15)</f>
        <v>8327.76</v>
      </c>
      <c r="L16" s="92">
        <f>ROUND(M16*10000/SUM(K6:K14),0)</f>
        <v>3000</v>
      </c>
      <c r="M16" s="92">
        <f>SUM(M6:M14)</f>
        <v>2498</v>
      </c>
      <c r="N16" s="93">
        <f>ROUND(SUMPRODUCT(M6:M14,N6:N14)/M16,3)</f>
        <v>0.85</v>
      </c>
      <c r="O16" s="92">
        <f>SUM(O6:O14)</f>
        <v>0</v>
      </c>
      <c r="P16" s="92">
        <f>SUM(P6:P14)</f>
        <v>0</v>
      </c>
      <c r="Q16" s="94">
        <f>ROUND(SUMPRODUCT(Q6:Q13,K6:K13)/SUMPRODUCT((Q6:Q13&gt;0)*(K6:K13)),2)</f>
        <v>0.2</v>
      </c>
      <c r="R16" s="1032">
        <f ca="1">SUM(R6:R13)</f>
        <v>53147.14</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59"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2">
        <v>0.5</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3">
        <v>0.5</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3">
        <v>0.5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4">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4">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5">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6">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9">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3531">
        <v>0.1</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4">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2">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6">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3525</v>
      </c>
      <c r="B40" s="1076">
        <f ca="1">IF(A40="利息：取LPR",存贷款利率!G1,存贷款利率!G1+C40)</f>
        <v>4.3499999999999997E-2</v>
      </c>
      <c r="C40" s="2812">
        <v>7.0000000000000001E-3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5">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6">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7">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8">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6">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6">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9"/>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0">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6">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1">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2">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3">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4"/>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4"/>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4"/>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4"/>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4"/>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4">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4"/>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4"/>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4"/>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4"/>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3"/>
      <c r="L134" s="23"/>
    </row>
    <row r="135" spans="1:12" s="1679" customFormat="1">
      <c r="A135" s="1741"/>
      <c r="D135" s="1742"/>
      <c r="K135" s="23"/>
      <c r="L135" s="23"/>
    </row>
    <row r="136" spans="1:12" s="1679" customFormat="1">
      <c r="A136" s="1741"/>
      <c r="D136" s="1742"/>
      <c r="K136" s="23"/>
      <c r="L136" s="23"/>
    </row>
    <row r="137" spans="1:12" s="1679" customFormat="1">
      <c r="A137" s="1741"/>
      <c r="D137" s="1742"/>
      <c r="K137" s="23"/>
      <c r="L137" s="23"/>
    </row>
    <row r="138" spans="1:12" s="1679" customFormat="1">
      <c r="A138" s="1741"/>
      <c r="D138" s="1742"/>
      <c r="K138" s="23"/>
      <c r="L138" s="23"/>
    </row>
    <row r="139" spans="1:12" s="1679" customFormat="1">
      <c r="A139" s="1741"/>
      <c r="D139" s="1742"/>
      <c r="K139" s="23"/>
      <c r="L139" s="23"/>
    </row>
    <row r="140" spans="1:12" s="1679" customFormat="1">
      <c r="A140" s="1741"/>
      <c r="D140" s="1742"/>
      <c r="K140" s="23"/>
      <c r="L140" s="23"/>
    </row>
    <row r="141" spans="1:12" s="1679" customFormat="1">
      <c r="A141" s="1741"/>
      <c r="D141" s="1742"/>
      <c r="K141" s="23"/>
      <c r="L141" s="23"/>
    </row>
    <row r="142" spans="1:12" s="1679" customFormat="1">
      <c r="A142" s="1741"/>
      <c r="D142" s="1742"/>
      <c r="K142" s="23"/>
      <c r="L142" s="23"/>
    </row>
    <row r="143" spans="1:12" s="1679" customFormat="1">
      <c r="A143" s="1741"/>
      <c r="D143" s="1742"/>
      <c r="K143" s="23"/>
      <c r="L143" s="23"/>
    </row>
    <row r="144" spans="1:12" s="1679" customFormat="1">
      <c r="A144" s="1741"/>
      <c r="D144" s="1742"/>
      <c r="K144" s="23"/>
      <c r="L144" s="23"/>
    </row>
    <row r="145" spans="1:12" s="1679" customFormat="1">
      <c r="A145" s="1741"/>
      <c r="D145" s="1742"/>
      <c r="K145" s="23"/>
      <c r="L145" s="23"/>
    </row>
    <row r="146" spans="1:12" s="1679" customFormat="1">
      <c r="A146" s="1741"/>
      <c r="D146" s="1742"/>
      <c r="K146" s="23"/>
      <c r="L146" s="23"/>
    </row>
    <row r="147" spans="1:12" s="1679" customFormat="1">
      <c r="A147" s="1741"/>
      <c r="D147" s="1742"/>
      <c r="K147" s="23"/>
      <c r="L147" s="23"/>
    </row>
    <row r="148" spans="1:12" s="1679" customFormat="1">
      <c r="A148" s="1741"/>
      <c r="D148" s="1742"/>
      <c r="K148" s="23"/>
      <c r="L148" s="23"/>
    </row>
    <row r="149" spans="1:12" s="1679" customFormat="1">
      <c r="A149" s="1741"/>
      <c r="D149" s="1742"/>
      <c r="K149" s="23"/>
      <c r="L149" s="23"/>
    </row>
    <row r="150" spans="1:12" s="1679" customFormat="1">
      <c r="A150" s="1741"/>
      <c r="D150" s="1742"/>
      <c r="K150" s="23"/>
      <c r="L150" s="23"/>
    </row>
    <row r="151" spans="1:12" s="1679" customFormat="1">
      <c r="A151" s="1741"/>
      <c r="D151" s="1742"/>
      <c r="K151" s="23"/>
      <c r="L151" s="23"/>
    </row>
    <row r="152" spans="1:12" s="1679" customFormat="1">
      <c r="A152" s="1741"/>
      <c r="D152" s="1742"/>
      <c r="K152" s="23"/>
      <c r="L152" s="23"/>
    </row>
    <row r="153" spans="1:12" s="1679" customFormat="1">
      <c r="A153" s="1741"/>
      <c r="D153" s="1742"/>
      <c r="K153" s="23"/>
      <c r="L153" s="23"/>
    </row>
    <row r="154" spans="1:12" s="1679" customFormat="1">
      <c r="A154" s="1741"/>
      <c r="D154" s="1742"/>
      <c r="K154" s="23"/>
      <c r="L154" s="23"/>
    </row>
    <row r="155" spans="1:12" s="1679" customFormat="1">
      <c r="A155" s="1741"/>
      <c r="D155" s="1742"/>
      <c r="K155" s="23"/>
      <c r="L155" s="23"/>
    </row>
    <row r="156" spans="1:12" s="1679" customFormat="1">
      <c r="A156" s="1741"/>
      <c r="D156" s="1742"/>
      <c r="K156" s="23"/>
      <c r="L156" s="23"/>
    </row>
    <row r="157" spans="1:12" s="1679" customFormat="1">
      <c r="A157" s="1741"/>
      <c r="D157" s="1742"/>
      <c r="K157" s="23"/>
      <c r="L157" s="23"/>
    </row>
    <row r="158" spans="1:12" s="1679" customFormat="1">
      <c r="A158" s="1741"/>
      <c r="D158" s="1742"/>
      <c r="K158" s="23"/>
      <c r="L158" s="23"/>
    </row>
    <row r="159" spans="1:12" s="1679" customFormat="1">
      <c r="A159" s="1741"/>
      <c r="D159" s="1742"/>
      <c r="K159" s="23"/>
      <c r="L159" s="23"/>
    </row>
    <row r="160" spans="1:12" s="1679" customFormat="1">
      <c r="A160" s="1741"/>
      <c r="D160" s="1742"/>
      <c r="K160" s="23"/>
      <c r="L160" s="23"/>
    </row>
    <row r="161" spans="1:12" s="1679" customFormat="1">
      <c r="A161" s="1741"/>
      <c r="D161" s="1742"/>
      <c r="K161" s="23"/>
      <c r="L161" s="23"/>
    </row>
    <row r="162" spans="1:12" s="1679" customFormat="1">
      <c r="A162" s="1741"/>
      <c r="D162" s="1742"/>
      <c r="K162" s="23"/>
      <c r="L162" s="23"/>
    </row>
    <row r="163" spans="1:12" s="1679" customFormat="1">
      <c r="A163" s="1741"/>
      <c r="D163" s="1742"/>
      <c r="K163" s="23"/>
      <c r="L163" s="23"/>
    </row>
    <row r="164" spans="1:12" s="1679" customFormat="1">
      <c r="A164" s="1741"/>
      <c r="D164" s="1742"/>
      <c r="K164" s="23"/>
      <c r="L164" s="23"/>
    </row>
    <row r="165" spans="1:12" s="1679" customFormat="1">
      <c r="A165" s="1741"/>
      <c r="D165" s="1742"/>
      <c r="K165" s="23"/>
      <c r="L165" s="23"/>
    </row>
    <row r="166" spans="1:12" s="1679" customFormat="1">
      <c r="A166" s="1741"/>
      <c r="D166" s="1742"/>
      <c r="K166" s="23"/>
      <c r="L166" s="23"/>
    </row>
    <row r="167" spans="1:12" s="1679" customFormat="1">
      <c r="A167" s="1741"/>
      <c r="D167" s="1742"/>
      <c r="K167" s="23"/>
      <c r="L167" s="23"/>
    </row>
    <row r="168" spans="1:12" s="1679" customFormat="1">
      <c r="A168" s="1741"/>
      <c r="D168" s="1742"/>
      <c r="K168" s="23"/>
      <c r="L168" s="23"/>
    </row>
    <row r="169" spans="1:12" s="1679" customFormat="1">
      <c r="A169" s="1741"/>
      <c r="D169" s="1742"/>
      <c r="K169" s="23"/>
      <c r="L169" s="23"/>
    </row>
    <row r="170" spans="1:12" s="1679" customFormat="1">
      <c r="A170" s="1741"/>
      <c r="D170" s="1742"/>
      <c r="K170" s="23"/>
      <c r="L170" s="23"/>
    </row>
    <row r="171" spans="1:12" s="1679" customFormat="1">
      <c r="A171" s="1741"/>
      <c r="D171" s="1742"/>
      <c r="K171" s="23"/>
      <c r="L171" s="23"/>
    </row>
    <row r="172" spans="1:12" s="1679" customFormat="1">
      <c r="A172" s="1741"/>
      <c r="D172" s="1742"/>
      <c r="K172" s="23"/>
      <c r="L172" s="23"/>
    </row>
    <row r="173" spans="1:12" s="1679" customFormat="1">
      <c r="A173" s="1741"/>
      <c r="D173" s="1742"/>
      <c r="K173" s="23"/>
      <c r="L173" s="23"/>
    </row>
    <row r="174" spans="1:12" s="1679" customFormat="1">
      <c r="A174" s="1741"/>
      <c r="D174" s="1742"/>
      <c r="K174" s="23"/>
      <c r="L174" s="23"/>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623" t="s">
        <v>2286</v>
      </c>
      <c r="B1" s="3624"/>
      <c r="C1" s="3624"/>
      <c r="D1" s="3624"/>
      <c r="E1" s="3624"/>
      <c r="F1" s="3624"/>
      <c r="G1" s="362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2" t="s">
        <v>2254</v>
      </c>
      <c r="C4" s="2466" t="s">
        <v>2255</v>
      </c>
      <c r="D4" s="2463"/>
      <c r="E4" s="2467"/>
      <c r="F4" s="1371" t="s">
        <v>2256</v>
      </c>
      <c r="G4" s="2468" t="s">
        <v>2257</v>
      </c>
      <c r="H4" s="797"/>
      <c r="I4" s="797"/>
      <c r="J4" s="797"/>
      <c r="K4" s="797"/>
      <c r="L4" s="797"/>
      <c r="M4" s="797"/>
      <c r="N4" s="797"/>
      <c r="O4" s="797"/>
      <c r="P4" s="797"/>
      <c r="Q4" s="797"/>
      <c r="R4" s="797"/>
    </row>
    <row r="5" spans="1:29" ht="36.75">
      <c r="A5" s="2440"/>
      <c r="B5" s="322" t="s">
        <v>2258</v>
      </c>
      <c r="C5" s="2466" t="s">
        <v>2259</v>
      </c>
      <c r="D5" s="2463"/>
      <c r="E5" s="2467"/>
      <c r="F5" s="322" t="s">
        <v>2260</v>
      </c>
      <c r="G5" s="2468" t="s">
        <v>2261</v>
      </c>
      <c r="H5" s="797"/>
      <c r="I5" s="797"/>
      <c r="J5" s="797"/>
      <c r="K5" s="797"/>
      <c r="L5" s="797"/>
      <c r="M5" s="797"/>
      <c r="N5" s="797"/>
      <c r="O5" s="797"/>
      <c r="P5" s="797"/>
      <c r="Q5" s="797"/>
      <c r="R5" s="797"/>
    </row>
    <row r="6" spans="1:29" ht="36">
      <c r="A6" s="2440"/>
      <c r="B6" s="322" t="s">
        <v>2262</v>
      </c>
      <c r="C6" s="2468" t="s">
        <v>2257</v>
      </c>
      <c r="D6" s="2463"/>
      <c r="E6" s="2467"/>
      <c r="F6" s="322" t="s">
        <v>2263</v>
      </c>
      <c r="G6" s="2468" t="s">
        <v>2264</v>
      </c>
      <c r="H6" s="797"/>
      <c r="I6" s="797"/>
      <c r="J6" s="797"/>
      <c r="K6" s="797"/>
      <c r="L6" s="797"/>
      <c r="M6" s="797"/>
      <c r="N6" s="797"/>
      <c r="O6" s="797"/>
      <c r="P6" s="797"/>
      <c r="Q6" s="797"/>
      <c r="R6" s="797"/>
    </row>
    <row r="7" spans="1:29" ht="24.75" thickBot="1">
      <c r="A7" s="2440"/>
      <c r="B7" s="322" t="s">
        <v>2260</v>
      </c>
      <c r="C7" s="2468" t="s">
        <v>2261</v>
      </c>
      <c r="D7" s="2469"/>
      <c r="E7" s="2470"/>
      <c r="F7" s="2471" t="s">
        <v>2265</v>
      </c>
      <c r="G7" s="2472" t="s">
        <v>2266</v>
      </c>
      <c r="H7" s="797"/>
      <c r="I7" s="797"/>
      <c r="J7" s="797"/>
      <c r="K7" s="797"/>
      <c r="L7" s="797"/>
      <c r="M7" s="797"/>
      <c r="N7" s="797"/>
      <c r="O7" s="797"/>
      <c r="P7" s="797"/>
      <c r="Q7" s="797"/>
      <c r="R7" s="797"/>
    </row>
    <row r="8" spans="1:29">
      <c r="A8" s="2440"/>
      <c r="B8" s="322" t="s">
        <v>2263</v>
      </c>
      <c r="C8" s="2468" t="s">
        <v>2264</v>
      </c>
      <c r="D8" s="2469"/>
      <c r="E8" s="2469"/>
      <c r="F8" s="2473"/>
      <c r="G8" s="2473"/>
      <c r="H8" s="797"/>
      <c r="I8" s="797"/>
      <c r="J8" s="797"/>
      <c r="K8" s="797"/>
      <c r="L8" s="797"/>
      <c r="M8" s="797"/>
      <c r="N8" s="797"/>
      <c r="O8" s="797"/>
      <c r="P8" s="797"/>
      <c r="Q8" s="797"/>
      <c r="R8" s="797"/>
    </row>
    <row r="9" spans="1:29" ht="24">
      <c r="A9" s="2440"/>
      <c r="B9" s="322"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8327.76</v>
      </c>
      <c r="C1" s="2684"/>
      <c r="D1" s="2684"/>
      <c r="E1" s="2684"/>
      <c r="F1" s="2684"/>
      <c r="G1" s="2685"/>
      <c r="H1" s="2686"/>
      <c r="I1" s="2686"/>
      <c r="J1" s="2686"/>
      <c r="K1" s="2686"/>
    </row>
    <row r="2" spans="1:11" ht="16.5">
      <c r="A2" s="2510" t="s">
        <v>653</v>
      </c>
      <c r="B2" s="2510">
        <f>SUM(C14:C23)</f>
        <v>53147.141000000003</v>
      </c>
      <c r="C2" s="2684"/>
      <c r="D2" s="2684"/>
      <c r="E2" s="2684"/>
      <c r="F2" s="2684"/>
      <c r="G2" s="2685"/>
      <c r="H2" s="2686"/>
      <c r="I2" s="2686"/>
      <c r="J2" s="2686"/>
      <c r="K2" s="2686"/>
    </row>
    <row r="3" spans="1:11" ht="16.5">
      <c r="A3" s="2510" t="s">
        <v>662</v>
      </c>
      <c r="B3" s="2512">
        <f>项目基本情况!D3</f>
        <v>45062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5273</v>
      </c>
      <c r="C5" s="2510">
        <f ca="1">IF(B5=D14,结果表!H102,ROUND(B5*10000/$B$1,0))</f>
        <v>0</v>
      </c>
      <c r="D5" s="2510">
        <f ca="1">ROUND(B5*10000/$B$2,0)</f>
        <v>992</v>
      </c>
      <c r="E5" s="2684"/>
      <c r="F5" s="2685"/>
      <c r="G5" s="2685"/>
      <c r="H5" s="2686"/>
      <c r="I5" s="2686"/>
      <c r="J5" s="2686"/>
      <c r="K5" s="2686"/>
    </row>
    <row r="6" spans="1:11" ht="16.5">
      <c r="A6" s="2510" t="s">
        <v>656</v>
      </c>
      <c r="B6" s="2510">
        <f>SUM(G14:G23)</f>
        <v>0</v>
      </c>
      <c r="C6" s="2510">
        <f ca="1">IF(B6=G14,结果表!H108,ROUND(B6*10000/$B$1,0))</f>
        <v>0</v>
      </c>
      <c r="D6" s="2510">
        <f>ROUND(B6*10000/$B$2,0)</f>
        <v>0</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8327.76</v>
      </c>
      <c r="C14" s="2516">
        <f>'数据-基础表'!A3</f>
        <v>53147.141000000003</v>
      </c>
      <c r="D14" s="2516">
        <f ca="1">收益法!B2</f>
        <v>5273</v>
      </c>
      <c r="E14" s="2516">
        <f ca="1">ROUND(D14*10000/B14,0)</f>
        <v>6332</v>
      </c>
      <c r="F14" s="2516">
        <f ca="1">ROUND(D14*10000/C14,0)</f>
        <v>992</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59" t="str">
        <f>项目基本情况!S2</f>
        <v>北京市房地产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52" t="s">
        <v>1265</v>
      </c>
      <c r="B4" s="1753" t="s">
        <v>1266</v>
      </c>
      <c r="C4" s="1754"/>
      <c r="D4" s="1754"/>
      <c r="E4" s="3665" t="s">
        <v>1267</v>
      </c>
      <c r="F4" s="3666"/>
      <c r="G4" s="3666"/>
      <c r="H4" s="3666"/>
      <c r="I4" s="3667"/>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39" t="s">
        <v>1268</v>
      </c>
      <c r="B5" s="3626">
        <v>25</v>
      </c>
      <c r="C5" s="3642"/>
      <c r="D5" s="3662"/>
      <c r="E5" s="130" t="s">
        <v>1269</v>
      </c>
      <c r="F5" s="1755"/>
      <c r="G5" s="1755"/>
      <c r="H5" s="1755"/>
      <c r="I5" s="1371"/>
    </row>
    <row r="6" spans="1:12" ht="12.75">
      <c r="A6" s="3639"/>
      <c r="B6" s="3626"/>
      <c r="C6" s="3643"/>
      <c r="D6" s="3662"/>
      <c r="E6" s="130" t="s">
        <v>1270</v>
      </c>
      <c r="F6" s="1755"/>
      <c r="G6" s="1755"/>
      <c r="H6" s="1755"/>
      <c r="I6" s="1371"/>
    </row>
    <row r="7" spans="1:12" ht="12.75">
      <c r="A7" s="3639"/>
      <c r="B7" s="3626"/>
      <c r="C7" s="3644"/>
      <c r="D7" s="3662"/>
      <c r="E7" s="130" t="s">
        <v>1271</v>
      </c>
      <c r="F7" s="1755"/>
      <c r="G7" s="1755"/>
      <c r="H7" s="1755"/>
      <c r="I7" s="1371"/>
    </row>
    <row r="8" spans="1:12" ht="12.75">
      <c r="A8" s="3639" t="s">
        <v>1272</v>
      </c>
      <c r="B8" s="3626">
        <v>15</v>
      </c>
      <c r="C8" s="3642"/>
      <c r="D8" s="3662"/>
      <c r="E8" s="130" t="s">
        <v>1273</v>
      </c>
      <c r="F8" s="1755"/>
      <c r="G8" s="1755"/>
      <c r="H8" s="1755"/>
      <c r="I8" s="1371"/>
    </row>
    <row r="9" spans="1:12" ht="12.75">
      <c r="A9" s="3639"/>
      <c r="B9" s="3626"/>
      <c r="C9" s="3644"/>
      <c r="D9" s="3662"/>
      <c r="E9" s="130" t="s">
        <v>1274</v>
      </c>
      <c r="F9" s="1755"/>
      <c r="G9" s="1755"/>
      <c r="H9" s="1755"/>
      <c r="I9" s="1371"/>
    </row>
    <row r="10" spans="1:12" ht="12.75">
      <c r="A10" s="3639" t="s">
        <v>1275</v>
      </c>
      <c r="B10" s="3626">
        <v>15</v>
      </c>
      <c r="C10" s="3642"/>
      <c r="D10" s="3662"/>
      <c r="E10" s="130" t="s">
        <v>1276</v>
      </c>
      <c r="F10" s="1755"/>
      <c r="G10" s="1755"/>
      <c r="H10" s="1755"/>
      <c r="I10" s="1371"/>
    </row>
    <row r="11" spans="1:12" ht="12.75">
      <c r="A11" s="3639"/>
      <c r="B11" s="3626"/>
      <c r="C11" s="3644"/>
      <c r="D11" s="3662"/>
      <c r="E11" s="130" t="s">
        <v>1277</v>
      </c>
      <c r="F11" s="1755"/>
      <c r="G11" s="1755"/>
      <c r="H11" s="1755"/>
      <c r="I11" s="1371"/>
    </row>
    <row r="12" spans="1:12" ht="12.75">
      <c r="A12" s="3639" t="s">
        <v>1278</v>
      </c>
      <c r="B12" s="3626">
        <v>15</v>
      </c>
      <c r="C12" s="3642"/>
      <c r="D12" s="3662"/>
      <c r="E12" s="130" t="s">
        <v>1279</v>
      </c>
      <c r="F12" s="1755"/>
      <c r="G12" s="1755"/>
      <c r="H12" s="1755"/>
      <c r="I12" s="1371"/>
    </row>
    <row r="13" spans="1:12" ht="12.75">
      <c r="A13" s="3639"/>
      <c r="B13" s="3626"/>
      <c r="C13" s="3644"/>
      <c r="D13" s="3662"/>
      <c r="E13" s="130" t="s">
        <v>1280</v>
      </c>
      <c r="F13" s="1755"/>
      <c r="G13" s="1755"/>
      <c r="H13" s="1755"/>
      <c r="I13" s="1371"/>
    </row>
    <row r="14" spans="1:12" ht="12.75">
      <c r="A14" s="3639" t="s">
        <v>1281</v>
      </c>
      <c r="B14" s="3626">
        <v>30</v>
      </c>
      <c r="C14" s="3642"/>
      <c r="D14" s="3662"/>
      <c r="E14" s="130" t="s">
        <v>1282</v>
      </c>
      <c r="F14" s="1755"/>
      <c r="G14" s="1755"/>
      <c r="H14" s="1755"/>
      <c r="I14" s="1371"/>
    </row>
    <row r="15" spans="1:12" ht="12.75">
      <c r="A15" s="3639"/>
      <c r="B15" s="3626"/>
      <c r="C15" s="3643"/>
      <c r="D15" s="3662"/>
      <c r="E15" s="130" t="s">
        <v>1283</v>
      </c>
      <c r="F15" s="1755"/>
      <c r="G15" s="1755"/>
      <c r="H15" s="1755"/>
      <c r="I15" s="1371"/>
    </row>
    <row r="16" spans="1:12" ht="12.75">
      <c r="A16" s="3639"/>
      <c r="B16" s="3626"/>
      <c r="C16" s="3644"/>
      <c r="D16" s="3662"/>
      <c r="E16" s="130" t="s">
        <v>1284</v>
      </c>
      <c r="F16" s="1755"/>
      <c r="G16" s="1755"/>
      <c r="H16" s="1755"/>
      <c r="I16" s="1371"/>
    </row>
    <row r="17" spans="1:36" ht="15">
      <c r="A17" s="1756" t="s">
        <v>1285</v>
      </c>
      <c r="B17" s="55"/>
      <c r="C17" s="131">
        <f>SUM(C5:C16)</f>
        <v>0</v>
      </c>
      <c r="D17" s="131">
        <f>SUM(D5:D16)</f>
        <v>0</v>
      </c>
      <c r="E17" s="128"/>
      <c r="F17" s="128"/>
      <c r="G17" s="128"/>
      <c r="H17" s="128"/>
      <c r="I17" s="128"/>
      <c r="K17" s="301"/>
      <c r="L17" s="301" t="s">
        <v>1286</v>
      </c>
      <c r="M17" s="301" t="s">
        <v>1287</v>
      </c>
    </row>
    <row r="18" spans="1:36" ht="31.9" customHeight="1" thickBot="1">
      <c r="A18" s="1757" t="s">
        <v>1288</v>
      </c>
      <c r="B18" s="1758"/>
      <c r="C18" s="132" t="e">
        <f>ROUND(C17/SUM(C17:D17),2)</f>
        <v>#DIV/0!</v>
      </c>
      <c r="D18" s="132" t="e">
        <f>1-C18</f>
        <v>#DIV/0!</v>
      </c>
      <c r="E18" s="3649" t="s">
        <v>2131</v>
      </c>
      <c r="F18" s="3650"/>
      <c r="G18" s="3650"/>
      <c r="H18" s="3650"/>
      <c r="I18" s="3650"/>
      <c r="K18" s="301" t="s">
        <v>1289</v>
      </c>
      <c r="L18" s="301">
        <f>IF(C1="",'数据-汇总表'!E3,SUMIF(项目类型,C1,'数据-汇总表'!E17:E26)+SUMIF(项目类型,C1,'数据-汇总表'!I17:I26))</f>
        <v>8327.76</v>
      </c>
      <c r="M18" s="301">
        <f>IF(C1="",'数据-汇总表'!E3,SUMIF(项目类型,C1,'数据-汇总表'!E17:E26))</f>
        <v>8327.76</v>
      </c>
    </row>
    <row r="19" spans="1:36" ht="15">
      <c r="A19" s="1759" t="s">
        <v>1290</v>
      </c>
      <c r="B19" s="1760" t="s">
        <v>1291</v>
      </c>
      <c r="C19" s="133" t="e">
        <f ca="1">SUMIF(INDIRECT("'"&amp;C4&amp;"'"&amp;"!A:A"),结果表!B19,INDIRECT("'"&amp;C4&amp;"'"&amp;"!B:B"))</f>
        <v>#REF!</v>
      </c>
      <c r="D19" s="134" t="e">
        <f ca="1">SUMIF(INDIRECT("'"&amp;D4&amp;"'"&amp;"!A:A"),结果表!B19,INDIRECT("'"&amp;D4&amp;"'"&amp;"!B:B"))</f>
        <v>#REF!</v>
      </c>
      <c r="E19" s="1759" t="s">
        <v>1292</v>
      </c>
      <c r="F19" s="1760" t="s">
        <v>1291</v>
      </c>
      <c r="G19" s="135" t="e">
        <f ca="1">ROUND(C19*$C$18+D19*$D$18,0)</f>
        <v>#REF!</v>
      </c>
      <c r="H19" s="1761" t="s">
        <v>1293</v>
      </c>
      <c r="I19" s="128"/>
      <c r="K19" s="301" t="s">
        <v>1294</v>
      </c>
      <c r="L19" s="301">
        <f>IF(C1="",'数据-汇总表'!D3,SUMIF(项目类型,C1,'数据-汇总表'!D17:D26)+SUMIF(项目类型,C1,'数据-汇总表'!H17:H27))</f>
        <v>53147.14</v>
      </c>
      <c r="M19" s="301">
        <f>IF(C1="",'数据-汇总表'!D3,SUMIF(项目类型,C1,'数据-汇总表'!D17:D26))</f>
        <v>53147.14</v>
      </c>
    </row>
    <row r="20" spans="1:36" ht="15">
      <c r="A20" s="1762"/>
      <c r="B20" s="1024" t="s">
        <v>1295</v>
      </c>
      <c r="C20" s="136" t="e">
        <f ca="1">SUMIF(INDIRECT("'"&amp;C4&amp;"'"&amp;"!A:A"),结果表!B20,INDIRECT("'"&amp;C4&amp;"'"&amp;"!B:B"))</f>
        <v>#REF!</v>
      </c>
      <c r="D20" s="137" t="e">
        <f ca="1">SUMIF(INDIRECT("'"&amp;D4&amp;"'"&amp;"!A:A"),结果表!B20,INDIRECT("'"&amp;D4&amp;"'"&amp;"!B:B"))</f>
        <v>#REF!</v>
      </c>
      <c r="E20" s="1762"/>
      <c r="F20" s="1024" t="s">
        <v>1295</v>
      </c>
      <c r="G20" s="138" t="e">
        <f ca="1">ROUND(C20*$C$18+D20*$D$18,0)</f>
        <v>#REF!</v>
      </c>
      <c r="H20" s="806" t="s">
        <v>1296</v>
      </c>
      <c r="I20" s="128"/>
    </row>
    <row r="21" spans="1:36" ht="15" customHeight="1" thickBot="1">
      <c r="A21" s="826"/>
      <c r="B21" s="1763" t="s">
        <v>1297</v>
      </c>
      <c r="C21" s="717" t="e">
        <f ca="1">ROUND(C19*10000/L19,0)</f>
        <v>#REF!</v>
      </c>
      <c r="D21" s="718" t="e">
        <f ca="1">ROUND(D19*10000/L19,0)</f>
        <v>#REF!</v>
      </c>
      <c r="E21" s="826"/>
      <c r="F21" s="1763" t="s">
        <v>1297</v>
      </c>
      <c r="G21" s="139" t="e">
        <f ca="1">ROUND(G19*10000/L19,0)</f>
        <v>#REF!</v>
      </c>
      <c r="H21" s="1764" t="s">
        <v>1296</v>
      </c>
      <c r="I21" s="128"/>
    </row>
    <row r="22" spans="1:36" ht="15" thickBot="1">
      <c r="A22" s="1686" t="s">
        <v>1298</v>
      </c>
      <c r="B22" s="1765"/>
      <c r="C22" s="1766"/>
      <c r="D22" s="719" t="e">
        <f ca="1">IF(C19&lt;D19,D19/C19-1,C19/D19-1)</f>
        <v>#REF!</v>
      </c>
      <c r="E22" s="128"/>
      <c r="F22" s="128"/>
      <c r="G22" s="128"/>
      <c r="H22" s="128"/>
      <c r="I22" s="128"/>
    </row>
    <row r="23" spans="1:36" ht="13.5" thickBot="1">
      <c r="A23" s="1745"/>
      <c r="B23" s="1745"/>
      <c r="C23" s="1745"/>
      <c r="D23" s="1745"/>
      <c r="E23" s="128"/>
      <c r="F23" s="128"/>
      <c r="G23" s="128"/>
      <c r="H23" s="128"/>
      <c r="I23" s="128"/>
    </row>
    <row r="24" spans="1:36" ht="14.25">
      <c r="A24" s="3633" t="s">
        <v>1299</v>
      </c>
      <c r="B24" s="1760" t="s">
        <v>1291</v>
      </c>
      <c r="C24" s="135">
        <f>IF(B30=0,0,D30)</f>
        <v>0</v>
      </c>
      <c r="D24" s="1767"/>
      <c r="E24" s="128"/>
      <c r="F24" s="128"/>
      <c r="G24" s="128"/>
      <c r="H24" s="128"/>
      <c r="I24" s="128"/>
    </row>
    <row r="25" spans="1:36" ht="14.25">
      <c r="A25" s="3634"/>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t="e">
        <f ca="1">IF(D32="总价",G19-C24,G20-C25)</f>
        <v>#REF!</v>
      </c>
      <c r="D32" s="1773"/>
      <c r="E32" s="128"/>
      <c r="F32" s="128"/>
      <c r="G32" s="128"/>
      <c r="H32" s="128"/>
      <c r="I32" s="128"/>
    </row>
    <row r="33" spans="1:15" ht="15">
      <c r="A33" s="784" t="s">
        <v>1306</v>
      </c>
      <c r="B33" s="1774"/>
      <c r="C33" s="1775"/>
      <c r="D33" s="1776"/>
      <c r="E33" s="1777" t="s">
        <v>1307</v>
      </c>
      <c r="F33" s="1778" t="str">
        <f>IF(D32="楼面单价","取值（单价）","取值（总价）")</f>
        <v>取值（总价）</v>
      </c>
      <c r="G33" s="128"/>
      <c r="H33" s="128"/>
      <c r="I33" s="128"/>
    </row>
    <row r="34" spans="1:15" ht="15">
      <c r="A34" s="1779"/>
      <c r="B34" s="1780"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8"/>
      <c r="H34" s="128"/>
      <c r="I34" s="128"/>
    </row>
    <row r="35" spans="1:15" ht="15.7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3"/>
      <c r="G35" s="128"/>
      <c r="H35" s="128"/>
      <c r="I35" s="128"/>
    </row>
    <row r="36" spans="1:15" ht="15.75" thickBot="1">
      <c r="A36" s="3653" t="s">
        <v>1312</v>
      </c>
      <c r="B36" s="1785" t="s">
        <v>1313</v>
      </c>
      <c r="C36" s="144"/>
      <c r="D36" s="1786"/>
      <c r="E36" s="1787"/>
      <c r="F36" s="1788"/>
      <c r="G36" s="128"/>
      <c r="H36" s="128"/>
      <c r="I36" s="128"/>
    </row>
    <row r="37" spans="1:15" ht="15.75" thickBot="1">
      <c r="A37" s="3654"/>
      <c r="B37" s="1672" t="s">
        <v>1314</v>
      </c>
      <c r="C37" s="146"/>
      <c r="D37" s="1137"/>
      <c r="E37" s="1137"/>
      <c r="F37" s="1788"/>
      <c r="G37" s="128"/>
      <c r="H37" s="128"/>
      <c r="I37" s="128"/>
    </row>
    <row r="38" spans="1:15" ht="15.75" thickBot="1">
      <c r="A38" s="3655"/>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4" t="e">
        <f ca="1">ROUND(H101*F45,0)</f>
        <v>#REF!</v>
      </c>
      <c r="E45" s="155" t="s">
        <v>1327</v>
      </c>
      <c r="F45" s="156">
        <v>1</v>
      </c>
      <c r="G45" s="157" t="s">
        <v>1328</v>
      </c>
      <c r="H45" s="128"/>
      <c r="I45" s="128"/>
      <c r="J45" s="3708" t="s">
        <v>1329</v>
      </c>
      <c r="K45" s="3708"/>
      <c r="L45" s="3708"/>
      <c r="M45" s="3708"/>
      <c r="N45" s="3708"/>
      <c r="O45" s="3708"/>
    </row>
    <row r="46" spans="1:15" ht="14.25" customHeight="1">
      <c r="A46" s="3627" t="s">
        <v>1330</v>
      </c>
      <c r="B46" s="3628"/>
      <c r="C46" s="3628"/>
      <c r="D46" s="3628"/>
      <c r="E46" s="3628"/>
      <c r="F46" s="3628"/>
      <c r="G46" s="3629"/>
      <c r="H46" s="1804"/>
      <c r="I46" s="158"/>
      <c r="J46" s="2521">
        <v>1</v>
      </c>
      <c r="K46" s="3689" t="s">
        <v>1331</v>
      </c>
      <c r="L46" s="3689"/>
      <c r="M46" s="3709"/>
      <c r="N46" s="3709"/>
      <c r="O46" s="3709"/>
    </row>
    <row r="47" spans="1:15" ht="12" customHeight="1">
      <c r="A47" s="159" t="s">
        <v>1332</v>
      </c>
      <c r="B47" s="160"/>
      <c r="C47" s="161"/>
      <c r="D47" s="1085" t="s">
        <v>1333</v>
      </c>
      <c r="E47" s="301" t="s">
        <v>1334</v>
      </c>
      <c r="F47" s="162" t="s">
        <v>1335</v>
      </c>
      <c r="G47" s="2544" t="s">
        <v>1336</v>
      </c>
      <c r="H47" s="2545"/>
      <c r="I47" s="158"/>
      <c r="J47" s="2521">
        <v>2</v>
      </c>
      <c r="K47" s="3689" t="s">
        <v>1337</v>
      </c>
      <c r="L47" s="3689"/>
      <c r="M47" s="3710">
        <f>'数据-取费表'!B2</f>
        <v>45062</v>
      </c>
      <c r="N47" s="3710"/>
      <c r="O47" s="3710"/>
    </row>
    <row r="48" spans="1:15" ht="25.5">
      <c r="A48" s="3658" t="s">
        <v>1338</v>
      </c>
      <c r="B48" s="3641"/>
      <c r="C48" s="364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89" t="s">
        <v>1340</v>
      </c>
      <c r="L48" s="3689"/>
      <c r="M48" s="3711" t="e">
        <f ca="1">H101</f>
        <v>#REF!</v>
      </c>
      <c r="N48" s="3711"/>
      <c r="O48" s="3711"/>
    </row>
    <row r="49" spans="1:35" ht="25.5" customHeight="1">
      <c r="A49" s="2331" t="s">
        <v>1341</v>
      </c>
      <c r="B49" s="3625" t="s">
        <v>1342</v>
      </c>
      <c r="C49" s="3625"/>
      <c r="D49" s="1588">
        <v>0</v>
      </c>
      <c r="E49" s="323" t="s">
        <v>1343</v>
      </c>
      <c r="F49" s="2422" t="s">
        <v>28</v>
      </c>
      <c r="G49" s="3695"/>
      <c r="H49" s="2308" t="s">
        <v>2134</v>
      </c>
      <c r="I49" s="2309"/>
      <c r="J49" s="2521">
        <v>4</v>
      </c>
      <c r="K49" s="3689" t="str">
        <f>IF(项目基本情况!E8="房地产抵押价值","房地产抵押价值","抵押担保权已注销时的房地产抵押价值")</f>
        <v>抵押担保权已注销时的房地产抵押价值</v>
      </c>
      <c r="L49" s="3689"/>
      <c r="M49" s="3711" t="str">
        <f>IF(项目基本情况!E8="房地产抵押价值",H107,H109)</f>
        <v>——</v>
      </c>
      <c r="N49" s="3711"/>
      <c r="O49" s="3711"/>
    </row>
    <row r="50" spans="1:35" ht="25.5" customHeight="1">
      <c r="A50" s="2549"/>
      <c r="B50" s="3625" t="s">
        <v>1344</v>
      </c>
      <c r="C50" s="3625"/>
      <c r="D50" s="2550"/>
      <c r="E50" s="331"/>
      <c r="F50" s="2422"/>
      <c r="G50" s="3696"/>
      <c r="H50" s="2310" t="s">
        <v>2135</v>
      </c>
      <c r="I50" s="2309"/>
      <c r="J50" s="3708" t="s">
        <v>1345</v>
      </c>
      <c r="K50" s="3708"/>
      <c r="L50" s="3708"/>
      <c r="M50" s="3708"/>
      <c r="N50" s="3708"/>
      <c r="O50" s="3708"/>
    </row>
    <row r="51" spans="1:35" ht="20.45" customHeight="1">
      <c r="A51" s="2551"/>
      <c r="B51" s="3625" t="s">
        <v>1346</v>
      </c>
      <c r="C51" s="3625"/>
      <c r="D51" s="1085"/>
      <c r="E51" s="326"/>
      <c r="F51" s="2422"/>
      <c r="G51" s="3697"/>
      <c r="H51" s="2310" t="s">
        <v>2136</v>
      </c>
      <c r="I51" s="2309"/>
      <c r="J51" s="2522" t="s">
        <v>1347</v>
      </c>
      <c r="K51" s="3689" t="s">
        <v>1348</v>
      </c>
      <c r="L51" s="3689"/>
      <c r="M51" s="2522" t="s">
        <v>1349</v>
      </c>
      <c r="N51" s="2522" t="s">
        <v>1350</v>
      </c>
      <c r="O51" s="2522" t="s">
        <v>1351</v>
      </c>
    </row>
    <row r="52" spans="1:35" ht="24" customHeight="1">
      <c r="A52" s="2333" t="s">
        <v>1352</v>
      </c>
      <c r="B52" s="3625" t="s">
        <v>1353</v>
      </c>
      <c r="C52" s="3625"/>
      <c r="D52" s="1085" t="e">
        <f ca="1">ROUND(D45*'数据-取费表'!B41/(1+'数据-取费表'!C42),0)</f>
        <v>#REF!</v>
      </c>
      <c r="E52" s="2332" t="s">
        <v>1354</v>
      </c>
      <c r="F52" s="2552">
        <f>'数据-取费表'!B41</f>
        <v>5.5000000000000007E-2</v>
      </c>
      <c r="G52" s="2553"/>
      <c r="H52" s="2542"/>
      <c r="I52" s="1805"/>
      <c r="J52" s="2521">
        <v>1</v>
      </c>
      <c r="K52" s="3690" t="s">
        <v>1355</v>
      </c>
      <c r="L52" s="3690"/>
      <c r="M52" s="2523" t="b">
        <f>D48</f>
        <v>0</v>
      </c>
      <c r="N52" s="2521" t="str">
        <f>E48</f>
        <v>销售额×税（费）率</v>
      </c>
      <c r="O52" s="2524">
        <f>F48</f>
        <v>5.5000000000000007E-2</v>
      </c>
    </row>
    <row r="53" spans="1:35" ht="12" customHeight="1">
      <c r="A53" s="2333" t="s">
        <v>1356</v>
      </c>
      <c r="B53" s="3651" t="s">
        <v>2291</v>
      </c>
      <c r="C53" s="3652"/>
      <c r="D53" s="1085" t="e">
        <f ca="1">ROUND(D45*'数据-取费表'!B41/(1+'数据-取费表'!C42),0)</f>
        <v>#REF!</v>
      </c>
      <c r="E53" s="2332" t="s">
        <v>1354</v>
      </c>
      <c r="F53" s="2552">
        <f>'数据-取费表'!B41</f>
        <v>5.5000000000000007E-2</v>
      </c>
      <c r="G53" s="2553"/>
      <c r="H53" s="2542"/>
      <c r="I53" s="1805"/>
      <c r="J53" s="2521">
        <v>2</v>
      </c>
      <c r="K53" s="3690" t="s">
        <v>1357</v>
      </c>
      <c r="L53" s="3690"/>
      <c r="M53" s="2523" t="e">
        <f t="shared" ref="M53:O54" ca="1" si="0">D55</f>
        <v>#REF!</v>
      </c>
      <c r="N53" s="2521" t="str">
        <f t="shared" si="0"/>
        <v>销售额×税（费）率</v>
      </c>
      <c r="O53" s="2524" t="str">
        <f t="shared" si="0"/>
        <v>免征</v>
      </c>
    </row>
    <row r="54" spans="1:35" ht="12" customHeight="1">
      <c r="A54" s="2333" t="s">
        <v>1358</v>
      </c>
      <c r="B54" s="3651" t="s">
        <v>2292</v>
      </c>
      <c r="C54" s="3652"/>
      <c r="D54" s="1085" t="e">
        <f ca="1">C68</f>
        <v>#REF!</v>
      </c>
      <c r="E54" s="326" t="s">
        <v>1359</v>
      </c>
      <c r="F54" s="2552">
        <f>'数据-取费表'!B41</f>
        <v>5.5000000000000007E-2</v>
      </c>
      <c r="G54" s="2553"/>
      <c r="H54" s="2554"/>
      <c r="I54" s="1805"/>
      <c r="J54" s="2521">
        <v>3</v>
      </c>
      <c r="K54" s="3690" t="s">
        <v>1360</v>
      </c>
      <c r="L54" s="3690"/>
      <c r="M54" s="2523" t="e">
        <f t="shared" ca="1" si="0"/>
        <v>#REF!</v>
      </c>
      <c r="N54" s="2521" t="str">
        <f t="shared" si="0"/>
        <v>增值额×税（费）率</v>
      </c>
      <c r="O54" s="2525" t="str">
        <f t="shared" si="0"/>
        <v>免征</v>
      </c>
    </row>
    <row r="55" spans="1:35" ht="24" customHeight="1">
      <c r="A55" s="3640" t="s">
        <v>1361</v>
      </c>
      <c r="B55" s="3641"/>
      <c r="C55" s="3641"/>
      <c r="D55" s="2322" t="e">
        <f ca="1">IF(H55="个人住宅",0,ROUND(D45*I55,0))</f>
        <v>#REF!</v>
      </c>
      <c r="E55" s="2332" t="s">
        <v>1362</v>
      </c>
      <c r="F55" s="2552" t="str">
        <f>IF(H55="正常",I55,"免征")</f>
        <v>免征</v>
      </c>
      <c r="G55" s="2553"/>
      <c r="H55" s="2548"/>
      <c r="I55" s="164">
        <f>'数据-取费表'!B49</f>
        <v>5.0000000000000001E-4</v>
      </c>
      <c r="J55" s="2521">
        <f>IF(H59="非个人房产","",4)</f>
        <v>4</v>
      </c>
      <c r="K55" s="3690" t="str">
        <f>IF(H59="非个人房产","——","个人所得税")</f>
        <v>个人所得税</v>
      </c>
      <c r="L55" s="3690"/>
      <c r="M55" s="2526" t="e">
        <f ca="1">D59</f>
        <v>#REF!</v>
      </c>
      <c r="N55" s="2038" t="str">
        <f>E59</f>
        <v>差额计税</v>
      </c>
      <c r="O55" s="2527">
        <f>F59</f>
        <v>0.01</v>
      </c>
    </row>
    <row r="56" spans="1:35" ht="24.75">
      <c r="A56" s="3640" t="s">
        <v>1363</v>
      </c>
      <c r="B56" s="3641"/>
      <c r="C56" s="3641"/>
      <c r="D56" s="2322" t="e">
        <f ca="1">IF(H56="个人住宅",D57,D58)</f>
        <v>#REF!</v>
      </c>
      <c r="E56" s="2332" t="s">
        <v>1364</v>
      </c>
      <c r="F56" s="2552" t="str">
        <f>IF(H56="正常",F58,"免征")</f>
        <v>免征</v>
      </c>
      <c r="G56" s="2555" t="s">
        <v>1365</v>
      </c>
      <c r="H56" s="2556"/>
      <c r="I56" s="1806"/>
      <c r="J56" s="2521" t="str">
        <f>IF(项目基本情况!K6="上海银行",IF(J55="",4,J55+1),"")</f>
        <v/>
      </c>
      <c r="K56" s="3713" t="str">
        <f>IF(项目基本情况!K6="上海银行","其他处置费用","")</f>
        <v/>
      </c>
      <c r="L56" s="3714"/>
      <c r="M56" s="2523" t="str">
        <f>IF(项目基本情况!K6="上海银行",M69,"")</f>
        <v/>
      </c>
      <c r="N56" s="3713" t="str">
        <f>IF(项目基本情况!K6="上海银行","包含处置中涉及的律师、诉讼、拍卖、评估等费用","")</f>
        <v/>
      </c>
      <c r="O56" s="3716"/>
    </row>
    <row r="57" spans="1:35" ht="12.75">
      <c r="A57" s="2333" t="s">
        <v>1341</v>
      </c>
      <c r="B57" s="3651" t="s">
        <v>1366</v>
      </c>
      <c r="C57" s="3652"/>
      <c r="D57" s="1588">
        <v>0</v>
      </c>
      <c r="E57" s="323" t="s">
        <v>1343</v>
      </c>
      <c r="F57" s="301"/>
      <c r="G57" s="2553"/>
      <c r="H57" s="2557"/>
      <c r="I57" s="1806"/>
      <c r="J57" s="3690">
        <f>IF(AND(J55="",J56=""),4,IF(项目基本情况!K6="上海银行",结果表!J56+1,结果表!J55+1))</f>
        <v>5</v>
      </c>
      <c r="K57" s="3690" t="s">
        <v>1367</v>
      </c>
      <c r="L57" s="2528" t="s">
        <v>1368</v>
      </c>
      <c r="M57" s="2529"/>
      <c r="N57" s="2530">
        <f ca="1">SUMIF(M52:M56,"&lt;9e307")</f>
        <v>0</v>
      </c>
      <c r="O57" s="2531"/>
      <c r="P57" s="2688" t="e">
        <f ca="1">N57/M49</f>
        <v>#VALUE!</v>
      </c>
    </row>
    <row r="58" spans="1:35" ht="24.75">
      <c r="A58" s="2333" t="s">
        <v>1352</v>
      </c>
      <c r="B58" s="3651" t="s">
        <v>1369</v>
      </c>
      <c r="C58" s="3625"/>
      <c r="D58" s="2322" t="e">
        <f ca="1">IF(H58="转让取得",C81,C97)</f>
        <v>#REF!</v>
      </c>
      <c r="E58" s="2332" t="s">
        <v>1364</v>
      </c>
      <c r="F58" s="301" t="s">
        <v>28</v>
      </c>
      <c r="G58" s="2553"/>
      <c r="H58" s="2556"/>
      <c r="I58" s="1806"/>
      <c r="J58" s="3690"/>
      <c r="K58" s="3690"/>
      <c r="L58" s="2528" t="s">
        <v>1370</v>
      </c>
      <c r="M58" s="2532"/>
      <c r="N58" s="2533" t="str">
        <f ca="1">NUMBERSTRING(INT(N57*10000),2)&amp;"元整"</f>
        <v>零元整</v>
      </c>
      <c r="O58" s="2534"/>
    </row>
    <row r="59" spans="1:35" ht="24.75" thickBot="1">
      <c r="A59" s="3693" t="s">
        <v>1371</v>
      </c>
      <c r="B59" s="3694"/>
      <c r="C59" s="369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91">
        <f>J57+1</f>
        <v>6</v>
      </c>
      <c r="K59" s="3690" t="s">
        <v>1372</v>
      </c>
      <c r="L59" s="2521" t="s">
        <v>1368</v>
      </c>
      <c r="M59" s="2535"/>
      <c r="N59" s="2536" t="e">
        <f ca="1">M49-N57</f>
        <v>#VALUE!</v>
      </c>
      <c r="O59" s="2537"/>
    </row>
    <row r="60" spans="1:35" ht="12" customHeight="1">
      <c r="A60" s="1807"/>
      <c r="B60" s="1745"/>
      <c r="C60" s="1745"/>
      <c r="D60" s="1745"/>
      <c r="E60" s="1576"/>
      <c r="F60" s="1806"/>
      <c r="G60" s="1806"/>
      <c r="H60" s="1808"/>
      <c r="I60" s="128"/>
      <c r="J60" s="3692"/>
      <c r="K60" s="3690"/>
      <c r="L60" s="2528" t="s">
        <v>1370</v>
      </c>
      <c r="M60" s="2532"/>
      <c r="N60" s="2533" t="e">
        <f ca="1">NUMBERSTRING(INT(N59*10000),2)&amp;"元整"</f>
        <v>#VALUE!</v>
      </c>
      <c r="O60" s="2534"/>
    </row>
    <row r="61" spans="1:35" ht="13.5" thickBot="1">
      <c r="A61" s="3638" t="s">
        <v>1373</v>
      </c>
      <c r="B61" s="3638"/>
      <c r="C61" s="3638"/>
      <c r="D61" s="3638"/>
      <c r="E61" s="3638"/>
      <c r="F61" s="1806"/>
      <c r="G61" s="1806"/>
      <c r="H61" s="1808"/>
      <c r="I61" s="128"/>
      <c r="J61" s="2521">
        <f>J59+1</f>
        <v>7</v>
      </c>
      <c r="K61" s="3690" t="s">
        <v>1374</v>
      </c>
      <c r="L61" s="3690"/>
      <c r="M61" s="2538"/>
      <c r="N61" s="2539" t="e">
        <f ca="1">ROUND(N59*10000/'数据-汇总表'!E3,0)</f>
        <v>#VALUE!</v>
      </c>
      <c r="O61" s="2540"/>
    </row>
    <row r="62" spans="1:35" ht="12.75">
      <c r="A62" s="3656" t="s">
        <v>1375</v>
      </c>
      <c r="B62" s="3657"/>
      <c r="C62" s="2019"/>
      <c r="D62" s="2019" t="s">
        <v>1376</v>
      </c>
      <c r="E62" s="165" t="s">
        <v>1377</v>
      </c>
      <c r="F62" s="1806"/>
      <c r="G62" s="1806"/>
      <c r="H62" s="1808"/>
      <c r="I62" s="128"/>
    </row>
    <row r="63" spans="1:35" ht="12.75">
      <c r="A63" s="172" t="s">
        <v>330</v>
      </c>
      <c r="B63" s="166" t="s">
        <v>1378</v>
      </c>
      <c r="C63" s="2562" t="e">
        <f ca="1">ROUND((C64+C65)/(1+'数据-取费表'!C42),0)</f>
        <v>#REF!</v>
      </c>
      <c r="D63" s="166"/>
      <c r="E63" s="167"/>
      <c r="F63" s="1806"/>
      <c r="G63" s="1806"/>
      <c r="H63" s="1808"/>
      <c r="I63" s="128"/>
      <c r="J63" s="3715" t="s">
        <v>1379</v>
      </c>
      <c r="K63" s="1330" t="s">
        <v>1380</v>
      </c>
      <c r="L63" s="1330" t="e">
        <f>IF(M49&gt;10000,M49*0.5%,IF(AND(M49&gt;1000,M49&lt;=10000),M49*1%,IF(AND(M49&gt;100,M49&lt;=1000),M49*3%,IF(AND(M49&gt;10,M49&lt;=100),M49*5%,M49*8%))))</f>
        <v>#VALUE!</v>
      </c>
      <c r="M63" s="301" t="e">
        <f>ROUND(L63,1)</f>
        <v>#VALUE!</v>
      </c>
      <c r="N63" s="2541"/>
      <c r="Z63" s="1750"/>
      <c r="AI63" s="1751"/>
    </row>
    <row r="64" spans="1:35" ht="14.25" customHeight="1">
      <c r="A64" s="168" t="s">
        <v>325</v>
      </c>
      <c r="B64" s="169" t="s">
        <v>1381</v>
      </c>
      <c r="C64" s="2563" t="e">
        <f ca="1">D45</f>
        <v>#REF!</v>
      </c>
      <c r="D64" s="169" t="s">
        <v>26</v>
      </c>
      <c r="E64" s="171"/>
      <c r="F64" s="1806"/>
      <c r="G64" s="1806"/>
      <c r="H64" s="1808"/>
      <c r="I64" s="128"/>
      <c r="J64" s="3715"/>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2" t="s">
        <v>1383</v>
      </c>
      <c r="Z64" s="1750"/>
      <c r="AI64" s="1751"/>
    </row>
    <row r="65" spans="1:35" ht="14.25" customHeight="1">
      <c r="A65" s="168" t="s">
        <v>326</v>
      </c>
      <c r="B65" s="169" t="s">
        <v>1384</v>
      </c>
      <c r="C65" s="2564"/>
      <c r="D65" s="169"/>
      <c r="E65" s="171"/>
      <c r="F65" s="1806"/>
      <c r="G65" s="1806"/>
      <c r="H65" s="1808"/>
      <c r="I65" s="128"/>
      <c r="J65" s="3715"/>
      <c r="K65" s="1330" t="s">
        <v>1385</v>
      </c>
      <c r="L65" s="1330" t="e">
        <f>IF(M49&gt;1000,M49*0.1%,IF(AND(M49&gt;500,M49&lt;=1000),M49*0.5%,IF(AND(M49&gt;50,M49&lt;=500),M49*1%,IF(AND(M49&gt;1,M49&lt;=50),M49*1.5%))))</f>
        <v>#VALUE!</v>
      </c>
      <c r="M65" s="301" t="e">
        <f t="shared" si="1"/>
        <v>#VALUE!</v>
      </c>
      <c r="N65" s="2542" t="s">
        <v>1383</v>
      </c>
      <c r="Z65" s="1750"/>
      <c r="AI65" s="1751"/>
    </row>
    <row r="66" spans="1:35" ht="14.25" customHeight="1">
      <c r="A66" s="172" t="s">
        <v>327</v>
      </c>
      <c r="B66" s="173" t="s">
        <v>1386</v>
      </c>
      <c r="C66" s="2565"/>
      <c r="D66" s="173" t="s">
        <v>26</v>
      </c>
      <c r="E66" s="1336" t="s">
        <v>671</v>
      </c>
      <c r="F66" s="1806"/>
      <c r="G66" s="1806"/>
      <c r="H66" s="1808"/>
      <c r="I66" s="128"/>
      <c r="J66" s="3715"/>
      <c r="K66" s="1330" t="s">
        <v>1387</v>
      </c>
      <c r="L66" s="1330" t="e">
        <f>M49*0.5%</f>
        <v>#VALUE!</v>
      </c>
      <c r="M66" s="301" t="e">
        <f>IF(L66&gt;0.5,0.5,ROUND(L66,0))</f>
        <v>#VALUE!</v>
      </c>
      <c r="N66" s="2542" t="s">
        <v>1388</v>
      </c>
      <c r="Z66" s="1750"/>
      <c r="AI66" s="1751"/>
    </row>
    <row r="67" spans="1:35" ht="14.25" customHeight="1">
      <c r="A67" s="172" t="s">
        <v>328</v>
      </c>
      <c r="B67" s="173" t="s">
        <v>1389</v>
      </c>
      <c r="C67" s="2566" t="e">
        <f ca="1">C63-C66</f>
        <v>#REF!</v>
      </c>
      <c r="D67" s="169" t="s">
        <v>26</v>
      </c>
      <c r="E67" s="171"/>
      <c r="F67" s="1806"/>
      <c r="G67" s="1806"/>
      <c r="H67" s="1808"/>
      <c r="I67" s="128"/>
      <c r="J67" s="3715"/>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1"/>
      <c r="Z67" s="1750"/>
      <c r="AI67" s="1751"/>
    </row>
    <row r="68" spans="1:35" ht="14.25" customHeight="1" thickBot="1">
      <c r="A68" s="175" t="s">
        <v>329</v>
      </c>
      <c r="B68" s="176" t="s">
        <v>1391</v>
      </c>
      <c r="C68" s="2567" t="e">
        <f ca="1">IF(C67&lt;=0,0,ROUND(C67*D68,0))</f>
        <v>#REF!</v>
      </c>
      <c r="D68" s="2568">
        <f>'数据-取费表'!B41</f>
        <v>5.5000000000000007E-2</v>
      </c>
      <c r="E68" s="177"/>
      <c r="F68" s="1806"/>
      <c r="G68" s="1806"/>
      <c r="H68" s="1808"/>
      <c r="I68" s="128"/>
      <c r="J68" s="3715"/>
      <c r="K68" s="1330" t="s">
        <v>1392</v>
      </c>
      <c r="L68" s="1330" t="e">
        <f>IF(M49&gt;10000,M49*0.5%,IF(AND(M49&gt;5000,M49&lt;=10000),M49*1%,IF(AND(M49&gt;1000,M49&lt;=5000),M49*2%,IF(AND(M49&gt;200,M49&lt;=1000),M49*3%,M49*5%))))</f>
        <v>#VALUE!</v>
      </c>
      <c r="M68" s="301" t="e">
        <f>ROUND(L68,1)</f>
        <v>#VALUE!</v>
      </c>
      <c r="N68" s="2541"/>
      <c r="Z68" s="1750"/>
      <c r="AI68" s="1751"/>
    </row>
    <row r="69" spans="1:35" s="1770" customFormat="1" ht="16.5" customHeight="1">
      <c r="A69" s="1809"/>
      <c r="B69" s="1810"/>
      <c r="C69" s="1811"/>
      <c r="D69" s="1812"/>
      <c r="E69" s="1813"/>
      <c r="F69" s="1576"/>
      <c r="G69" s="1576"/>
      <c r="H69" s="1575"/>
      <c r="I69" s="1745"/>
      <c r="J69" s="3715"/>
      <c r="K69" s="1330" t="s">
        <v>1393</v>
      </c>
      <c r="L69" s="1330"/>
      <c r="M69" s="301"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7" t="s">
        <v>1394</v>
      </c>
      <c r="B70" s="3678"/>
      <c r="C70" s="3678"/>
      <c r="D70" s="3678"/>
      <c r="E70" s="3678"/>
      <c r="F70" s="3678"/>
      <c r="G70" s="3678"/>
      <c r="H70" s="367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56" t="s">
        <v>1375</v>
      </c>
      <c r="B71" s="3657"/>
      <c r="C71" s="2019"/>
      <c r="D71" s="2019" t="s">
        <v>1376</v>
      </c>
      <c r="E71" s="178" t="s">
        <v>1377</v>
      </c>
      <c r="F71" s="179"/>
      <c r="G71" s="179"/>
      <c r="H71" s="180"/>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6" t="e">
        <f ca="1">ROUND(D45/(1+'数据-取费表'!C42),0)</f>
        <v>#REF!</v>
      </c>
      <c r="D72" s="169" t="s">
        <v>26</v>
      </c>
      <c r="E72" s="2329"/>
      <c r="F72" s="2328"/>
      <c r="G72" s="2328"/>
      <c r="H72" s="181"/>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6" t="e">
        <f ca="1">C74+C78</f>
        <v>#REF!</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9"/>
      <c r="D75" s="169" t="s">
        <v>26</v>
      </c>
      <c r="E75" s="183" t="s">
        <v>1399</v>
      </c>
      <c r="F75" s="2570"/>
      <c r="G75" s="183"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2">
        <v>0.05</v>
      </c>
      <c r="E76" s="3651" t="s">
        <v>1402</v>
      </c>
      <c r="F76" s="3625"/>
      <c r="G76" s="3625"/>
      <c r="H76" s="367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3">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4" t="e">
        <f ca="1">ROUND(D45*D78/(1+'数据-取费表'!C42),0)</f>
        <v>#REF!</v>
      </c>
      <c r="D78" s="2575">
        <f>'数据-取费表'!B43</f>
        <v>5.000000000000001E-3</v>
      </c>
      <c r="E78" s="3635" t="s">
        <v>1406</v>
      </c>
      <c r="F78" s="3636"/>
      <c r="G78" s="3636"/>
      <c r="H78" s="364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6" t="e">
        <f ca="1">C72-C73</f>
        <v>#REF!</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6" t="e">
        <f ca="1">IF(C79&lt;=0,0,C79/C73)</f>
        <v>#REF!</v>
      </c>
      <c r="D80" s="169"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7" t="e">
        <f ca="1">ROUND(IF(C79&lt;=0,0,IF(C80&gt;=200%,C79*60%-C73*35%,IF(C80&gt;=100%,C79*50%-C73*15%,IF(C80&gt;=50%,C79*40%-C73*5%,IF(C80&lt;50%,C79*30%,0))))),0)</f>
        <v>#REF!</v>
      </c>
      <c r="D81" s="2578"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7" t="s">
        <v>1410</v>
      </c>
      <c r="B83" s="3678"/>
      <c r="C83" s="3678"/>
      <c r="D83" s="3678"/>
      <c r="E83" s="3678"/>
      <c r="F83" s="3678"/>
      <c r="G83" s="3678"/>
      <c r="H83" s="367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56" t="s">
        <v>1375</v>
      </c>
      <c r="B84" s="3657"/>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6" t="e">
        <f ca="1">ROUND(D45/(1+'数据-取费表'!C42),0)</f>
        <v>#REF!</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6" t="e">
        <f ca="1">IF(H88="仅含出让金",C87+C90+C91+C92+C93+C94,C87+C91+C92+C93+C94)</f>
        <v>#REF!</v>
      </c>
      <c r="D86" s="2579"/>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80"/>
      <c r="D88" s="2575"/>
      <c r="E88" s="192" t="s">
        <v>1413</v>
      </c>
      <c r="F88" s="2325"/>
      <c r="G88" s="193"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4">
        <f>ROUND(C88*D89,0)</f>
        <v>0</v>
      </c>
      <c r="D89" s="2575">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80"/>
      <c r="D90" s="2575"/>
      <c r="E90" s="192" t="str">
        <f>IF(H88="-","土地取得成本中已包含该笔费用"," ")</f>
        <v xml:space="preserve"> </v>
      </c>
      <c r="F90" s="2325"/>
      <c r="G90" s="3717" t="s">
        <v>2129</v>
      </c>
      <c r="H90" s="3718"/>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4">
        <f>IF(H91="——",成本法!C33,I91)</f>
        <v>0</v>
      </c>
      <c r="D91" s="2575"/>
      <c r="E91" s="3635" t="s">
        <v>1419</v>
      </c>
      <c r="F91" s="3636"/>
      <c r="G91" s="363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4">
        <f>ROUND((C87+C90+C91)*D92,0)</f>
        <v>0</v>
      </c>
      <c r="D92" s="2581"/>
      <c r="E92" s="3635" t="s">
        <v>1422</v>
      </c>
      <c r="F92" s="3636"/>
      <c r="G92" s="3636"/>
      <c r="H92" s="3645"/>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4" t="e">
        <f ca="1">ROUND(D45*D93/(1+'数据-取费表'!C42),0)</f>
        <v>#REF!</v>
      </c>
      <c r="D93" s="2575">
        <f>'数据-取费表'!B43</f>
        <v>5.000000000000001E-3</v>
      </c>
      <c r="E93" s="3635" t="s">
        <v>1406</v>
      </c>
      <c r="F93" s="3636"/>
      <c r="G93" s="3636"/>
      <c r="H93" s="364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80">
        <f>ROUND((C87+C90+C91)*D94,0)</f>
        <v>0</v>
      </c>
      <c r="D94" s="2575">
        <v>0.2</v>
      </c>
      <c r="E94" s="3646" t="s">
        <v>1426</v>
      </c>
      <c r="F94" s="3647"/>
      <c r="G94" s="3647"/>
      <c r="H94" s="364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6" t="e">
        <f ca="1">ROUND(C85-C86,0)</f>
        <v>#REF!</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6" t="e">
        <f ca="1">IF(C95&lt;=0,0,C95/C86)</f>
        <v>#REF!</v>
      </c>
      <c r="D96" s="169"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7" t="e">
        <f ca="1">ROUND(IF(C95&lt;=0,0,IF(C96&gt;=200%,C95*60%-C86*35%,IF(C96&gt;=100%,C95*50%-C86*15%,IF(C96&gt;=50%,C95*40%-C86*5%,IF(C96&lt;50%,C95*30%,0))))),0)</f>
        <v>#REF!</v>
      </c>
      <c r="D97" s="2578"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9" t="s">
        <v>1428</v>
      </c>
      <c r="B100" s="3620"/>
      <c r="C100" s="3620"/>
      <c r="D100" s="3637"/>
      <c r="E100" s="3620" t="s">
        <v>1429</v>
      </c>
      <c r="F100" s="3620"/>
      <c r="G100" s="3620"/>
      <c r="H100" s="3637"/>
      <c r="I100" s="128"/>
    </row>
    <row r="101" spans="1:35" ht="18.75" customHeight="1">
      <c r="A101" s="3698" t="s">
        <v>1430</v>
      </c>
      <c r="B101" s="3699"/>
      <c r="C101" s="2583">
        <f>C4</f>
        <v>0</v>
      </c>
      <c r="D101" s="2584">
        <f>D4</f>
        <v>0</v>
      </c>
      <c r="E101" s="3712" t="s">
        <v>1431</v>
      </c>
      <c r="F101" s="3669"/>
      <c r="G101" s="1825" t="s">
        <v>1432</v>
      </c>
      <c r="H101" s="2593" t="e">
        <f ca="1">H118</f>
        <v>#REF!</v>
      </c>
      <c r="I101" s="128"/>
    </row>
    <row r="102" spans="1:35" ht="18.75" customHeight="1">
      <c r="A102" s="3671" t="s">
        <v>1433</v>
      </c>
      <c r="B102" s="2582" t="s">
        <v>1432</v>
      </c>
      <c r="C102" s="2583" t="e">
        <f ca="1">IF(D32="楼面单价",ROUND(C19,0),C19)</f>
        <v>#REF!</v>
      </c>
      <c r="D102" s="2584" t="e">
        <f ca="1">IF(D32="楼面单价",ROUND(D19,0),D19)</f>
        <v>#REF!</v>
      </c>
      <c r="E102" s="3712"/>
      <c r="F102" s="3669"/>
      <c r="G102" s="1825" t="s">
        <v>1434</v>
      </c>
      <c r="H102" s="2553" t="e">
        <f ca="1">I118</f>
        <v>#REF!</v>
      </c>
      <c r="I102" s="128"/>
    </row>
    <row r="103" spans="1:35" ht="42.75" customHeight="1">
      <c r="A103" s="3671"/>
      <c r="B103" s="2582" t="s">
        <v>1434</v>
      </c>
      <c r="C103" s="2585" t="e">
        <f ca="1">C20</f>
        <v>#REF!</v>
      </c>
      <c r="D103" s="2586" t="e">
        <f ca="1">D20</f>
        <v>#REF!</v>
      </c>
      <c r="E103" s="3706" t="s">
        <v>1435</v>
      </c>
      <c r="F103" s="3707"/>
      <c r="G103" s="1826" t="s">
        <v>1436</v>
      </c>
      <c r="H103" s="2593">
        <f>IF(D36="正常操作",H104+H105+H106,H105+H106)</f>
        <v>0</v>
      </c>
      <c r="I103" s="128"/>
    </row>
    <row r="104" spans="1:35" ht="18.75" customHeight="1">
      <c r="A104" s="3671" t="s">
        <v>1437</v>
      </c>
      <c r="B104" s="2587" t="s">
        <v>1432</v>
      </c>
      <c r="C104" s="2588" t="e">
        <f ca="1">H118</f>
        <v>#REF!</v>
      </c>
      <c r="D104" s="2589"/>
      <c r="E104" s="1672" t="s">
        <v>1438</v>
      </c>
      <c r="F104" s="1664"/>
      <c r="G104" s="1826" t="s">
        <v>1436</v>
      </c>
      <c r="H104" s="2594">
        <f>IF(D36="同一抵押权人同一抵押物续贷",C36&amp;"（续贷，未扣减，详见特别提示）",C36)</f>
        <v>0</v>
      </c>
      <c r="I104" s="128"/>
    </row>
    <row r="105" spans="1:35" ht="18.75" customHeight="1" thickBot="1">
      <c r="A105" s="3672"/>
      <c r="B105" s="2590" t="s">
        <v>1434</v>
      </c>
      <c r="C105" s="2591" t="e">
        <f ca="1">I118</f>
        <v>#REF!</v>
      </c>
      <c r="D105" s="2592"/>
      <c r="E105" s="1672" t="s">
        <v>1439</v>
      </c>
      <c r="F105" s="1664"/>
      <c r="G105" s="1826" t="s">
        <v>1436</v>
      </c>
      <c r="H105" s="2595">
        <f>C37</f>
        <v>0</v>
      </c>
      <c r="I105" s="128"/>
    </row>
    <row r="106" spans="1:35" ht="18.75" customHeight="1">
      <c r="A106" s="1745" t="s">
        <v>1440</v>
      </c>
      <c r="B106" s="1745"/>
      <c r="C106" s="1745"/>
      <c r="D106" s="1745"/>
      <c r="E106" s="1827" t="s">
        <v>1441</v>
      </c>
      <c r="F106" s="1664"/>
      <c r="G106" s="1826" t="s">
        <v>1436</v>
      </c>
      <c r="H106" s="2595">
        <f>C38</f>
        <v>0</v>
      </c>
      <c r="I106" s="128"/>
    </row>
    <row r="107" spans="1:35" ht="18.75" customHeight="1">
      <c r="A107" s="128"/>
      <c r="B107" s="128"/>
      <c r="C107" s="128"/>
      <c r="D107" s="128"/>
      <c r="E107" s="3668" t="str">
        <f>IF(项目基本情况!E8="已注销","——","3.房地产抵押价值")</f>
        <v>3.房地产抵押价值</v>
      </c>
      <c r="F107" s="3669"/>
      <c r="G107" s="1825" t="s">
        <v>1432</v>
      </c>
      <c r="H107" s="2593" t="e">
        <f ca="1">IF(E107="——","——",H101-H103)</f>
        <v>#REF!</v>
      </c>
      <c r="I107" s="128"/>
    </row>
    <row r="108" spans="1:35" ht="18.75" customHeight="1">
      <c r="A108" s="128"/>
      <c r="B108" s="128"/>
      <c r="C108" s="128"/>
      <c r="D108" s="128"/>
      <c r="E108" s="3668"/>
      <c r="F108" s="3669"/>
      <c r="G108" s="1825" t="s">
        <v>1434</v>
      </c>
      <c r="H108" s="2553">
        <f ca="1">IF(H107=H101,H102,ROUND(H107*10000/'数据-汇总表'!E3,0))</f>
        <v>0</v>
      </c>
      <c r="I108" s="128"/>
    </row>
    <row r="109" spans="1:35" ht="18.75" customHeight="1">
      <c r="A109" s="128"/>
      <c r="B109" s="128"/>
      <c r="C109" s="128"/>
      <c r="D109" s="128"/>
      <c r="E109" s="3668" t="str">
        <f>IF(项目基本情况!E8="已注销及未注销","4.抵押担保权已注销时的房地产抵押价值",IF(项目基本情况!E8="已注销","3.抵押担保权已注销时的房地产抵押价值","——"))</f>
        <v>——</v>
      </c>
      <c r="F109" s="3669"/>
      <c r="G109" s="1825" t="s">
        <v>1432</v>
      </c>
      <c r="H109" s="2596" t="str">
        <f>IF(E109="——","——",H101-H105-H106)</f>
        <v>——</v>
      </c>
      <c r="I109" s="128"/>
    </row>
    <row r="110" spans="1:35" ht="18.75" customHeight="1">
      <c r="A110" s="128"/>
      <c r="B110" s="128"/>
      <c r="C110" s="128"/>
      <c r="D110" s="128"/>
      <c r="E110" s="3668"/>
      <c r="F110" s="3669"/>
      <c r="G110" s="1825" t="s">
        <v>1434</v>
      </c>
      <c r="H110" s="2553" t="str">
        <f>IF(H109="——","——",ROUND(H109*10000/'数据-汇总表'!E3,0))</f>
        <v>——</v>
      </c>
      <c r="I110" s="128"/>
    </row>
    <row r="111" spans="1:35" ht="18.75" customHeight="1">
      <c r="A111" s="128"/>
      <c r="B111" s="128"/>
      <c r="C111" s="128"/>
      <c r="D111" s="128"/>
      <c r="E111" s="3700" t="str">
        <f>IF(项目基本情况!E9="抵押净值",IF(OR(项目基本情况!E8="已注销",项目基本情况!E8="房地产抵押价值"),"4.抵押净值","5.抵押净值"),"——")</f>
        <v>——</v>
      </c>
      <c r="F111" s="3670"/>
      <c r="G111" s="1825" t="s">
        <v>1432</v>
      </c>
      <c r="H111" s="2593" t="str">
        <f>IF(E111="——","——",N59)</f>
        <v>——</v>
      </c>
      <c r="I111" s="128"/>
    </row>
    <row r="112" spans="1:35" ht="18.75" customHeight="1" thickBot="1">
      <c r="A112" s="128"/>
      <c r="B112" s="128"/>
      <c r="C112" s="128"/>
      <c r="D112" s="128"/>
      <c r="E112" s="3701"/>
      <c r="F112" s="3702"/>
      <c r="G112" s="1828" t="s">
        <v>1434</v>
      </c>
      <c r="H112" s="2597" t="str">
        <f>IF(E111="——","——",N61)</f>
        <v>——</v>
      </c>
      <c r="I112" s="128"/>
    </row>
    <row r="113" spans="1:27" ht="18.75" customHeight="1">
      <c r="A113" s="128"/>
      <c r="B113" s="128"/>
      <c r="C113" s="128"/>
      <c r="D113" s="128"/>
      <c r="E113" s="3673" t="s">
        <v>1440</v>
      </c>
      <c r="F113" s="3673"/>
      <c r="G113" s="3673"/>
      <c r="H113" s="3673"/>
      <c r="I113" s="128"/>
    </row>
    <row r="114" spans="1:27" ht="3.75" customHeight="1">
      <c r="A114" s="1745"/>
      <c r="B114" s="1745"/>
      <c r="C114" s="1745"/>
      <c r="D114" s="1745"/>
      <c r="E114" s="1807"/>
      <c r="F114" s="1807"/>
      <c r="G114" s="1807"/>
      <c r="H114" s="1807"/>
      <c r="I114" s="1745"/>
    </row>
    <row r="115" spans="1:27" ht="18.75" customHeight="1">
      <c r="A115" s="3683" t="s">
        <v>1442</v>
      </c>
      <c r="B115" s="3684"/>
      <c r="C115" s="3684"/>
      <c r="D115" s="3684"/>
      <c r="E115" s="3684"/>
      <c r="F115" s="3684"/>
      <c r="G115" s="3684"/>
      <c r="H115" s="3684"/>
      <c r="I115" s="3685"/>
    </row>
    <row r="116" spans="1:27" ht="27" customHeight="1">
      <c r="A116" s="3639" t="s">
        <v>1443</v>
      </c>
      <c r="B116" s="3674" t="s">
        <v>1444</v>
      </c>
      <c r="C116" s="3674" t="s">
        <v>1445</v>
      </c>
      <c r="D116" s="3687" t="s">
        <v>1446</v>
      </c>
      <c r="E116" s="3688"/>
      <c r="F116" s="3682" t="s">
        <v>1447</v>
      </c>
      <c r="G116" s="3682"/>
      <c r="H116" s="3639" t="s">
        <v>1448</v>
      </c>
      <c r="I116" s="3639"/>
    </row>
    <row r="117" spans="1:27" ht="18.75" customHeight="1">
      <c r="A117" s="3639"/>
      <c r="B117" s="3675"/>
      <c r="C117" s="3675"/>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8327.76</v>
      </c>
      <c r="C118" s="2327">
        <f>M19</f>
        <v>53147.14</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39" t="s">
        <v>1452</v>
      </c>
      <c r="B119" s="3639"/>
      <c r="C119" s="3639"/>
      <c r="D119" s="3679" t="e">
        <f ca="1">NUMBERSTRING(INT(D118*10000),2)&amp;"元整"</f>
        <v>#REF!</v>
      </c>
      <c r="E119" s="3681"/>
      <c r="F119" s="3679" t="e">
        <f ca="1">NUMBERSTRING(INT(F118*10000),2)&amp;"元整"</f>
        <v>#REF!</v>
      </c>
      <c r="G119" s="3681"/>
      <c r="H119" s="3679" t="e">
        <f ca="1">NUMBERSTRING(INT(H118*10000),2)&amp;"元整"</f>
        <v>#REF!</v>
      </c>
      <c r="I119" s="3681"/>
    </row>
    <row r="120" spans="1:27" ht="18.75" customHeight="1">
      <c r="A120" s="3703" t="str">
        <f>IF(项目基本情况!B9="房地产市场价值","",MID(E103,3,LEN(E103)-2))</f>
        <v/>
      </c>
      <c r="B120" s="3704"/>
      <c r="C120" s="3705"/>
      <c r="D120" s="3703">
        <f>H103</f>
        <v>0</v>
      </c>
      <c r="E120" s="3704"/>
      <c r="F120" s="3704"/>
      <c r="G120" s="3704"/>
      <c r="H120" s="3704"/>
      <c r="I120" s="370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79" t="s">
        <v>1452</v>
      </c>
      <c r="B121" s="3680"/>
      <c r="C121" s="3681"/>
      <c r="D121" s="3679" t="str">
        <f>IF(D120=0,"零元整",NUMBERSTRING(INT(D120*10000),2)&amp;"元整")</f>
        <v>零元整</v>
      </c>
      <c r="E121" s="3680"/>
      <c r="F121" s="3680"/>
      <c r="G121" s="3680"/>
      <c r="H121" s="3680"/>
      <c r="I121" s="3681"/>
      <c r="AA121" s="723"/>
    </row>
    <row r="122" spans="1:27" ht="18.75" customHeight="1">
      <c r="A122" s="3670" t="str">
        <f>IF(项目基本情况!B9="房地产市场价值","",MID(E107,3,LEN(E107)-2))</f>
        <v/>
      </c>
      <c r="B122" s="3670"/>
      <c r="C122" s="3670"/>
      <c r="D122" s="3703" t="e">
        <f ca="1">H107</f>
        <v>#REF!</v>
      </c>
      <c r="E122" s="3704"/>
      <c r="F122" s="3704"/>
      <c r="G122" s="3704"/>
      <c r="H122" s="3704"/>
      <c r="I122" s="3705"/>
      <c r="AA122" s="723"/>
    </row>
    <row r="123" spans="1:27" ht="18.75" customHeight="1">
      <c r="A123" s="3639" t="s">
        <v>1452</v>
      </c>
      <c r="B123" s="3639"/>
      <c r="C123" s="3639"/>
      <c r="D123" s="3679" t="e">
        <f ca="1">NUMBERSTRING(INT(D122*10000),2)&amp;"元整"</f>
        <v>#REF!</v>
      </c>
      <c r="E123" s="3680"/>
      <c r="F123" s="3680"/>
      <c r="G123" s="3680"/>
      <c r="H123" s="3680"/>
      <c r="I123" s="3681"/>
      <c r="AA123" s="723"/>
    </row>
    <row r="124" spans="1:27" ht="18.75" customHeight="1">
      <c r="A124" s="3670" t="str">
        <f>IF(项目基本情况!B9="房地产市场价值","",MID(E109,3,LEN(E109)-2))</f>
        <v/>
      </c>
      <c r="B124" s="3670"/>
      <c r="C124" s="3670"/>
      <c r="D124" s="3703" t="str">
        <f>H109</f>
        <v>——</v>
      </c>
      <c r="E124" s="3704"/>
      <c r="F124" s="3704"/>
      <c r="G124" s="3704"/>
      <c r="H124" s="3704"/>
      <c r="I124" s="3705"/>
      <c r="AA124" s="723"/>
    </row>
    <row r="125" spans="1:27" ht="18.75" customHeight="1">
      <c r="A125" s="3639" t="s">
        <v>1452</v>
      </c>
      <c r="B125" s="3639"/>
      <c r="C125" s="3639"/>
      <c r="D125" s="3679" t="e">
        <f>NUMBERSTRING(INT(D124*10000),2)&amp;"元整"</f>
        <v>#VALUE!</v>
      </c>
      <c r="E125" s="3680"/>
      <c r="F125" s="3680"/>
      <c r="G125" s="3680"/>
      <c r="H125" s="3680"/>
      <c r="I125" s="3681"/>
      <c r="AA125" s="723"/>
    </row>
    <row r="126" spans="1:27" ht="18.75" customHeight="1">
      <c r="A126" s="3670" t="str">
        <f>IF(项目基本情况!B9="房地产市场价值","",MID(E111,3,LEN(E111)-2))</f>
        <v/>
      </c>
      <c r="B126" s="3670"/>
      <c r="C126" s="3670"/>
      <c r="D126" s="3703" t="str">
        <f>H111</f>
        <v>——</v>
      </c>
      <c r="E126" s="3704"/>
      <c r="F126" s="3704"/>
      <c r="G126" s="3704"/>
      <c r="H126" s="3704"/>
      <c r="I126" s="3705"/>
      <c r="AA126" s="723"/>
    </row>
    <row r="127" spans="1:27" ht="18.75" customHeight="1">
      <c r="A127" s="3639" t="s">
        <v>1452</v>
      </c>
      <c r="B127" s="3639"/>
      <c r="C127" s="3639"/>
      <c r="D127" s="3679" t="e">
        <f>NUMBERSTRING(INT(D126*10000),2)&amp;"元整"</f>
        <v>#VALUE!</v>
      </c>
      <c r="E127" s="3680"/>
      <c r="F127" s="3680"/>
      <c r="G127" s="3680"/>
      <c r="H127" s="3680"/>
      <c r="I127" s="3681"/>
      <c r="AA127" s="723"/>
    </row>
    <row r="128" spans="1:27" ht="21.75" customHeight="1">
      <c r="A128" s="3686" t="s">
        <v>1453</v>
      </c>
      <c r="B128" s="3686"/>
      <c r="C128" s="3686"/>
      <c r="D128" s="3686"/>
      <c r="E128" s="3686"/>
      <c r="F128" s="3686"/>
      <c r="G128" s="3686"/>
      <c r="H128" s="3686"/>
      <c r="I128" s="368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8</v>
      </c>
      <c r="H1" s="1059" t="str">
        <f>IF(ISERROR(FIND("住宅",B1)),"非住宅","住宅")</f>
        <v>非住宅</v>
      </c>
    </row>
    <row r="2" spans="1:8" s="199" customFormat="1" ht="18" customHeight="1">
      <c r="A2" s="200" t="s">
        <v>1462</v>
      </c>
      <c r="B2" s="3422">
        <f ca="1">ROUND(IF(D2="——",C52/10000,C52/10000-E2),4)</f>
        <v>3811.9306000000001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4577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1665552</v>
      </c>
      <c r="D5" s="210" t="s">
        <v>1469</v>
      </c>
      <c r="E5" s="211" t="s">
        <v>1470</v>
      </c>
      <c r="F5" s="211" t="s">
        <v>1471</v>
      </c>
      <c r="G5" s="212"/>
    </row>
    <row r="6" spans="1:8" s="213" customFormat="1" ht="13.5" customHeight="1">
      <c r="A6" s="776" t="s">
        <v>1472</v>
      </c>
      <c r="B6" s="214" t="s">
        <v>1473</v>
      </c>
      <c r="C6" s="215"/>
      <c r="D6" s="216"/>
      <c r="E6" s="217"/>
      <c r="F6" s="217"/>
      <c r="G6" s="218"/>
    </row>
    <row r="7" spans="1:8" s="213" customFormat="1" ht="13.5" customHeight="1">
      <c r="A7" s="776" t="s">
        <v>1474</v>
      </c>
      <c r="B7" s="214" t="s">
        <v>1475</v>
      </c>
      <c r="C7" s="219">
        <f>ROUND(C6*F7,0)</f>
        <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1665552</v>
      </c>
      <c r="D8" s="221"/>
      <c r="E8" s="219"/>
      <c r="F8" s="220"/>
      <c r="G8" s="1854"/>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1665552</v>
      </c>
      <c r="D10" s="843">
        <f ca="1">IF(B1="",'数据-汇总表'!E6,IF(INDIRECT("'数据-取费表'!c"&amp;$G$1)="住宅",INDIRECT("'数据-取费表'!s"&amp;$G$1),INDIRECT("'数据-取费表'!k"&amp;$G$1)+INDIRECT("'数据-取费表'!s"&amp;$G$1)))</f>
        <v>8327.76</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f ca="1">IF(G19="已包含在土地取得成本中","0",ROUND(D19*E19,0))</f>
        <v>1665552</v>
      </c>
      <c r="D19" s="847">
        <f ca="1">D9+D10</f>
        <v>8327.76</v>
      </c>
      <c r="E19" s="210">
        <f>'数据-取费表'!B31</f>
        <v>200</v>
      </c>
      <c r="F19" s="230"/>
      <c r="G19" s="1854"/>
    </row>
    <row r="20" spans="1:7" s="213" customFormat="1" ht="13.5" customHeight="1">
      <c r="A20" s="254" t="s">
        <v>1574</v>
      </c>
      <c r="B20" s="209" t="s">
        <v>1575</v>
      </c>
      <c r="C20" s="231">
        <f ca="1">ROUND((C5+C19)*F20,0)</f>
        <v>66622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128240</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6">
        <f ca="1">ROUND(IF('数据-取费表'!B22&lt;=1,C5*F22*'数据-取费表'!B22,C5*(POWER((1+F22),'数据-取费表'!B22)-1)),0)</f>
        <v>72452</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54339</v>
      </c>
      <c r="D24" s="237"/>
      <c r="E24" s="237"/>
      <c r="F24" s="238"/>
      <c r="G24" s="239" t="s">
        <v>1586</v>
      </c>
    </row>
    <row r="25" spans="1:7" s="213" customFormat="1" ht="24">
      <c r="A25" s="778" t="s">
        <v>1476</v>
      </c>
      <c r="B25" s="214" t="s">
        <v>1587</v>
      </c>
      <c r="C25" s="1126">
        <f ca="1">ROUND(IF('数据-取费表'!B22&lt;=1,C20*F22*'数据-取费表'!B22/2,C20*(POWER((1+F22),'数据-取费表'!B22/2)-1)),0)</f>
        <v>1449</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679545</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679545</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4555363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29521909</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24983280</v>
      </c>
      <c r="D34" s="216"/>
      <c r="E34" s="219"/>
      <c r="F34" s="256"/>
      <c r="G34" s="218"/>
    </row>
    <row r="35" spans="1:7" ht="13.5" customHeight="1">
      <c r="A35" s="778" t="s">
        <v>351</v>
      </c>
      <c r="B35" s="214" t="s">
        <v>1527</v>
      </c>
      <c r="C35" s="219">
        <f ca="1">ROUND(C34*F35,0)</f>
        <v>2498328</v>
      </c>
      <c r="D35" s="219"/>
      <c r="E35" s="219"/>
      <c r="F35" s="258">
        <f>'数据-取费表'!B33</f>
        <v>0.1</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1665552</v>
      </c>
      <c r="D37" s="216">
        <f ca="1">D19</f>
        <v>8327.76</v>
      </c>
      <c r="E37" s="248">
        <f>'数据-取费表'!B35</f>
        <v>200</v>
      </c>
      <c r="F37" s="258"/>
      <c r="G37" s="260"/>
    </row>
    <row r="38" spans="1:7" ht="13.5" customHeight="1">
      <c r="A38" s="778" t="s">
        <v>354</v>
      </c>
      <c r="B38" s="214" t="s">
        <v>1533</v>
      </c>
      <c r="C38" s="219">
        <f ca="1">ROUND(C34*F38,0)</f>
        <v>374749</v>
      </c>
      <c r="D38" s="219"/>
      <c r="E38" s="219"/>
      <c r="F38" s="258">
        <f>'数据-取费表'!B36</f>
        <v>1.4999999999999999E-2</v>
      </c>
      <c r="G38" s="218" t="s">
        <v>1528</v>
      </c>
    </row>
    <row r="39" spans="1:7" s="213" customFormat="1" ht="13.5" customHeight="1">
      <c r="A39" s="254" t="s">
        <v>1534</v>
      </c>
      <c r="B39" s="209" t="s">
        <v>1535</v>
      </c>
      <c r="C39" s="231">
        <f ca="1">ROUND(C33*F20,0)</f>
        <v>590438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327472</v>
      </c>
      <c r="D41" s="234">
        <f ca="1">C44</f>
        <v>2.0000000000000001E-4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321051</v>
      </c>
      <c r="D42" s="237"/>
      <c r="E42" s="237"/>
      <c r="F42" s="238"/>
      <c r="G42" s="3719" t="s">
        <v>1591</v>
      </c>
    </row>
    <row r="43" spans="1:7" ht="13.5" customHeight="1">
      <c r="A43" s="778" t="s">
        <v>347</v>
      </c>
      <c r="B43" s="214" t="s">
        <v>1545</v>
      </c>
      <c r="C43" s="237">
        <f ca="1">ROUND(IF('数据-取费表'!B22&lt;=1,C39*F22*'数据-取费表'!B20/2,C39*(POWER((1+F22),'数据-取费表'!B20/2)-1)),0)</f>
        <v>6421</v>
      </c>
      <c r="D43" s="237"/>
      <c r="E43" s="237"/>
      <c r="F43" s="238"/>
      <c r="G43" s="3720"/>
    </row>
    <row r="44" spans="1:7" ht="13.5" customHeight="1">
      <c r="A44" s="778" t="s">
        <v>348</v>
      </c>
      <c r="B44" s="214" t="s">
        <v>1546</v>
      </c>
      <c r="C44" s="237">
        <f ca="1">ROUND(IF('数据-取费表'!B22&lt;=1,C40*F22*'数据-取费表'!B20/2,C40*(POWER((1+F22),'数据-取费表'!B20/2)-1)),4)</f>
        <v>2.0000000000000001E-4</v>
      </c>
      <c r="D44" s="237"/>
      <c r="E44" s="237"/>
      <c r="F44" s="238"/>
      <c r="G44" s="3721"/>
    </row>
    <row r="45" spans="1:7" s="213" customFormat="1" ht="13.5" customHeight="1">
      <c r="A45" s="254" t="s">
        <v>1547</v>
      </c>
      <c r="B45" s="243" t="s">
        <v>1513</v>
      </c>
      <c r="C45" s="244">
        <f ca="1">C46</f>
        <v>6022469</v>
      </c>
      <c r="D45" s="234">
        <f ca="1">C47</f>
        <v>4.0000000000000001E-3</v>
      </c>
      <c r="E45" s="235" t="s">
        <v>1539</v>
      </c>
      <c r="F45" s="245">
        <f ca="1">F27</f>
        <v>0.2</v>
      </c>
      <c r="G45" s="246" t="s">
        <v>1548</v>
      </c>
    </row>
    <row r="46" spans="1:7" s="213" customFormat="1" ht="13.5" customHeight="1">
      <c r="A46" s="778" t="s">
        <v>346</v>
      </c>
      <c r="B46" s="247" t="s">
        <v>1549</v>
      </c>
      <c r="C46" s="248">
        <f ca="1">ROUND((C33+C39)*F27,0)</f>
        <v>6022469</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39486992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33563943</v>
      </c>
      <c r="D51" s="231"/>
      <c r="E51" s="231"/>
      <c r="F51" s="263"/>
      <c r="G51" s="233" t="s">
        <v>1560</v>
      </c>
    </row>
    <row r="52" spans="1:7" s="207" customFormat="1" ht="16.5" thickBot="1">
      <c r="A52" s="264" t="s">
        <v>1561</v>
      </c>
      <c r="B52" s="265"/>
      <c r="C52" s="266">
        <f ca="1">C31+C51</f>
        <v>38119306</v>
      </c>
      <c r="D52" s="265"/>
      <c r="E52" s="265"/>
      <c r="F52" s="265"/>
      <c r="G52" s="267"/>
    </row>
    <row r="55" spans="1:7" ht="15">
      <c r="B55" s="269" t="s">
        <v>1562</v>
      </c>
      <c r="C55" s="270"/>
    </row>
    <row r="56" spans="1:7">
      <c r="B56" s="272" t="s">
        <v>802</v>
      </c>
      <c r="C56" s="274">
        <f ca="1">1-C57</f>
        <v>0.12</v>
      </c>
    </row>
    <row r="57" spans="1:7">
      <c r="B57" s="272" t="s">
        <v>803</v>
      </c>
      <c r="C57" s="273">
        <f ca="1">ROUND(C51/C52,3)</f>
        <v>0.88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6" t="str">
        <f>项目基本情况!B1</f>
        <v>北京市房地产市场价值预评估</v>
      </c>
      <c r="C37" s="3536"/>
      <c r="D37" s="3536"/>
      <c r="E37" s="3536"/>
      <c r="F37" s="3536"/>
      <c r="G37" s="3536"/>
      <c r="H37" s="3536"/>
      <c r="I37" s="353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4"/>
      <c r="F1" s="2804"/>
      <c r="G1" s="2669"/>
      <c r="H1" s="2804"/>
      <c r="I1" s="2804"/>
      <c r="J1" s="2804"/>
      <c r="K1" s="2805">
        <f>MATCH(C1,'数据-取费表'!A6:A16,0)+5</f>
        <v>8</v>
      </c>
    </row>
    <row r="2" spans="1:33" ht="18" customHeight="1">
      <c r="A2" s="200" t="s">
        <v>1462</v>
      </c>
      <c r="B2" s="203">
        <f ca="1">C32</f>
        <v>-198</v>
      </c>
      <c r="C2" s="275" t="s">
        <v>1595</v>
      </c>
      <c r="D2" s="275"/>
      <c r="E2" s="2804"/>
      <c r="F2" s="2804"/>
      <c r="G2" s="2804"/>
      <c r="H2" s="2804"/>
      <c r="I2" s="2804"/>
      <c r="J2" s="2804"/>
      <c r="K2" s="2804"/>
    </row>
    <row r="3" spans="1:33" ht="18" customHeight="1" thickBot="1">
      <c r="A3" s="202" t="s">
        <v>1464</v>
      </c>
      <c r="B3" s="203">
        <f ca="1">ROUND(B2*10000/IF(C1="",'数据-汇总表'!E3,INDIRECT("'数据-取费表'!K"&amp;$K$1)),0)</f>
        <v>-238</v>
      </c>
      <c r="C3" s="275" t="s">
        <v>1596</v>
      </c>
      <c r="D3" s="275"/>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0">
        <f ca="1">ROUND(C11*F12,0)</f>
        <v>0</v>
      </c>
      <c r="D12" s="800"/>
      <c r="E12" s="328"/>
      <c r="F12" s="810">
        <f>'数据-取费表'!B33</f>
        <v>0.1</v>
      </c>
      <c r="G12" s="5" t="s">
        <v>1614</v>
      </c>
      <c r="H12" s="795"/>
      <c r="I12" s="795"/>
      <c r="J12" s="795"/>
      <c r="K12" s="796"/>
    </row>
    <row r="13" spans="1:33" s="801" customFormat="1" ht="13.5" customHeight="1">
      <c r="A13" s="798" t="s">
        <v>637</v>
      </c>
      <c r="B13" s="799" t="s">
        <v>1615</v>
      </c>
      <c r="C13" s="20">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0">
        <f ca="1">ROUND(D14*E14*F11/10000,0)</f>
        <v>0</v>
      </c>
      <c r="D14" s="844">
        <f ca="1">IF(C1="",'数据-汇总表'!E3,INDIRECT("'数据-取费表'!K"&amp;$K$1)+INDIRECT("'数据-取费表'!S"&amp;$K$1))</f>
        <v>8327.76</v>
      </c>
      <c r="E14" s="20">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0">
        <f ca="1">ROUND(D17*E17/10000,0)</f>
        <v>0</v>
      </c>
      <c r="D17" s="844">
        <f ca="1">D14</f>
        <v>8327.76</v>
      </c>
      <c r="E17" s="20">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0">
        <f ca="1">C19+C20-IF(C1="",'数据-取费表'!B29,IF(G18="已全部缴纳",C19+C20,H18))</f>
        <v>167</v>
      </c>
      <c r="D18" s="844"/>
      <c r="E18" s="20"/>
      <c r="F18" s="802"/>
      <c r="G18" s="1860"/>
      <c r="H18" s="1185"/>
      <c r="I18" s="1861" t="s">
        <v>1625</v>
      </c>
      <c r="J18" s="805"/>
      <c r="K18" s="806"/>
    </row>
    <row r="19" spans="1:33" s="801" customFormat="1" ht="13.5" customHeight="1">
      <c r="A19" s="798" t="s">
        <v>360</v>
      </c>
      <c r="B19" s="799" t="s">
        <v>1626</v>
      </c>
      <c r="C19" s="20">
        <f ca="1">ROUND(D19*E19/10000,0)</f>
        <v>0</v>
      </c>
      <c r="D19" s="844">
        <f ca="1">IF(C1="",'数据-汇总表'!E5,IF(INDIRECT("'数据-取费表'!c"&amp;$K$1)="住宅",INDIRECT("'数据-取费表'!k"&amp;$K$1),0))</f>
        <v>0</v>
      </c>
      <c r="E19" s="20">
        <f>'数据-取费表'!B27</f>
        <v>160</v>
      </c>
      <c r="F19" s="802"/>
      <c r="G19" s="11"/>
      <c r="H19" s="1187"/>
      <c r="I19" s="807"/>
      <c r="J19" s="807"/>
      <c r="K19" s="808"/>
    </row>
    <row r="20" spans="1:33" s="801" customFormat="1" ht="13.5" customHeight="1">
      <c r="A20" s="798" t="s">
        <v>361</v>
      </c>
      <c r="B20" s="799" t="s">
        <v>1627</v>
      </c>
      <c r="C20" s="20">
        <f ca="1">ROUND(D20*E20/10000,0)</f>
        <v>167</v>
      </c>
      <c r="D20" s="844">
        <f ca="1">IF(C1="",'数据-汇总表'!E6,IF(INDIRECT("'数据-取费表'!c"&amp;$K$1)="住宅",INDIRECT("'数据-取费表'!s"&amp;$K$1),INDIRECT("'数据-取费表'!k"&amp;$K$1)+INDIRECT("'数据-取费表'!s"&amp;$K$1)))</f>
        <v>8327.76</v>
      </c>
      <c r="E20" s="20">
        <f>'数据-取费表'!B28</f>
        <v>200</v>
      </c>
      <c r="F20" s="802"/>
      <c r="G20" s="11"/>
      <c r="H20" s="807"/>
      <c r="I20" s="807"/>
      <c r="J20" s="807"/>
      <c r="K20" s="808"/>
    </row>
    <row r="21" spans="1:33" s="801" customFormat="1" ht="13.5" customHeight="1">
      <c r="A21" s="788" t="s">
        <v>357</v>
      </c>
      <c r="B21" s="811" t="s">
        <v>1628</v>
      </c>
      <c r="C21" s="812">
        <f ca="1">C16+C17+C18</f>
        <v>167</v>
      </c>
      <c r="D21" s="813"/>
      <c r="E21" s="280"/>
      <c r="F21" s="280"/>
      <c r="G21" s="130" t="s">
        <v>1629</v>
      </c>
      <c r="H21" s="805"/>
      <c r="I21" s="805"/>
      <c r="J21" s="805"/>
      <c r="K21" s="806"/>
    </row>
    <row r="22" spans="1:33" s="801" customFormat="1" ht="13.5" customHeight="1">
      <c r="A22" s="788" t="s">
        <v>1601</v>
      </c>
      <c r="B22" s="811" t="s">
        <v>1630</v>
      </c>
      <c r="C22" s="812">
        <f ca="1">ROUND(C21*F22,0)</f>
        <v>3</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34</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34</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-198</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C55" sqref="C5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3521</v>
      </c>
      <c r="D1" s="1360" t="s">
        <v>43</v>
      </c>
      <c r="E1" s="1361" t="s">
        <v>678</v>
      </c>
      <c r="F1" s="1060">
        <f ca="1">J53</f>
        <v>50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5273</v>
      </c>
      <c r="C2" s="1385" t="s">
        <v>805</v>
      </c>
      <c r="D2" s="1385"/>
      <c r="E2" s="1386"/>
      <c r="F2" s="1387"/>
      <c r="G2" s="2704"/>
      <c r="H2" s="2693"/>
      <c r="I2" s="2693"/>
      <c r="J2" s="2693"/>
      <c r="K2" s="2694"/>
      <c r="L2" s="2693"/>
      <c r="M2" s="2693"/>
    </row>
    <row r="3" spans="1:37" ht="18" customHeight="1" thickBot="1">
      <c r="A3" s="1388" t="s">
        <v>806</v>
      </c>
      <c r="B3" s="1389">
        <f ca="1">IF(ISERROR(B2*10000/F43),0,ROUND(B2*10000/F43,0))</f>
        <v>6332</v>
      </c>
      <c r="C3" s="1385" t="s">
        <v>807</v>
      </c>
      <c r="D3" s="1385"/>
      <c r="E3" s="1386"/>
      <c r="F3" s="1387"/>
      <c r="G3" s="2704"/>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493</v>
      </c>
      <c r="D5" s="1362" t="s">
        <v>693</v>
      </c>
      <c r="E5" s="1069"/>
      <c r="F5" s="1070"/>
      <c r="G5" s="1382"/>
      <c r="H5" s="298">
        <v>1</v>
      </c>
      <c r="I5" s="299" t="s">
        <v>692</v>
      </c>
      <c r="J5" s="1068">
        <f ca="1">J6+J10+J12</f>
        <v>0</v>
      </c>
      <c r="K5" s="1362" t="s">
        <v>693</v>
      </c>
      <c r="L5" s="1069"/>
      <c r="M5" s="1070"/>
    </row>
    <row r="6" spans="1:37" ht="18" customHeight="1">
      <c r="A6" s="1067" t="s">
        <v>398</v>
      </c>
      <c r="B6" s="3724" t="s">
        <v>694</v>
      </c>
      <c r="C6" s="1072">
        <f ca="1">ROUND(F6*F8*F7*(1-F9)/10000,0)</f>
        <v>492</v>
      </c>
      <c r="D6" s="154" t="s">
        <v>2109</v>
      </c>
      <c r="E6" s="301" t="s">
        <v>696</v>
      </c>
      <c r="F6" s="302">
        <f ca="1">INDIRECT("'数据-取费表'!u"&amp;$G$1)</f>
        <v>1.8</v>
      </c>
      <c r="G6" s="1382"/>
      <c r="H6" s="1067" t="s">
        <v>398</v>
      </c>
      <c r="I6" s="3724" t="s">
        <v>694</v>
      </c>
      <c r="J6" s="300">
        <f ca="1">ROUND(M6*M8*M7*(1-M9)/10000,0)</f>
        <v>0</v>
      </c>
      <c r="K6" s="154" t="s">
        <v>2108</v>
      </c>
      <c r="L6" s="301" t="s">
        <v>696</v>
      </c>
      <c r="M6" s="302">
        <f ca="1">INDIRECT("'数据-取费表'!z"&amp;$G$1)</f>
        <v>0</v>
      </c>
    </row>
    <row r="7" spans="1:37" ht="18" customHeight="1">
      <c r="A7" s="1071"/>
      <c r="B7" s="3725"/>
      <c r="C7" s="1073"/>
      <c r="D7" s="306"/>
      <c r="E7" s="1074" t="s">
        <v>697</v>
      </c>
      <c r="F7" s="302">
        <f ca="1">IF(INDIRECT("'数据-取费表'!ah"&amp;$G$1)="",INDIRECT("'数据-取费表'!k"&amp;$G$1),INDIRECT("'数据-取费表'!ah"&amp;$G$1))</f>
        <v>8327.76</v>
      </c>
      <c r="G7" s="1382"/>
      <c r="H7" s="303"/>
      <c r="I7" s="3725"/>
      <c r="J7" s="305"/>
      <c r="K7" s="306"/>
      <c r="L7" s="301" t="s">
        <v>697</v>
      </c>
      <c r="M7" s="302">
        <f ca="1">F7</f>
        <v>8327.76</v>
      </c>
    </row>
    <row r="8" spans="1:37" ht="18" customHeight="1">
      <c r="A8" s="303"/>
      <c r="B8" s="3725"/>
      <c r="C8" s="305"/>
      <c r="D8" s="306"/>
      <c r="E8" s="301" t="s">
        <v>698</v>
      </c>
      <c r="F8" s="302">
        <f ca="1">INDIRECT("'数据-取费表'!ai"&amp;$G$1)</f>
        <v>365</v>
      </c>
      <c r="G8" s="1382"/>
      <c r="H8" s="303"/>
      <c r="I8" s="3725"/>
      <c r="J8" s="305"/>
      <c r="K8" s="306"/>
      <c r="L8" s="301" t="s">
        <v>698</v>
      </c>
      <c r="M8" s="302">
        <f ca="1">INDIRECT("'数据-取费表'!ai"&amp;$G$1)</f>
        <v>365</v>
      </c>
    </row>
    <row r="9" spans="1:37" ht="18" customHeight="1">
      <c r="A9" s="303"/>
      <c r="B9" s="3726"/>
      <c r="C9" s="305"/>
      <c r="D9" s="306"/>
      <c r="E9" s="301" t="s">
        <v>699</v>
      </c>
      <c r="F9" s="311">
        <f ca="1">INDIRECT("'数据-取费表'!w"&amp;$G$1)</f>
        <v>0.1</v>
      </c>
      <c r="G9" s="1382"/>
      <c r="H9" s="303"/>
      <c r="I9" s="3726"/>
      <c r="J9" s="305"/>
      <c r="K9" s="306"/>
      <c r="L9" s="312" t="s">
        <v>699</v>
      </c>
      <c r="M9" s="313">
        <f ca="1">INDIRECT("'数据-取费表'!ab"&amp;$G$1)</f>
        <v>0</v>
      </c>
    </row>
    <row r="10" spans="1:37" ht="18" customHeight="1">
      <c r="A10" s="1067" t="s">
        <v>402</v>
      </c>
      <c r="B10" s="1363" t="s">
        <v>700</v>
      </c>
      <c r="C10" s="315">
        <f ca="1">ROUND(IF(F10="押一",C6/12*F11,IF(F10="押二",C6/12*2*F11,IF(F10="押三",C6/12*3*F11,C11*F11))),0)</f>
        <v>1</v>
      </c>
      <c r="D10" s="1364" t="s">
        <v>2117</v>
      </c>
      <c r="E10" s="312" t="s">
        <v>701</v>
      </c>
      <c r="F10" s="1114" t="s">
        <v>3526</v>
      </c>
      <c r="G10" s="1382"/>
      <c r="H10" s="1067" t="s">
        <v>402</v>
      </c>
      <c r="I10" s="1363" t="s">
        <v>700</v>
      </c>
      <c r="J10" s="300">
        <f ca="1">ROUND(IF(M10="押一",J6/12*M11,IF(M10="押二",J6/12*2*M11,IF(M10="押三",J6/12*3*M11,J11*M11))),0)</f>
        <v>0</v>
      </c>
      <c r="K10" s="1364" t="s">
        <v>2116</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3356</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2498</v>
      </c>
      <c r="D14" s="1343" t="s">
        <v>708</v>
      </c>
      <c r="E14" s="1340"/>
      <c r="F14" s="318"/>
      <c r="G14" s="1382"/>
      <c r="H14" s="980" t="s">
        <v>398</v>
      </c>
      <c r="I14" s="301" t="s">
        <v>709</v>
      </c>
      <c r="J14" s="20">
        <f ca="1">C29</f>
        <v>3948</v>
      </c>
      <c r="K14" s="11"/>
      <c r="L14" s="805"/>
      <c r="M14" s="806"/>
    </row>
    <row r="15" spans="1:37" s="1395" customFormat="1" ht="18" customHeight="1" thickBot="1">
      <c r="A15" s="980" t="s">
        <v>399</v>
      </c>
      <c r="B15" s="301" t="s">
        <v>710</v>
      </c>
      <c r="C15" s="20">
        <f ca="1">ROUND(C14*F15,0)</f>
        <v>250</v>
      </c>
      <c r="D15" s="319" t="s">
        <v>711</v>
      </c>
      <c r="E15" s="319" t="s">
        <v>712</v>
      </c>
      <c r="F15" s="320">
        <f>'数据-取费表'!B33</f>
        <v>0.1</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0">
        <f ca="1">ROUND(INDIRECT("'数据-取费表'!m"&amp;$G$1)*F16,0)</f>
        <v>0</v>
      </c>
      <c r="D16" s="301" t="s">
        <v>711</v>
      </c>
      <c r="E16" s="301" t="s">
        <v>712</v>
      </c>
      <c r="F16" s="321">
        <f ca="1">IF(INDIRECT("'数据-取费表'!c"&amp;$G$1)="住宅",'数据-取费表'!B34,0)</f>
        <v>0</v>
      </c>
      <c r="G16" s="1382"/>
      <c r="H16" s="1077" t="s">
        <v>393</v>
      </c>
      <c r="I16" s="1078" t="s">
        <v>714</v>
      </c>
      <c r="J16" s="309">
        <f ca="1">ROUND(J17+J22+J23+J24,0)</f>
        <v>67</v>
      </c>
      <c r="K16" s="1085" t="s">
        <v>715</v>
      </c>
      <c r="L16" s="1086"/>
      <c r="M16" s="1070"/>
    </row>
    <row r="17" spans="1:37" s="1395" customFormat="1" ht="18" customHeight="1">
      <c r="A17" s="980" t="s">
        <v>681</v>
      </c>
      <c r="B17" s="301" t="s">
        <v>716</v>
      </c>
      <c r="C17" s="20">
        <f ca="1">ROUND(F17*(F43+INDIRECT("'数据-取费表'!S"&amp;$G$1))/10000,0)</f>
        <v>167</v>
      </c>
      <c r="D17" s="301" t="s">
        <v>717</v>
      </c>
      <c r="E17" s="301" t="s">
        <v>718</v>
      </c>
      <c r="F17" s="22">
        <f>'数据-取费表'!B35</f>
        <v>200</v>
      </c>
      <c r="G17" s="1394"/>
      <c r="H17" s="980" t="s">
        <v>398</v>
      </c>
      <c r="I17" s="301" t="s">
        <v>719</v>
      </c>
      <c r="J17" s="2314">
        <f ca="1">ROUND(IF(AND(项目基本情况!B11="自然人",项目基本情况!B10="北京市"),J6*M17/(1+'数据-取费表'!C42),J18+J19+J20),2)</f>
        <v>7.97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0">
        <f ca="1">ROUND(C14*F18,0)</f>
        <v>37</v>
      </c>
      <c r="D18" s="301" t="s">
        <v>711</v>
      </c>
      <c r="E18" s="301" t="s">
        <v>712</v>
      </c>
      <c r="F18" s="321">
        <f>'数据-取费表'!B36</f>
        <v>1.4999999999999999E-2</v>
      </c>
      <c r="G18" s="1394"/>
      <c r="H18" s="980" t="s">
        <v>397</v>
      </c>
      <c r="I18" s="301" t="s">
        <v>723</v>
      </c>
      <c r="J18" s="20">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0">
        <f ca="1">SUM(C14:C18)</f>
        <v>2952</v>
      </c>
      <c r="D19" s="130" t="s">
        <v>726</v>
      </c>
      <c r="E19" s="1358"/>
      <c r="F19" s="22"/>
      <c r="G19" s="1382"/>
      <c r="H19" s="980" t="s">
        <v>399</v>
      </c>
      <c r="I19" s="301" t="s">
        <v>727</v>
      </c>
      <c r="J19" s="20">
        <f ca="1">IF(K19="按租金收入计税",ROUND(J6*M19/(1+'数据-取费表'!C42),2),ROUND(C29*M19*0.7,2))</f>
        <v>0</v>
      </c>
      <c r="K19" s="1368" t="s">
        <v>3339</v>
      </c>
      <c r="L19" s="301" t="s">
        <v>712</v>
      </c>
      <c r="M19" s="321">
        <f>IF(K19="按租金收入计税",'数据-取费表'!B51,'数据-取费表'!B50)</f>
        <v>0.12</v>
      </c>
    </row>
    <row r="20" spans="1:37" s="1395" customFormat="1" ht="18" customHeight="1">
      <c r="A20" s="980" t="s">
        <v>402</v>
      </c>
      <c r="B20" s="301" t="s">
        <v>728</v>
      </c>
      <c r="C20" s="20">
        <f ca="1">ROUND(C19*F20,0)</f>
        <v>59</v>
      </c>
      <c r="D20" s="322" t="s">
        <v>729</v>
      </c>
      <c r="E20" s="301" t="s">
        <v>712</v>
      </c>
      <c r="F20" s="321">
        <f>'数据-取费表'!B37</f>
        <v>0.02</v>
      </c>
      <c r="G20" s="1394"/>
      <c r="H20" s="980" t="s">
        <v>680</v>
      </c>
      <c r="I20" s="154" t="s">
        <v>730</v>
      </c>
      <c r="J20" s="21">
        <f ca="1">ROUND(M20*M21/10000,2)</f>
        <v>7.97</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0" t="s">
        <v>15</v>
      </c>
      <c r="D21" s="322" t="s">
        <v>734</v>
      </c>
      <c r="E21" s="301" t="s">
        <v>735</v>
      </c>
      <c r="F21" s="321">
        <f>'数据-取费表'!B38</f>
        <v>0.02</v>
      </c>
      <c r="G21" s="1394"/>
      <c r="H21" s="325"/>
      <c r="I21" s="310"/>
      <c r="J21" s="25"/>
      <c r="K21" s="326"/>
      <c r="L21" s="301" t="s">
        <v>736</v>
      </c>
      <c r="M21" s="302">
        <f ca="1">INDIRECT("'数据-取费表'!r"&amp;$G$1)</f>
        <v>53147.14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0"/>
      <c r="D22" s="130" t="str">
        <f>IF(F23&lt;=1,"单利计息。","复利计息。")&amp;"建造成本、管理费用、销售费用产生的利息。"</f>
        <v>单利计息。建造成本、管理费用、销售费用产生的利息。</v>
      </c>
      <c r="E22" s="1358"/>
      <c r="F22" s="22"/>
      <c r="G22" s="1382"/>
      <c r="H22" s="980" t="s">
        <v>402</v>
      </c>
      <c r="I22" s="301" t="s">
        <v>738</v>
      </c>
      <c r="J22" s="20">
        <f ca="1">ROUND(J14*M22,2)</f>
        <v>59.22</v>
      </c>
      <c r="K22" s="1342" t="s">
        <v>739</v>
      </c>
      <c r="L22" s="301" t="s">
        <v>712</v>
      </c>
      <c r="M22" s="327">
        <f ca="1">INDIRECT("'数据-取费表'!Ak"&amp;$G$1)</f>
        <v>1.4999999999999999E-2</v>
      </c>
    </row>
    <row r="23" spans="1:37" s="1395" customFormat="1" ht="18" customHeight="1">
      <c r="A23" s="980" t="s">
        <v>397</v>
      </c>
      <c r="B23" s="301" t="s">
        <v>740</v>
      </c>
      <c r="C23" s="20">
        <f ca="1">IF('数据-取费表'!B22&lt;=1,ROUND(C19*F24*F23/2,0)+ROUND(C20*F24*F23/2,0),ROUND(C19*(POWER((1+F24),F23/2)-1),0)+ROUND(C20*(POWER((1+F24),F23/2)-1),0))</f>
        <v>33</v>
      </c>
      <c r="D23" s="328" t="str">
        <f>IF(F23&lt;=1,"(建造成本+管理费用)×利率×(建设周期÷2)","(建造成本+管理费用)×((1+利率)^(建设周期÷2)-1)")</f>
        <v>(建造成本+管理费用)×利率×(建设周期÷2)</v>
      </c>
      <c r="E23" s="301" t="s">
        <v>741</v>
      </c>
      <c r="F23" s="324">
        <f>'数据-取费表'!B20</f>
        <v>0.5</v>
      </c>
      <c r="G23" s="1394"/>
      <c r="H23" s="980" t="s">
        <v>437</v>
      </c>
      <c r="I23" s="301" t="s">
        <v>742</v>
      </c>
      <c r="J23" s="20">
        <f ca="1">ROUND(J13*M23,2)</f>
        <v>0</v>
      </c>
      <c r="K23" s="1342" t="s">
        <v>743</v>
      </c>
      <c r="L23" s="301" t="s">
        <v>744</v>
      </c>
      <c r="M23" s="329">
        <f ca="1">INDIRECT("'数据-取费表'!Al"&amp;$G$1)</f>
        <v>3.0000000000000001E-3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0">
        <f ca="1">ROUND(IF('数据-取费表'!B22&lt;=1,F21*F24*F23/2,F21*(POWER((1+F24),F23/2)-1)),4)</f>
        <v>2.0000000000000001E-4</v>
      </c>
      <c r="D24" s="328" t="str">
        <f>IF(F23&lt;=1,"销售费用×利率×(建设周期÷2)","销售费用×((1+利率)^(建设周期÷2)-1)")</f>
        <v>销售费用×利率×(建设周期÷2)</v>
      </c>
      <c r="E24" s="301" t="s">
        <v>747</v>
      </c>
      <c r="F24" s="330">
        <f ca="1">'数据-取费表'!B40</f>
        <v>4.3499999999999997E-2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0"/>
      <c r="D25" s="130" t="s">
        <v>751</v>
      </c>
      <c r="E25" s="1358"/>
      <c r="F25" s="22"/>
      <c r="G25" s="1382"/>
      <c r="H25" s="1077" t="s">
        <v>394</v>
      </c>
      <c r="I25" s="1092" t="s">
        <v>752</v>
      </c>
      <c r="J25" s="309">
        <f ca="1">J5-J16</f>
        <v>-67</v>
      </c>
      <c r="K25" s="1093" t="s">
        <v>753</v>
      </c>
      <c r="L25" s="1094"/>
      <c r="M25" s="1095"/>
    </row>
    <row r="26" spans="1:37">
      <c r="A26" s="980" t="s">
        <v>397</v>
      </c>
      <c r="B26" s="301" t="s">
        <v>754</v>
      </c>
      <c r="C26" s="20">
        <f ca="1">ROUND((C19+C20)*F26,0)</f>
        <v>602</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4.4999999999999998E-2</v>
      </c>
    </row>
    <row r="27" spans="1:37" ht="18" customHeight="1">
      <c r="A27" s="980" t="s">
        <v>399</v>
      </c>
      <c r="B27" s="301" t="s">
        <v>760</v>
      </c>
      <c r="C27" s="20">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3948</v>
      </c>
      <c r="D29" s="1090"/>
      <c r="E29" s="1088"/>
      <c r="F29" s="1091"/>
      <c r="G29" s="1394"/>
      <c r="H29" s="333" t="s">
        <v>396</v>
      </c>
      <c r="I29" s="334" t="s">
        <v>768</v>
      </c>
      <c r="J29" s="335">
        <f ca="1">ROUND(J26/(1+F40)^F41,0)</f>
        <v>0</v>
      </c>
      <c r="K29" s="336" t="s">
        <v>769</v>
      </c>
      <c r="L29" s="337"/>
      <c r="M29" s="338">
        <f ca="1">INDIRECT("'数据-取费表'!k"&amp;$G$1)</f>
        <v>8327.76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164</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ROUND(IF(AND(项目基本情况!B11="自然人",项目基本情况!B10="北京市"),C6*F31/(1+'数据-取费表'!C42),C32+C33+C34),2)</f>
        <v>89.97</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0">
        <f ca="1">IF(项目基本情况!B11="自然人","——",ROUND(C6*F32/(1+'数据-取费表'!C42),2))</f>
        <v>25.77</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0">
        <f ca="1">IF(项目基本情况!B11="自然人","——",IF(D33="按租金收入计税",ROUND(C6*F33/(1+'数据-取费表'!C42),2),IF(D33="按房产原值计税",ROUND(C29*F33*0.7,2),INDIRECT("'数据-取费表'!Aj"&amp;$G$1))))</f>
        <v>56.23</v>
      </c>
      <c r="D33" s="1368" t="s">
        <v>3339</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1">
        <f ca="1">IF(项目基本情况!B11="自然人","——",ROUND(F34*F35/10000,2))</f>
        <v>7.97</v>
      </c>
      <c r="D34" s="323" t="s">
        <v>731</v>
      </c>
      <c r="E34" s="301" t="s">
        <v>732</v>
      </c>
      <c r="F34" s="324">
        <f>'数据-取费表'!B52</f>
        <v>1.5</v>
      </c>
      <c r="G34" s="1382"/>
      <c r="H34" s="2695"/>
      <c r="I34" s="1396"/>
      <c r="J34" s="1397"/>
      <c r="K34" s="2700"/>
      <c r="L34" s="2701"/>
      <c r="M34" s="2701"/>
    </row>
    <row r="35" spans="1:18" ht="18" customHeight="1">
      <c r="A35" s="1101"/>
      <c r="B35" s="1099"/>
      <c r="C35" s="25"/>
      <c r="D35" s="326"/>
      <c r="E35" s="301" t="s">
        <v>736</v>
      </c>
      <c r="F35" s="302">
        <f ca="1">INDIRECT("'数据-取费表'!r"&amp;$G$1)</f>
        <v>53147.14</v>
      </c>
      <c r="G35" s="1382"/>
      <c r="H35" s="2695"/>
      <c r="I35" s="1396"/>
      <c r="J35" s="1397"/>
      <c r="K35" s="2699"/>
      <c r="L35" s="2698"/>
      <c r="M35" s="2698"/>
    </row>
    <row r="36" spans="1:18" ht="18" customHeight="1">
      <c r="A36" s="1100" t="s">
        <v>402</v>
      </c>
      <c r="B36" s="301" t="s">
        <v>738</v>
      </c>
      <c r="C36" s="20">
        <f ca="1">ROUND(C29*F36,2)</f>
        <v>59.22</v>
      </c>
      <c r="D36" s="1342" t="s">
        <v>771</v>
      </c>
      <c r="E36" s="301" t="s">
        <v>712</v>
      </c>
      <c r="F36" s="327">
        <f ca="1">INDIRECT("'数据-取费表'!Ak"&amp;$G$1)</f>
        <v>1.4999999999999999E-2</v>
      </c>
      <c r="G36" s="1382"/>
      <c r="H36" s="2698"/>
      <c r="I36" s="1396"/>
      <c r="J36" s="1397"/>
      <c r="K36" s="2542"/>
      <c r="L36" s="2698"/>
      <c r="M36" s="2698"/>
    </row>
    <row r="37" spans="1:18" ht="18" customHeight="1">
      <c r="A37" s="980" t="s">
        <v>437</v>
      </c>
      <c r="B37" s="301" t="s">
        <v>742</v>
      </c>
      <c r="C37" s="20">
        <f ca="1">ROUND(C13*F37,2)</f>
        <v>10.07</v>
      </c>
      <c r="D37" s="1342" t="s">
        <v>743</v>
      </c>
      <c r="E37" s="301" t="s">
        <v>744</v>
      </c>
      <c r="F37" s="329">
        <f ca="1">INDIRECT("'数据-取费表'!Al"&amp;$G$1)</f>
        <v>3.0000000000000001E-3</v>
      </c>
      <c r="G37" s="1382"/>
      <c r="H37" s="2698"/>
      <c r="I37" s="1396"/>
      <c r="J37" s="1397"/>
      <c r="K37" s="2542"/>
      <c r="L37" s="2698"/>
      <c r="M37" s="2698"/>
    </row>
    <row r="38" spans="1:18" ht="18" customHeight="1" thickBot="1">
      <c r="A38" s="1087" t="s">
        <v>684</v>
      </c>
      <c r="B38" s="1088" t="s">
        <v>728</v>
      </c>
      <c r="C38" s="1089">
        <f ca="1">ROUND(C5*F38,2)</f>
        <v>4.93</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09">
        <f ca="1">C5-C30</f>
        <v>329</v>
      </c>
      <c r="D39" s="1093" t="s">
        <v>773</v>
      </c>
      <c r="E39" s="1094"/>
      <c r="F39" s="1095"/>
      <c r="G39" s="1382"/>
      <c r="H39" s="2698"/>
      <c r="I39" s="1396"/>
      <c r="J39" s="1397"/>
      <c r="K39" s="2702"/>
      <c r="L39" s="2698"/>
      <c r="M39" s="2698"/>
    </row>
    <row r="40" spans="1:18" ht="18" customHeight="1">
      <c r="A40" s="298" t="s">
        <v>395</v>
      </c>
      <c r="B40" s="299" t="s">
        <v>774</v>
      </c>
      <c r="C40" s="300">
        <f ca="1">ROUND(C39*(1-((1+F42)/(1+F40))^F41)/(F40-F42),0)</f>
        <v>5273</v>
      </c>
      <c r="D40" s="323" t="s">
        <v>758</v>
      </c>
      <c r="E40" s="301" t="s">
        <v>759</v>
      </c>
      <c r="F40" s="311">
        <f ca="1">INDIRECT("'数据-取费表'!I"&amp;$G$1)</f>
        <v>4.4999999999999998E-2</v>
      </c>
      <c r="G40" s="1382"/>
      <c r="H40" s="1459"/>
      <c r="I40" s="1396"/>
      <c r="J40" s="1397"/>
      <c r="K40" s="2702"/>
      <c r="L40" s="1459"/>
      <c r="M40" s="1459"/>
    </row>
    <row r="41" spans="1:18" ht="18" customHeight="1">
      <c r="A41" s="303"/>
      <c r="B41" s="304"/>
      <c r="C41" s="305"/>
      <c r="D41" s="331" t="s">
        <v>775</v>
      </c>
      <c r="E41" s="301" t="s">
        <v>763</v>
      </c>
      <c r="F41" s="3515">
        <v>20</v>
      </c>
      <c r="G41" s="1382"/>
      <c r="H41" s="1189"/>
      <c r="I41" s="1396"/>
      <c r="J41" s="1397"/>
      <c r="K41" s="2542"/>
      <c r="L41" s="1189"/>
      <c r="M41" s="1189"/>
    </row>
    <row r="42" spans="1:18" ht="18" customHeight="1">
      <c r="A42" s="307"/>
      <c r="B42" s="308"/>
      <c r="C42" s="309"/>
      <c r="D42" s="326"/>
      <c r="E42" s="301" t="s">
        <v>766</v>
      </c>
      <c r="F42" s="311">
        <f ca="1">INDIRECT("'数据-取费表'!v"&amp;$G$1)</f>
        <v>2.5000000000000001E-2</v>
      </c>
      <c r="G42" s="1382"/>
      <c r="H42" s="1189"/>
      <c r="I42" s="1396"/>
      <c r="J42" s="1397"/>
      <c r="K42" s="2542"/>
      <c r="L42" s="1189"/>
      <c r="M42" s="1189"/>
    </row>
    <row r="43" spans="1:18" ht="18" customHeight="1" thickBot="1">
      <c r="A43" s="333" t="s">
        <v>396</v>
      </c>
      <c r="B43" s="334" t="s">
        <v>776</v>
      </c>
      <c r="C43" s="335">
        <f ca="1">ROUND(C40*10000/F43,0)</f>
        <v>6332</v>
      </c>
      <c r="D43" s="336" t="s">
        <v>777</v>
      </c>
      <c r="E43" s="337" t="s">
        <v>778</v>
      </c>
      <c r="F43" s="338">
        <f ca="1">INDIRECT("'数据-取费表'!k"&amp;$G$1)</f>
        <v>8327.76</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-6275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3527</v>
      </c>
      <c r="K47" s="1414" t="s">
        <v>816</v>
      </c>
      <c r="L47" s="1415">
        <f ca="1">INDIRECT("'数据-取费表'!d"&amp;$G$1)</f>
        <v>50</v>
      </c>
      <c r="M47" s="1378" t="str">
        <f>IF(ISNUMBER(FIND("住宅",C1)),"住宅","非住宅")</f>
        <v>非住宅</v>
      </c>
      <c r="O47" s="1416" t="s">
        <v>403</v>
      </c>
      <c r="P47" s="1417" t="s">
        <v>817</v>
      </c>
      <c r="Q47" s="1418">
        <f ca="1">C40+J29</f>
        <v>5273</v>
      </c>
      <c r="R47" s="1418" t="s">
        <v>818</v>
      </c>
    </row>
    <row r="48" spans="1:18" s="1382" customFormat="1" ht="28.5" thickBot="1">
      <c r="A48" s="1108" t="s">
        <v>438</v>
      </c>
      <c r="B48" s="299" t="s">
        <v>692</v>
      </c>
      <c r="C48" s="1357">
        <f ca="1">C49+C53+C55</f>
        <v>0</v>
      </c>
      <c r="D48" s="1110"/>
      <c r="E48" s="1111"/>
      <c r="F48" s="960"/>
      <c r="G48" s="720"/>
      <c r="H48" s="721"/>
      <c r="I48" s="1419" t="s">
        <v>819</v>
      </c>
      <c r="J48" s="1420" t="s">
        <v>3528</v>
      </c>
      <c r="K48" s="1421" t="s">
        <v>820</v>
      </c>
      <c r="L48" s="1422">
        <f ca="1">INDIRECT("'数据-取费表'!f"&amp;$G$1)</f>
        <v>50</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2023</v>
      </c>
      <c r="K49" s="1421" t="s">
        <v>824</v>
      </c>
      <c r="L49" s="1425"/>
      <c r="O49" s="1426" t="s">
        <v>405</v>
      </c>
      <c r="P49" s="1417" t="s">
        <v>825</v>
      </c>
      <c r="Q49" s="1418">
        <f ca="1">C29</f>
        <v>3948</v>
      </c>
      <c r="R49" s="1418" t="s">
        <v>818</v>
      </c>
    </row>
    <row r="50" spans="1:18" s="1382" customFormat="1" ht="13.5" thickBot="1">
      <c r="A50" s="974"/>
      <c r="B50" s="977"/>
      <c r="C50" s="1116"/>
      <c r="D50" s="951"/>
      <c r="E50" s="1054" t="s">
        <v>697</v>
      </c>
      <c r="F50" s="1055">
        <f ca="1">F7</f>
        <v>8327.76</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2">
        <f ca="1">F8</f>
        <v>365</v>
      </c>
      <c r="I51" s="1430" t="s">
        <v>829</v>
      </c>
      <c r="J51" s="1431">
        <f>IF(J49="",J50,J49+J50-YEAR('数据-取费表'!B2))</f>
        <v>60</v>
      </c>
      <c r="K51" s="1432" t="s">
        <v>830</v>
      </c>
      <c r="L51" s="1433">
        <f ca="1">ROUND(-PV(INDIRECT("'数据-取费表'!h"&amp;$G$1),J51,(C39-C13*C76),0),0)</f>
        <v>1781</v>
      </c>
      <c r="M51" s="1434"/>
      <c r="O51" s="1426" t="s">
        <v>407</v>
      </c>
      <c r="P51" s="1417" t="s">
        <v>831</v>
      </c>
      <c r="Q51" s="1429">
        <f>J52</f>
        <v>0.06</v>
      </c>
      <c r="R51" s="1418"/>
    </row>
    <row r="52" spans="1:18" s="1382" customFormat="1" ht="13.5" thickBot="1">
      <c r="A52" s="975"/>
      <c r="B52" s="977"/>
      <c r="C52" s="978"/>
      <c r="D52" s="951"/>
      <c r="E52" s="979" t="s">
        <v>699</v>
      </c>
      <c r="F52" s="1052"/>
      <c r="I52" s="1435" t="s">
        <v>832</v>
      </c>
      <c r="J52" s="1436">
        <v>0.06</v>
      </c>
      <c r="K52" s="1435" t="s">
        <v>833</v>
      </c>
      <c r="L52" s="1436"/>
      <c r="O52" s="1426" t="s">
        <v>408</v>
      </c>
      <c r="P52" s="1417" t="s">
        <v>834</v>
      </c>
      <c r="Q52" s="1418">
        <f ca="1">J53</f>
        <v>50</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50</v>
      </c>
      <c r="K53" s="3722" t="s">
        <v>837</v>
      </c>
      <c r="L53" s="3723"/>
      <c r="O53" s="1416" t="s">
        <v>409</v>
      </c>
      <c r="P53" s="1417" t="s">
        <v>838</v>
      </c>
      <c r="Q53" s="1418">
        <f ca="1">Q47+Q48</f>
        <v>5273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3529</v>
      </c>
      <c r="O55" s="1409" t="s">
        <v>811</v>
      </c>
      <c r="P55" s="1410" t="s">
        <v>812</v>
      </c>
      <c r="Q55" s="1411" t="s">
        <v>813</v>
      </c>
      <c r="R55" s="1411" t="s">
        <v>814</v>
      </c>
    </row>
    <row r="56" spans="1:18" s="1382" customFormat="1" ht="25.5" thickTop="1" thickBot="1">
      <c r="A56" s="955">
        <v>2</v>
      </c>
      <c r="B56" s="956" t="s">
        <v>704</v>
      </c>
      <c r="C56" s="231">
        <f ca="1">C13</f>
        <v>3356</v>
      </c>
      <c r="D56" s="1445"/>
      <c r="E56" s="1446"/>
      <c r="F56" s="1438"/>
      <c r="I56" s="1447" t="s">
        <v>842</v>
      </c>
      <c r="J56" s="1448" t="s">
        <v>3382</v>
      </c>
      <c r="K56" s="1419" t="s">
        <v>843</v>
      </c>
      <c r="L56" s="1422" t="str">
        <f ca="1">IF(L48&lt;J51,"——",L48-J53)</f>
        <v>——</v>
      </c>
      <c r="O56" s="1416" t="s">
        <v>403</v>
      </c>
      <c r="P56" s="1417" t="s">
        <v>817</v>
      </c>
      <c r="Q56" s="1418">
        <f ca="1">C40+J29</f>
        <v>5273</v>
      </c>
      <c r="R56" s="1418" t="s">
        <v>818</v>
      </c>
    </row>
    <row r="57" spans="1:18" s="1382" customFormat="1" ht="24.75" thickBot="1">
      <c r="A57" s="1449"/>
      <c r="B57" s="948" t="s">
        <v>767</v>
      </c>
      <c r="C57" s="237">
        <f ca="1">C29</f>
        <v>3948</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77</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8</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IF(项目基本情况!B11="自然人","——",ROUND(C48*F60/(1+'数据-取费表'!C42),2))</f>
        <v>0</v>
      </c>
      <c r="D60" s="962" t="s">
        <v>724</v>
      </c>
      <c r="E60" s="948"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IF(项目基本情况!B11="自然人","——",IF(D61="按租金收入计税",ROUND(C49*F61/(1+'数据-取费表'!C42),2),IF(D61="按房产原值计税",ROUND(C57*F61*0.7,2),INDIRECT("'数据-取费表'!Aj"&amp;$G$1))))</f>
        <v>0</v>
      </c>
      <c r="D61" s="1368" t="s">
        <v>3339</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IF(项目基本情况!B11="自然人","——",ROUND(F62*F63/10000,2))</f>
        <v>7.97</v>
      </c>
      <c r="D62" s="963" t="s">
        <v>786</v>
      </c>
      <c r="E62" s="948" t="s">
        <v>787</v>
      </c>
      <c r="F62" s="324">
        <f t="shared" si="0"/>
        <v>1.5</v>
      </c>
      <c r="I62" s="1460" t="s">
        <v>858</v>
      </c>
      <c r="J62" s="1461" t="s">
        <v>859</v>
      </c>
      <c r="K62" s="1461" t="s">
        <v>860</v>
      </c>
      <c r="L62" s="1461" t="s">
        <v>861</v>
      </c>
      <c r="M62" s="1462" t="s">
        <v>862</v>
      </c>
      <c r="O62" s="1416" t="s">
        <v>409</v>
      </c>
      <c r="P62" s="1417" t="s">
        <v>863</v>
      </c>
      <c r="Q62" s="1418">
        <f ca="1">Q56+Q57</f>
        <v>5273</v>
      </c>
      <c r="R62" s="1418" t="s">
        <v>410</v>
      </c>
    </row>
    <row r="63" spans="1:18" s="1382" customFormat="1" ht="13.5" thickBot="1">
      <c r="A63" s="325"/>
      <c r="B63" s="954"/>
      <c r="C63" s="25"/>
      <c r="D63" s="964"/>
      <c r="E63" s="948" t="s">
        <v>788</v>
      </c>
      <c r="F63" s="302">
        <f t="shared" ca="1" si="0"/>
        <v>53147.14</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ROUND(C57*F64,2)</f>
        <v>59.22</v>
      </c>
      <c r="D64" s="962" t="s">
        <v>791</v>
      </c>
      <c r="E64" s="948" t="s">
        <v>783</v>
      </c>
      <c r="F64" s="327">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ROUND(C56*F65,2)</f>
        <v>10.07</v>
      </c>
      <c r="D65" s="962" t="s">
        <v>743</v>
      </c>
      <c r="E65" s="948" t="s">
        <v>744</v>
      </c>
      <c r="F65" s="329">
        <f t="shared" ca="1" si="0"/>
        <v>3.0000000000000001E-3</v>
      </c>
      <c r="I65" s="1460" t="s">
        <v>867</v>
      </c>
      <c r="J65" s="1461">
        <v>40</v>
      </c>
      <c r="K65" s="1461">
        <v>30</v>
      </c>
      <c r="L65" s="1461">
        <v>50</v>
      </c>
      <c r="M65" s="1463">
        <v>0.02</v>
      </c>
      <c r="O65" s="1416" t="s">
        <v>403</v>
      </c>
      <c r="P65" s="1417" t="s">
        <v>868</v>
      </c>
      <c r="Q65" s="1418">
        <f ca="1">C40+J29</f>
        <v>5273</v>
      </c>
      <c r="R65" s="1418" t="s">
        <v>818</v>
      </c>
    </row>
    <row r="66" spans="1:18" s="1382" customFormat="1" ht="16.5" thickBot="1">
      <c r="A66" s="980" t="s">
        <v>793</v>
      </c>
      <c r="B66" s="948" t="s">
        <v>728</v>
      </c>
      <c r="C66" s="20">
        <f ca="1">ROUND(C48*F66,2)</f>
        <v>0</v>
      </c>
      <c r="D66" s="962" t="s">
        <v>794</v>
      </c>
      <c r="E66" s="948" t="s">
        <v>712</v>
      </c>
      <c r="F66" s="311">
        <f t="shared" ca="1" si="0"/>
        <v>0.01</v>
      </c>
      <c r="O66" s="1416" t="s">
        <v>404</v>
      </c>
      <c r="P66" s="1417" t="s">
        <v>846</v>
      </c>
      <c r="Q66" s="1418">
        <f ca="1">L60</f>
        <v>0</v>
      </c>
      <c r="R66" s="1418" t="s">
        <v>869</v>
      </c>
    </row>
    <row r="67" spans="1:18" s="1382" customFormat="1" ht="16.5" thickBot="1">
      <c r="A67" s="955" t="s">
        <v>394</v>
      </c>
      <c r="B67" s="965" t="s">
        <v>752</v>
      </c>
      <c r="C67" s="315">
        <f ca="1">C48-C58</f>
        <v>-77</v>
      </c>
      <c r="D67" s="961" t="s">
        <v>753</v>
      </c>
      <c r="E67" s="966"/>
      <c r="F67" s="967"/>
      <c r="O67" s="1426" t="s">
        <v>405</v>
      </c>
      <c r="P67" s="1417" t="s">
        <v>850</v>
      </c>
      <c r="Q67" s="1464">
        <f ca="1">L51</f>
        <v>1781</v>
      </c>
      <c r="R67" s="1418" t="s">
        <v>870</v>
      </c>
    </row>
    <row r="68" spans="1:18" s="1382" customFormat="1" ht="16.5" thickBot="1">
      <c r="A68" s="945" t="s">
        <v>395</v>
      </c>
      <c r="B68" s="946" t="s">
        <v>774</v>
      </c>
      <c r="C68" s="300">
        <f ca="1">ROUND(C67*(1-((1+F70)/(1+F68))^F69)/(F68-F70),0)</f>
        <v>-1002</v>
      </c>
      <c r="D68" s="963" t="s">
        <v>758</v>
      </c>
      <c r="E68" s="948" t="s">
        <v>759</v>
      </c>
      <c r="F68" s="311">
        <f ca="1">F40</f>
        <v>4.4999999999999998E-2</v>
      </c>
      <c r="O68" s="1426" t="s">
        <v>406</v>
      </c>
      <c r="P68" s="1465" t="s">
        <v>871</v>
      </c>
      <c r="Q68" s="1418">
        <f ca="1">ROUND(Q69-Q70*Q71,0)</f>
        <v>94</v>
      </c>
      <c r="R68" s="1418" t="s">
        <v>414</v>
      </c>
    </row>
    <row r="69" spans="1:18" s="1382" customFormat="1" ht="13.5" thickBot="1">
      <c r="A69" s="949"/>
      <c r="B69" s="950"/>
      <c r="C69" s="305"/>
      <c r="D69" s="968" t="s">
        <v>762</v>
      </c>
      <c r="E69" s="948" t="s">
        <v>763</v>
      </c>
      <c r="F69" s="332">
        <f>F41</f>
        <v>20</v>
      </c>
      <c r="O69" s="1426" t="s">
        <v>411</v>
      </c>
      <c r="P69" s="1465" t="s">
        <v>872</v>
      </c>
      <c r="Q69" s="1418">
        <f ca="1">C39</f>
        <v>329</v>
      </c>
      <c r="R69" s="1418" t="s">
        <v>818</v>
      </c>
    </row>
    <row r="70" spans="1:18" s="1382" customFormat="1" ht="13.5" thickBot="1">
      <c r="A70" s="952"/>
      <c r="B70" s="953"/>
      <c r="C70" s="309"/>
      <c r="D70" s="964"/>
      <c r="E70" s="948" t="s">
        <v>766</v>
      </c>
      <c r="F70" s="1052"/>
      <c r="O70" s="1426" t="s">
        <v>412</v>
      </c>
      <c r="P70" s="1465" t="s">
        <v>873</v>
      </c>
      <c r="Q70" s="1418">
        <f ca="1">C13</f>
        <v>3356</v>
      </c>
      <c r="R70" s="1418" t="s">
        <v>818</v>
      </c>
    </row>
    <row r="71" spans="1:18" s="1382" customFormat="1" ht="13.5" thickBot="1">
      <c r="A71" s="969" t="s">
        <v>396</v>
      </c>
      <c r="B71" s="970" t="s">
        <v>776</v>
      </c>
      <c r="C71" s="335">
        <f ca="1">ROUND(C68*10000/F71,0)</f>
        <v>-1203</v>
      </c>
      <c r="D71" s="971" t="s">
        <v>777</v>
      </c>
      <c r="E71" s="972" t="s">
        <v>778</v>
      </c>
      <c r="F71" s="338">
        <f ca="1">F43</f>
        <v>8327.76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235</v>
      </c>
      <c r="D75" s="1382"/>
      <c r="E75" s="1382"/>
      <c r="F75" s="1382"/>
      <c r="K75" s="1400"/>
      <c r="L75" s="1382"/>
      <c r="O75" s="1416" t="s">
        <v>409</v>
      </c>
      <c r="P75" s="1417" t="s">
        <v>838</v>
      </c>
      <c r="Q75" s="1418">
        <f ca="1">Q65+Q66</f>
        <v>5273</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0.28600000000000003</v>
      </c>
    </row>
    <row r="80" spans="1:18">
      <c r="B80" s="339" t="s">
        <v>800</v>
      </c>
      <c r="C80" s="273">
        <f ca="1">ROUND(C75/C39,3)</f>
        <v>0.71399999999999997</v>
      </c>
    </row>
    <row r="81" spans="2:3">
      <c r="B81" s="269" t="s">
        <v>801</v>
      </c>
      <c r="C81" s="237"/>
    </row>
    <row r="82" spans="2:3">
      <c r="B82" s="272" t="s">
        <v>802</v>
      </c>
      <c r="C82" s="274">
        <f ca="1">1-C83</f>
        <v>0.36399999999999999</v>
      </c>
    </row>
    <row r="83" spans="2:3">
      <c r="B83" s="272" t="s">
        <v>803</v>
      </c>
      <c r="C83" s="273">
        <f ca="1">ROUND(C13/C40,3)</f>
        <v>0.63600000000000001</v>
      </c>
    </row>
  </sheetData>
  <sheetProtection formatCells="0" formatColumns="0" formatRows="0"/>
  <mergeCells count="3">
    <mergeCell ref="K53:L53"/>
    <mergeCell ref="B6:B9"/>
    <mergeCell ref="I6:I9"/>
  </mergeCells>
  <phoneticPr fontId="4"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8</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724" t="s">
        <v>694</v>
      </c>
      <c r="C6" s="1072">
        <f ca="1">ROUND(F6*F8*F7*(1-F9),0)</f>
        <v>0</v>
      </c>
      <c r="D6" s="154" t="s">
        <v>2106</v>
      </c>
      <c r="E6" s="301" t="s">
        <v>696</v>
      </c>
      <c r="F6" s="302">
        <f ca="1">INDIRECT("'数据-取费表'!u"&amp;$G$1)</f>
        <v>0</v>
      </c>
      <c r="G6" s="1382"/>
      <c r="H6" s="1067" t="s">
        <v>398</v>
      </c>
      <c r="I6" s="3724" t="s">
        <v>694</v>
      </c>
      <c r="J6" s="300">
        <f ca="1">ROUND(M6*M8*M7*(1-M9),0)</f>
        <v>0</v>
      </c>
      <c r="K6" s="1374" t="s">
        <v>2107</v>
      </c>
      <c r="L6" s="301" t="s">
        <v>696</v>
      </c>
      <c r="M6" s="302">
        <f ca="1">INDIRECT("'数据-取费表'!z"&amp;$G$1)</f>
        <v>0</v>
      </c>
    </row>
    <row r="7" spans="1:37" ht="18" customHeight="1">
      <c r="A7" s="1071"/>
      <c r="B7" s="3725"/>
      <c r="C7" s="1073"/>
      <c r="D7" s="306"/>
      <c r="E7" s="1074" t="s">
        <v>697</v>
      </c>
      <c r="F7" s="302">
        <f ca="1">IF(INDIRECT("'数据-取费表'!ah"&amp;$G$1)="",INDIRECT("'数据-取费表'!k"&amp;$G$1),INDIRECT("'数据-取费表'!ah"&amp;$G$1))</f>
        <v>0</v>
      </c>
      <c r="G7" s="1382"/>
      <c r="H7" s="303"/>
      <c r="I7" s="3725"/>
      <c r="J7" s="305"/>
      <c r="K7" s="306"/>
      <c r="L7" s="301" t="s">
        <v>697</v>
      </c>
      <c r="M7" s="302">
        <f ca="1">F7</f>
        <v>0</v>
      </c>
    </row>
    <row r="8" spans="1:37" ht="18" customHeight="1">
      <c r="A8" s="303"/>
      <c r="B8" s="3725"/>
      <c r="C8" s="305"/>
      <c r="D8" s="306"/>
      <c r="E8" s="301" t="s">
        <v>698</v>
      </c>
      <c r="F8" s="302">
        <f ca="1">INDIRECT("'数据-取费表'!ai"&amp;$G$1)</f>
        <v>0</v>
      </c>
      <c r="G8" s="1382"/>
      <c r="H8" s="303"/>
      <c r="I8" s="3725"/>
      <c r="J8" s="305"/>
      <c r="K8" s="306"/>
      <c r="L8" s="301" t="s">
        <v>698</v>
      </c>
      <c r="M8" s="302">
        <f ca="1">INDIRECT("'数据-取费表'!ai"&amp;$G$1)</f>
        <v>0</v>
      </c>
    </row>
    <row r="9" spans="1:37" ht="18" customHeight="1">
      <c r="A9" s="303"/>
      <c r="B9" s="3726"/>
      <c r="C9" s="305"/>
      <c r="D9" s="306"/>
      <c r="E9" s="301" t="s">
        <v>699</v>
      </c>
      <c r="F9" s="311">
        <f ca="1">INDIRECT("'数据-取费表'!w"&amp;$G$1)</f>
        <v>0</v>
      </c>
      <c r="G9" s="1382"/>
      <c r="H9" s="303"/>
      <c r="I9" s="3726"/>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c r="G10" s="1382"/>
      <c r="H10" s="1067" t="s">
        <v>402</v>
      </c>
      <c r="I10" s="1363" t="s">
        <v>700</v>
      </c>
      <c r="J10" s="300">
        <f ca="1">ROUND(IF(M10="押一",J6/12*M11,IF(M10="押二",J6/12*2*M11,IF(M10="押三",J6/12*3*M11,J11*M11))),0)</f>
        <v>0</v>
      </c>
      <c r="K10" s="1375" t="s">
        <v>2118</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0">
        <f ca="1">C29</f>
        <v>0</v>
      </c>
      <c r="K14" s="11"/>
      <c r="L14" s="805"/>
      <c r="M14" s="806"/>
    </row>
    <row r="15" spans="1:37" s="1395" customFormat="1" ht="18" customHeight="1" thickBot="1">
      <c r="A15" s="980" t="s">
        <v>399</v>
      </c>
      <c r="B15" s="301" t="s">
        <v>710</v>
      </c>
      <c r="C15" s="20">
        <f ca="1">ROUND(C14*F15,0)</f>
        <v>0</v>
      </c>
      <c r="D15" s="319" t="s">
        <v>711</v>
      </c>
      <c r="E15" s="319" t="s">
        <v>712</v>
      </c>
      <c r="F15" s="320">
        <f>'数据-取费表'!B33</f>
        <v>0.1</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0">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0">
        <f ca="1">ROUND(F17*(F43+INDIRECT("'数据-取费表'!S"&amp;$G$1)),0)</f>
        <v>0</v>
      </c>
      <c r="D17" s="301" t="s">
        <v>717</v>
      </c>
      <c r="E17" s="301" t="s">
        <v>718</v>
      </c>
      <c r="F17" s="22">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0">
        <f ca="1">ROUND(C14*F18,0)</f>
        <v>0</v>
      </c>
      <c r="D18" s="301" t="s">
        <v>711</v>
      </c>
      <c r="E18" s="301" t="s">
        <v>712</v>
      </c>
      <c r="F18" s="321">
        <f>'数据-取费表'!B36</f>
        <v>1.4999999999999999E-2</v>
      </c>
      <c r="G18" s="1394"/>
      <c r="H18" s="980" t="s">
        <v>397</v>
      </c>
      <c r="I18" s="301" t="s">
        <v>723</v>
      </c>
      <c r="J18" s="20">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0">
        <f ca="1">SUM(C14:C18)</f>
        <v>0</v>
      </c>
      <c r="D19" s="130" t="s">
        <v>726</v>
      </c>
      <c r="E19" s="1358"/>
      <c r="F19" s="22"/>
      <c r="G19" s="1382"/>
      <c r="H19" s="980" t="s">
        <v>399</v>
      </c>
      <c r="I19" s="301" t="s">
        <v>727</v>
      </c>
      <c r="J19" s="20">
        <f ca="1">IF(K19="按租金收入计税",ROUND(J6*M19/(1+'数据-取费表'!C42),0),ROUND(C29*M19*0.7,0))</f>
        <v>0</v>
      </c>
      <c r="K19" s="1368" t="s">
        <v>3339</v>
      </c>
      <c r="L19" s="301" t="s">
        <v>712</v>
      </c>
      <c r="M19" s="321">
        <f>IF(K19="按租金收入计税",'数据-取费表'!B51,'数据-取费表'!B50)</f>
        <v>0.12</v>
      </c>
    </row>
    <row r="20" spans="1:37" s="1395" customFormat="1" ht="18" customHeight="1">
      <c r="A20" s="980" t="s">
        <v>402</v>
      </c>
      <c r="B20" s="301" t="s">
        <v>728</v>
      </c>
      <c r="C20" s="20">
        <f ca="1">ROUND(C19*F20,0)</f>
        <v>0</v>
      </c>
      <c r="D20" s="322" t="s">
        <v>729</v>
      </c>
      <c r="E20" s="301" t="s">
        <v>712</v>
      </c>
      <c r="F20" s="321">
        <f>'数据-取费表'!B37</f>
        <v>0.02</v>
      </c>
      <c r="G20" s="1394"/>
      <c r="H20" s="980" t="s">
        <v>680</v>
      </c>
      <c r="I20" s="154" t="s">
        <v>730</v>
      </c>
      <c r="J20" s="21">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0" t="s">
        <v>0</v>
      </c>
      <c r="D21" s="322" t="s">
        <v>734</v>
      </c>
      <c r="E21" s="301" t="s">
        <v>735</v>
      </c>
      <c r="F21" s="321">
        <f>'数据-取费表'!B38</f>
        <v>0.02</v>
      </c>
      <c r="G21" s="1394"/>
      <c r="H21" s="325"/>
      <c r="I21" s="310"/>
      <c r="J21" s="25"/>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0"/>
      <c r="D22" s="130" t="str">
        <f>IF(F23&lt;=1,"单利计息。","复利计息。")&amp;"建造成本、管理费用、销售费用产生的利息。"</f>
        <v>单利计息。建造成本、管理费用、销售费用产生的利息。</v>
      </c>
      <c r="E22" s="1358"/>
      <c r="F22" s="22"/>
      <c r="G22" s="1382"/>
      <c r="H22" s="980" t="s">
        <v>402</v>
      </c>
      <c r="I22" s="301" t="s">
        <v>738</v>
      </c>
      <c r="J22" s="20">
        <f ca="1">ROUND(J14*M22,0)</f>
        <v>0</v>
      </c>
      <c r="K22" s="1342" t="s">
        <v>739</v>
      </c>
      <c r="L22" s="301" t="s">
        <v>712</v>
      </c>
      <c r="M22" s="327">
        <f ca="1">INDIRECT("'数据-取费表'!Ak"&amp;$G$1)</f>
        <v>0</v>
      </c>
    </row>
    <row r="23" spans="1:37" s="1395" customFormat="1" ht="18" customHeight="1">
      <c r="A23" s="980"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0.5</v>
      </c>
      <c r="G23" s="1394"/>
      <c r="H23" s="980" t="s">
        <v>437</v>
      </c>
      <c r="I23" s="301" t="s">
        <v>742</v>
      </c>
      <c r="J23" s="20">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0">
        <f ca="1">ROUND(IF('数据-取费表'!B22&lt;=1,F21*F24*F23/2,F21*(POWER((1+F24),F23/2)-1)),4)</f>
        <v>2.0000000000000001E-4</v>
      </c>
      <c r="D24" s="328" t="str">
        <f>IF(F23&lt;=1,"销售费用×利率×(建设周期÷2)","销售费用×((1+利率)^(建设周期÷2)-1)")</f>
        <v>销售费用×利率×(建设周期÷2)</v>
      </c>
      <c r="E24" s="301" t="s">
        <v>747</v>
      </c>
      <c r="F24" s="330">
        <f ca="1">'数据-取费表'!B40</f>
        <v>4.3499999999999997E-2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0"/>
      <c r="D25" s="130" t="s">
        <v>751</v>
      </c>
      <c r="E25" s="1358"/>
      <c r="F25" s="22"/>
      <c r="G25" s="1382"/>
      <c r="H25" s="1077" t="s">
        <v>394</v>
      </c>
      <c r="I25" s="1092" t="s">
        <v>752</v>
      </c>
      <c r="J25" s="309">
        <f ca="1">J5-J16</f>
        <v>0</v>
      </c>
      <c r="K25" s="1093" t="s">
        <v>753</v>
      </c>
      <c r="L25" s="1094"/>
      <c r="M25" s="1095"/>
    </row>
    <row r="26" spans="1:37" ht="18" customHeight="1">
      <c r="A26" s="980" t="s">
        <v>397</v>
      </c>
      <c r="B26" s="301" t="s">
        <v>754</v>
      </c>
      <c r="C26" s="20">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0">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0">
        <f ca="1">IF(项目基本情况!B11="自然人","——",ROUND(C6*F32/(1+'数据-取费表'!C42),0))</f>
        <v>0</v>
      </c>
      <c r="D32" s="1342" t="s">
        <v>724</v>
      </c>
      <c r="E32" s="301" t="s">
        <v>712</v>
      </c>
      <c r="F32" s="330">
        <f>'数据-取费表'!B41</f>
        <v>5.5000000000000007E-2</v>
      </c>
      <c r="G32" s="1382"/>
      <c r="H32" s="2695"/>
      <c r="I32" s="1396"/>
      <c r="J32" s="1397"/>
      <c r="K32" s="2473"/>
      <c r="L32" s="2696"/>
      <c r="M32" s="2697"/>
    </row>
    <row r="33" spans="1:18" ht="18" customHeight="1">
      <c r="A33" s="980" t="s">
        <v>399</v>
      </c>
      <c r="B33" s="301" t="s">
        <v>727</v>
      </c>
      <c r="C33" s="20">
        <f ca="1">IF(项目基本情况!B11="自然人","——",IF(D33="按租金收入计税",ROUND(C6*F33/(1+'数据-取费表'!C42),0),IF(D33="按房产原值计税",ROUND(C29*F33*0.7,0),INDIRECT("'数据-取费表'!Aj"&amp;$G$1))))</f>
        <v>0</v>
      </c>
      <c r="D33" s="1368" t="s">
        <v>3339</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1">
        <f ca="1">IF(项目基本情况!B11="自然人","——",ROUND(F34*F35,0))</f>
        <v>0</v>
      </c>
      <c r="D34" s="323" t="s">
        <v>731</v>
      </c>
      <c r="E34" s="301" t="s">
        <v>732</v>
      </c>
      <c r="F34" s="324">
        <f>'数据-取费表'!B52</f>
        <v>1.5</v>
      </c>
      <c r="G34" s="1382"/>
      <c r="H34" s="2695"/>
      <c r="I34" s="1396"/>
      <c r="J34" s="1397"/>
      <c r="K34" s="2700"/>
      <c r="L34" s="2701"/>
      <c r="M34" s="2701"/>
    </row>
    <row r="35" spans="1:18" ht="18" customHeight="1">
      <c r="A35" s="1101"/>
      <c r="B35" s="1099"/>
      <c r="C35" s="25"/>
      <c r="D35" s="326"/>
      <c r="E35" s="301" t="s">
        <v>736</v>
      </c>
      <c r="F35" s="302">
        <f ca="1">INDIRECT("'数据-取费表'!r"&amp;$G$1)</f>
        <v>0</v>
      </c>
      <c r="G35" s="1382"/>
      <c r="H35" s="2695"/>
      <c r="I35" s="1396"/>
      <c r="J35" s="1397"/>
      <c r="K35" s="2699"/>
      <c r="L35" s="2698"/>
      <c r="M35" s="2698"/>
    </row>
    <row r="36" spans="1:18" ht="18" customHeight="1">
      <c r="A36" s="1100" t="s">
        <v>402</v>
      </c>
      <c r="B36" s="301" t="s">
        <v>738</v>
      </c>
      <c r="C36" s="20">
        <f ca="1">ROUND(C29*F36,0)</f>
        <v>0</v>
      </c>
      <c r="D36" s="1342" t="s">
        <v>771</v>
      </c>
      <c r="E36" s="301" t="s">
        <v>712</v>
      </c>
      <c r="F36" s="327">
        <f ca="1">INDIRECT("'数据-取费表'!Ak"&amp;$G$1)</f>
        <v>0</v>
      </c>
      <c r="G36" s="1382"/>
      <c r="H36" s="2698"/>
      <c r="I36" s="1396"/>
      <c r="J36" s="1397"/>
      <c r="K36" s="2542"/>
      <c r="L36" s="2698"/>
      <c r="M36" s="2698"/>
    </row>
    <row r="37" spans="1:18" ht="18" customHeight="1">
      <c r="A37" s="980" t="s">
        <v>437</v>
      </c>
      <c r="B37" s="301" t="s">
        <v>742</v>
      </c>
      <c r="C37" s="20">
        <f ca="1">ROUND(C13*F37,0)</f>
        <v>0</v>
      </c>
      <c r="D37" s="1342" t="s">
        <v>743</v>
      </c>
      <c r="E37" s="301" t="s">
        <v>744</v>
      </c>
      <c r="F37" s="329">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9">
        <f ca="1">C5-C30</f>
        <v>0</v>
      </c>
      <c r="D39" s="1093" t="s">
        <v>773</v>
      </c>
      <c r="E39" s="1094"/>
      <c r="F39" s="1095"/>
      <c r="G39" s="1382"/>
      <c r="H39" s="2698"/>
      <c r="I39" s="1396"/>
      <c r="J39" s="1397"/>
      <c r="K39" s="2702"/>
      <c r="L39" s="2698"/>
      <c r="M39" s="2698"/>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2"/>
      <c r="L41" s="1189"/>
      <c r="M41" s="1189"/>
    </row>
    <row r="42" spans="1:18" ht="18" customHeight="1">
      <c r="A42" s="307"/>
      <c r="B42" s="308"/>
      <c r="C42" s="309"/>
      <c r="D42" s="326"/>
      <c r="E42" s="301" t="s">
        <v>766</v>
      </c>
      <c r="F42" s="311">
        <f ca="1">INDIRECT("'数据-取费表'!v"&amp;$G$1)</f>
        <v>0</v>
      </c>
      <c r="G42" s="1382"/>
      <c r="H42" s="1189"/>
      <c r="I42" s="1396"/>
      <c r="J42" s="1397"/>
      <c r="K42" s="2542"/>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t="e">
        <f ca="1">ROUND((C68-C40)/10000,4)</f>
        <v>#DIV/0!</v>
      </c>
      <c r="D45" s="3430" t="s">
        <v>3356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2119</v>
      </c>
      <c r="E53" s="312" t="s">
        <v>701</v>
      </c>
      <c r="F53" s="1114"/>
      <c r="I53" s="1437" t="s">
        <v>836</v>
      </c>
      <c r="J53" s="2166">
        <f ca="1">IF(M47="住宅",IF(D1="——",MAX(J51,L48),MAX(J51,L48-'数据-取费表'!B24)),IF(D1="——",MIN(J51,L48),MIN(J51,L48-'数据-取费表'!B24)))</f>
        <v>0</v>
      </c>
      <c r="K53" s="3722" t="s">
        <v>837</v>
      </c>
      <c r="L53" s="3723"/>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0">
        <f ca="1">IF(项目基本情况!B11="自然人","——",ROUND(C48*F60/(1+'数据-取费表'!C42),0))</f>
        <v>0</v>
      </c>
      <c r="D60" s="962" t="s">
        <v>724</v>
      </c>
      <c r="E60" s="948"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0">
        <f ca="1">IF(项目基本情况!B11="自然人","——",IF(D61="按租金收入计税",ROUND(C49*F61/(1+'数据-取费表'!C42),0),IF(D61="按房产原值计税",ROUND(C57*F61*0.7,0),INDIRECT("'数据-取费表'!Aj"&amp;$G$1))))</f>
        <v>0</v>
      </c>
      <c r="D61" s="1368" t="s">
        <v>3339</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1">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5"/>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0">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0">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0">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5273</v>
      </c>
      <c r="C2" s="1870" t="s">
        <v>1651</v>
      </c>
      <c r="D2" s="1871" t="s">
        <v>1652</v>
      </c>
      <c r="E2" s="2605">
        <f>SUM(E6:E13)</f>
        <v>8327.76</v>
      </c>
      <c r="F2" s="2705"/>
      <c r="G2" s="1487"/>
      <c r="H2" s="1487"/>
      <c r="I2" s="1487"/>
      <c r="J2" s="1487"/>
      <c r="K2" s="1487"/>
      <c r="L2" s="1487"/>
      <c r="M2" s="1487"/>
      <c r="N2" s="1487"/>
      <c r="O2" s="1487"/>
      <c r="P2" s="1487"/>
      <c r="Q2" s="1487"/>
      <c r="R2" s="1487"/>
      <c r="S2" s="1487"/>
    </row>
    <row r="3" spans="1:22" ht="15.75">
      <c r="A3" s="1868" t="s">
        <v>686</v>
      </c>
      <c r="B3" s="2599">
        <f ca="1">ROUND(B2*10000/E2,0)</f>
        <v>6332</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7" t="s">
        <v>1654</v>
      </c>
      <c r="C5" s="372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5273</v>
      </c>
      <c r="C6" s="1870" t="s">
        <v>1651</v>
      </c>
      <c r="D6" s="2707"/>
      <c r="E6" s="2604">
        <f>IF(OR(A6=0,F6="否"),0,'数据-取费表'!K6+'数据-取费表'!S6)</f>
        <v>8327.76</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8327.76</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4" t="s">
        <v>1666</v>
      </c>
      <c r="B4" s="355"/>
      <c r="C4" s="3747" t="s">
        <v>1667</v>
      </c>
      <c r="D4" s="3748"/>
      <c r="E4" s="3749" t="s">
        <v>1668</v>
      </c>
      <c r="F4" s="3750"/>
      <c r="G4" s="3747" t="s">
        <v>1669</v>
      </c>
      <c r="H4" s="3748"/>
      <c r="I4" s="3747" t="s">
        <v>1670</v>
      </c>
      <c r="J4" s="3748"/>
      <c r="K4" s="1887" t="s">
        <v>1671</v>
      </c>
      <c r="L4" s="2713"/>
      <c r="M4" s="2714"/>
      <c r="N4" s="2714"/>
      <c r="O4" s="2714"/>
      <c r="P4" s="3751" t="s">
        <v>1672</v>
      </c>
      <c r="Q4" s="3752"/>
      <c r="R4" s="3757" t="s">
        <v>1668</v>
      </c>
      <c r="S4" s="3758"/>
      <c r="T4" s="3757" t="s">
        <v>1669</v>
      </c>
      <c r="U4" s="3758"/>
      <c r="V4" s="3763" t="s">
        <v>1670</v>
      </c>
      <c r="W4" s="3763"/>
      <c r="X4" s="1353"/>
      <c r="Y4" s="3757" t="s">
        <v>1672</v>
      </c>
      <c r="Z4" s="3758"/>
      <c r="AA4" s="3744" t="s">
        <v>1668</v>
      </c>
      <c r="AB4" s="3744" t="s">
        <v>1669</v>
      </c>
      <c r="AC4" s="3744" t="s">
        <v>1670</v>
      </c>
    </row>
    <row r="5" spans="1:29" ht="15">
      <c r="A5" s="357"/>
      <c r="B5" s="358"/>
      <c r="C5" s="3766" t="s">
        <v>1673</v>
      </c>
      <c r="D5" s="3767"/>
      <c r="E5" s="3773" t="s">
        <v>1674</v>
      </c>
      <c r="F5" s="3774"/>
      <c r="G5" s="3766" t="s">
        <v>1675</v>
      </c>
      <c r="H5" s="3767"/>
      <c r="I5" s="3766" t="s">
        <v>1676</v>
      </c>
      <c r="J5" s="3767"/>
      <c r="K5" s="1888"/>
      <c r="L5" s="2713"/>
      <c r="M5" s="2714"/>
      <c r="N5" s="2714"/>
      <c r="O5" s="2714"/>
      <c r="P5" s="3753"/>
      <c r="Q5" s="3754"/>
      <c r="R5" s="3759"/>
      <c r="S5" s="3760"/>
      <c r="T5" s="3759"/>
      <c r="U5" s="3760"/>
      <c r="V5" s="3763"/>
      <c r="W5" s="3763"/>
      <c r="X5" s="1353"/>
      <c r="Y5" s="3759"/>
      <c r="Z5" s="3760"/>
      <c r="AA5" s="3745"/>
      <c r="AB5" s="3745"/>
      <c r="AC5" s="3745"/>
    </row>
    <row r="6" spans="1:29" ht="15.75" thickBot="1">
      <c r="A6" s="359"/>
      <c r="B6" s="360"/>
      <c r="C6" s="3764" t="s">
        <v>1677</v>
      </c>
      <c r="D6" s="3765"/>
      <c r="E6" s="3771" t="s">
        <v>1677</v>
      </c>
      <c r="F6" s="3772"/>
      <c r="G6" s="3764" t="s">
        <v>1677</v>
      </c>
      <c r="H6" s="3765"/>
      <c r="I6" s="3764" t="s">
        <v>1677</v>
      </c>
      <c r="J6" s="3765"/>
      <c r="K6" s="1888" t="s">
        <v>1678</v>
      </c>
      <c r="L6" s="2713"/>
      <c r="M6" s="2714"/>
      <c r="N6" s="2714"/>
      <c r="O6" s="2714"/>
      <c r="P6" s="3755"/>
      <c r="Q6" s="3756"/>
      <c r="R6" s="3759"/>
      <c r="S6" s="3760"/>
      <c r="T6" s="3761"/>
      <c r="U6" s="3762"/>
      <c r="V6" s="3763"/>
      <c r="W6" s="3763"/>
      <c r="X6" s="1353"/>
      <c r="Y6" s="3761"/>
      <c r="Z6" s="3762"/>
      <c r="AA6" s="3746"/>
      <c r="AB6" s="3746"/>
      <c r="AC6" s="3746"/>
    </row>
    <row r="7" spans="1:29" s="107" customFormat="1" ht="15.75" thickBot="1">
      <c r="A7" s="361" t="s">
        <v>1679</v>
      </c>
      <c r="B7" s="362"/>
      <c r="C7" s="363">
        <f>'数据-取费表'!B2</f>
        <v>45062</v>
      </c>
      <c r="D7" s="364">
        <v>100</v>
      </c>
      <c r="E7" s="365"/>
      <c r="F7" s="366">
        <f>SUMIF(58:58,YEAR(E7)&amp;"-"&amp;MONTH(E7),59:59)</f>
        <v>0</v>
      </c>
      <c r="G7" s="365"/>
      <c r="H7" s="364">
        <f>SUMIF(58:58,YEAR(G7)&amp;"-"&amp;MONTH(G7),59:59)</f>
        <v>0</v>
      </c>
      <c r="I7" s="365"/>
      <c r="J7" s="364">
        <f>SUMIF(58:58,YEAR(I7)&amp;"-"&amp;MONTH(I7),59:59)</f>
        <v>0</v>
      </c>
      <c r="K7" s="1889"/>
      <c r="L7" s="2715"/>
      <c r="M7" s="2716"/>
      <c r="N7" s="2716"/>
      <c r="O7" s="2716"/>
      <c r="P7" s="3768" t="s">
        <v>1680</v>
      </c>
      <c r="Q7" s="3770"/>
      <c r="R7" s="699" t="s">
        <v>20</v>
      </c>
      <c r="S7" s="700">
        <f t="shared" ref="S7:S15" si="0">F7</f>
        <v>0</v>
      </c>
      <c r="T7" s="699" t="s">
        <v>20</v>
      </c>
      <c r="U7" s="700">
        <f t="shared" ref="U7:U15" si="1">H7</f>
        <v>0</v>
      </c>
      <c r="V7" s="699" t="s">
        <v>20</v>
      </c>
      <c r="W7" s="700">
        <f t="shared" ref="W7:W15" si="2">J7</f>
        <v>0</v>
      </c>
      <c r="X7" s="701"/>
      <c r="Y7" s="3768" t="s">
        <v>1680</v>
      </c>
      <c r="Z7" s="3769"/>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5"/>
      <c r="M8" s="2716"/>
      <c r="N8" s="2716"/>
      <c r="O8" s="2716"/>
      <c r="P8" s="3768" t="s">
        <v>1683</v>
      </c>
      <c r="Q8" s="3769"/>
      <c r="R8" s="699" t="s">
        <v>20</v>
      </c>
      <c r="S8" s="700">
        <f t="shared" si="0"/>
        <v>100</v>
      </c>
      <c r="T8" s="699" t="s">
        <v>20</v>
      </c>
      <c r="U8" s="700">
        <f t="shared" si="1"/>
        <v>100</v>
      </c>
      <c r="V8" s="699" t="s">
        <v>20</v>
      </c>
      <c r="W8" s="700">
        <f t="shared" si="2"/>
        <v>100</v>
      </c>
      <c r="X8" s="701"/>
      <c r="Y8" s="3768" t="s">
        <v>1683</v>
      </c>
      <c r="Z8" s="3769"/>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9"/>
      <c r="L9" s="2715"/>
      <c r="M9" s="2716"/>
      <c r="N9" s="2716"/>
      <c r="O9" s="2716"/>
      <c r="P9" s="3743" t="s">
        <v>1686</v>
      </c>
      <c r="Q9" s="1341" t="str">
        <f t="shared" ref="Q9:Q15" si="6">B9</f>
        <v>用途</v>
      </c>
      <c r="R9" s="699" t="s">
        <v>14</v>
      </c>
      <c r="S9" s="700">
        <f t="shared" si="0"/>
        <v>100</v>
      </c>
      <c r="T9" s="699" t="s">
        <v>14</v>
      </c>
      <c r="U9" s="700">
        <f t="shared" si="1"/>
        <v>100</v>
      </c>
      <c r="V9" s="699" t="s">
        <v>14</v>
      </c>
      <c r="W9" s="700">
        <f t="shared" si="2"/>
        <v>100</v>
      </c>
      <c r="X9" s="701"/>
      <c r="Y9" s="3626"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1889"/>
      <c r="L10" s="2717"/>
      <c r="M10" s="2718"/>
      <c r="N10" s="2718"/>
      <c r="O10" s="2718"/>
      <c r="P10" s="3743"/>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9"/>
      <c r="M11" s="2714"/>
      <c r="N11" s="2714"/>
      <c r="O11" s="2714"/>
      <c r="P11" s="3743"/>
      <c r="Q11" s="1341" t="str">
        <f t="shared" si="6"/>
        <v>容积率</v>
      </c>
      <c r="R11" s="699" t="s">
        <v>18</v>
      </c>
      <c r="S11" s="700" t="e">
        <f t="shared" si="0"/>
        <v>#N/A</v>
      </c>
      <c r="T11" s="699" t="s">
        <v>18</v>
      </c>
      <c r="U11" s="700" t="e">
        <f t="shared" si="1"/>
        <v>#N/A</v>
      </c>
      <c r="V11" s="699" t="s">
        <v>18</v>
      </c>
      <c r="W11" s="700" t="e">
        <f t="shared" si="2"/>
        <v>#N/A</v>
      </c>
      <c r="X11" s="701"/>
      <c r="Y11" s="3626"/>
      <c r="Z11" s="51"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5"/>
      <c r="M12" s="2716"/>
      <c r="N12" s="2716"/>
      <c r="O12" s="2716"/>
      <c r="P12" s="3743"/>
      <c r="Q12" s="1341">
        <f t="shared" si="6"/>
        <v>111</v>
      </c>
      <c r="R12" s="699" t="s">
        <v>18</v>
      </c>
      <c r="S12" s="700">
        <f t="shared" si="0"/>
        <v>100</v>
      </c>
      <c r="T12" s="699" t="s">
        <v>18</v>
      </c>
      <c r="U12" s="700">
        <f t="shared" si="1"/>
        <v>100</v>
      </c>
      <c r="V12" s="699" t="s">
        <v>18</v>
      </c>
      <c r="W12" s="700">
        <f t="shared" si="2"/>
        <v>100</v>
      </c>
      <c r="X12" s="701"/>
      <c r="Y12" s="3626"/>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20"/>
      <c r="M13" s="2714"/>
      <c r="N13" s="2714"/>
      <c r="O13" s="2714"/>
      <c r="P13" s="3743"/>
      <c r="Q13" s="1341">
        <f t="shared" si="6"/>
        <v>111</v>
      </c>
      <c r="R13" s="699" t="s">
        <v>18</v>
      </c>
      <c r="S13" s="700">
        <f t="shared" si="0"/>
        <v>100</v>
      </c>
      <c r="T13" s="699" t="s">
        <v>18</v>
      </c>
      <c r="U13" s="700">
        <f t="shared" si="1"/>
        <v>100</v>
      </c>
      <c r="V13" s="699" t="s">
        <v>18</v>
      </c>
      <c r="W13" s="700">
        <f t="shared" si="2"/>
        <v>100</v>
      </c>
      <c r="X13" s="701"/>
      <c r="Y13" s="3626"/>
      <c r="Z13" s="51">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20"/>
      <c r="M14" s="2714"/>
      <c r="N14" s="2714"/>
      <c r="O14" s="2714"/>
      <c r="P14" s="3743"/>
      <c r="Q14" s="1341">
        <f t="shared" si="6"/>
        <v>111</v>
      </c>
      <c r="R14" s="699" t="s">
        <v>18</v>
      </c>
      <c r="S14" s="700">
        <f t="shared" si="0"/>
        <v>100</v>
      </c>
      <c r="T14" s="699" t="s">
        <v>18</v>
      </c>
      <c r="U14" s="700">
        <f t="shared" si="1"/>
        <v>100</v>
      </c>
      <c r="V14" s="699" t="s">
        <v>18</v>
      </c>
      <c r="W14" s="700">
        <f t="shared" si="2"/>
        <v>100</v>
      </c>
      <c r="X14" s="701"/>
      <c r="Y14" s="3626"/>
      <c r="Z14" s="51">
        <f t="shared" si="7"/>
        <v>111</v>
      </c>
      <c r="AA14" s="702">
        <f t="shared" si="3"/>
        <v>1</v>
      </c>
      <c r="AB14" s="702">
        <f t="shared" si="4"/>
        <v>1</v>
      </c>
      <c r="AC14" s="702">
        <f t="shared" si="5"/>
        <v>1</v>
      </c>
    </row>
    <row r="15" spans="1:29" ht="85.5">
      <c r="A15" s="390" t="s">
        <v>1690</v>
      </c>
      <c r="B15" s="60"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0"/>
      <c r="M15" s="2714"/>
      <c r="N15" s="2714"/>
      <c r="O15" s="2714"/>
      <c r="P15" s="3741" t="s">
        <v>1691</v>
      </c>
      <c r="Q15" s="1350" t="str">
        <f t="shared" si="6"/>
        <v>居住社区成熟度</v>
      </c>
      <c r="R15" s="703" t="s">
        <v>18</v>
      </c>
      <c r="S15" s="704">
        <f t="shared" si="0"/>
        <v>100</v>
      </c>
      <c r="T15" s="703" t="s">
        <v>18</v>
      </c>
      <c r="U15" s="704">
        <f t="shared" si="1"/>
        <v>100</v>
      </c>
      <c r="V15" s="703" t="s">
        <v>18</v>
      </c>
      <c r="W15" s="704">
        <f t="shared" si="2"/>
        <v>100</v>
      </c>
      <c r="X15" s="1353"/>
      <c r="Y15" s="3734"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20"/>
      <c r="M16" s="2714"/>
      <c r="N16" s="2714"/>
      <c r="O16" s="2714"/>
      <c r="P16" s="3742"/>
      <c r="Q16" s="1350"/>
      <c r="R16" s="703"/>
      <c r="S16" s="704"/>
      <c r="T16" s="703"/>
      <c r="U16" s="704"/>
      <c r="V16" s="703"/>
      <c r="W16" s="704"/>
      <c r="X16" s="1353"/>
      <c r="Y16" s="3735"/>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0"/>
      <c r="M17" s="2714"/>
      <c r="N17" s="2714"/>
      <c r="O17" s="2714"/>
      <c r="P17" s="3742"/>
      <c r="Q17" s="1350" t="str">
        <f>B17</f>
        <v>交通便捷度</v>
      </c>
      <c r="R17" s="703" t="s">
        <v>18</v>
      </c>
      <c r="S17" s="704">
        <f>F17</f>
        <v>100</v>
      </c>
      <c r="T17" s="703" t="s">
        <v>18</v>
      </c>
      <c r="U17" s="704">
        <f>H17</f>
        <v>100</v>
      </c>
      <c r="V17" s="703" t="s">
        <v>18</v>
      </c>
      <c r="W17" s="704">
        <f>J17</f>
        <v>100</v>
      </c>
      <c r="X17" s="1353"/>
      <c r="Y17" s="3735"/>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20"/>
      <c r="M18" s="2714"/>
      <c r="N18" s="2714"/>
      <c r="O18" s="2714"/>
      <c r="P18" s="3742"/>
      <c r="Q18" s="1350"/>
      <c r="R18" s="703"/>
      <c r="S18" s="704"/>
      <c r="T18" s="703"/>
      <c r="U18" s="704"/>
      <c r="V18" s="703"/>
      <c r="W18" s="704"/>
      <c r="X18" s="1353"/>
      <c r="Y18" s="3735"/>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0"/>
      <c r="M19" s="2714"/>
      <c r="N19" s="2714"/>
      <c r="O19" s="2714"/>
      <c r="P19" s="3742"/>
      <c r="Q19" s="1350" t="str">
        <f>B19</f>
        <v>公共配套设施</v>
      </c>
      <c r="R19" s="703" t="s">
        <v>18</v>
      </c>
      <c r="S19" s="704">
        <f>F19</f>
        <v>100</v>
      </c>
      <c r="T19" s="703" t="s">
        <v>18</v>
      </c>
      <c r="U19" s="704">
        <f>H19</f>
        <v>100</v>
      </c>
      <c r="V19" s="703" t="s">
        <v>18</v>
      </c>
      <c r="W19" s="704">
        <f>J19</f>
        <v>100</v>
      </c>
      <c r="X19" s="1353"/>
      <c r="Y19" s="3735"/>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20"/>
      <c r="M20" s="2714"/>
      <c r="N20" s="2714"/>
      <c r="O20" s="2714"/>
      <c r="P20" s="3742"/>
      <c r="Q20" s="1350"/>
      <c r="R20" s="703"/>
      <c r="S20" s="704"/>
      <c r="T20" s="703"/>
      <c r="U20" s="704"/>
      <c r="V20" s="703"/>
      <c r="W20" s="704"/>
      <c r="X20" s="1353"/>
      <c r="Y20" s="3735"/>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0"/>
      <c r="M21" s="2714"/>
      <c r="N21" s="2714"/>
      <c r="O21" s="2714"/>
      <c r="P21" s="3742"/>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20"/>
      <c r="M22" s="2714"/>
      <c r="N22" s="2714"/>
      <c r="O22" s="2714"/>
      <c r="P22" s="3742"/>
      <c r="Q22" s="1350"/>
      <c r="R22" s="703"/>
      <c r="S22" s="704"/>
      <c r="T22" s="703"/>
      <c r="U22" s="704"/>
      <c r="V22" s="703"/>
      <c r="W22" s="704"/>
      <c r="X22" s="1353"/>
      <c r="Y22" s="3735"/>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0"/>
      <c r="M23" s="2714"/>
      <c r="N23" s="2714"/>
      <c r="O23" s="2714"/>
      <c r="P23" s="3742"/>
      <c r="Q23" s="1350" t="str">
        <f>B23</f>
        <v>自然及人文环境</v>
      </c>
      <c r="R23" s="703" t="s">
        <v>18</v>
      </c>
      <c r="S23" s="704">
        <f>F23</f>
        <v>100</v>
      </c>
      <c r="T23" s="703" t="s">
        <v>18</v>
      </c>
      <c r="U23" s="704">
        <f>H23</f>
        <v>100</v>
      </c>
      <c r="V23" s="703" t="s">
        <v>18</v>
      </c>
      <c r="W23" s="704">
        <f>J23</f>
        <v>100</v>
      </c>
      <c r="X23" s="1353"/>
      <c r="Y23" s="3735"/>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20"/>
      <c r="M24" s="2714"/>
      <c r="N24" s="2714"/>
      <c r="O24" s="2714"/>
      <c r="P24" s="3742"/>
      <c r="Q24" s="1350"/>
      <c r="R24" s="703"/>
      <c r="S24" s="704"/>
      <c r="T24" s="703"/>
      <c r="U24" s="704"/>
      <c r="V24" s="703"/>
      <c r="W24" s="704"/>
      <c r="X24" s="1353"/>
      <c r="Y24" s="3735"/>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20"/>
      <c r="M25" s="2714"/>
      <c r="N25" s="2714"/>
      <c r="O25" s="2714"/>
      <c r="P25" s="374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5"/>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20"/>
      <c r="M26" s="2714"/>
      <c r="N26" s="2714"/>
      <c r="O26" s="2714"/>
      <c r="P26" s="3742"/>
      <c r="Q26" s="1350" t="str">
        <f t="shared" si="11"/>
        <v>朝向</v>
      </c>
      <c r="R26" s="703" t="s">
        <v>18</v>
      </c>
      <c r="S26" s="704">
        <f t="shared" si="12"/>
        <v>100</v>
      </c>
      <c r="T26" s="703" t="s">
        <v>18</v>
      </c>
      <c r="U26" s="704">
        <f t="shared" si="13"/>
        <v>100</v>
      </c>
      <c r="V26" s="703" t="s">
        <v>18</v>
      </c>
      <c r="W26" s="704">
        <f t="shared" si="14"/>
        <v>100</v>
      </c>
      <c r="X26" s="1353"/>
      <c r="Y26" s="3735"/>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5"/>
      <c r="M27" s="2716"/>
      <c r="N27" s="2716"/>
      <c r="O27" s="2716"/>
      <c r="P27" s="3742"/>
      <c r="Q27" s="1341">
        <f t="shared" si="11"/>
        <v>111</v>
      </c>
      <c r="R27" s="699" t="s">
        <v>18</v>
      </c>
      <c r="S27" s="700">
        <f t="shared" si="12"/>
        <v>100</v>
      </c>
      <c r="T27" s="699" t="s">
        <v>18</v>
      </c>
      <c r="U27" s="700">
        <f t="shared" si="13"/>
        <v>100</v>
      </c>
      <c r="V27" s="699" t="s">
        <v>18</v>
      </c>
      <c r="W27" s="700">
        <f t="shared" si="14"/>
        <v>100</v>
      </c>
      <c r="X27" s="701"/>
      <c r="Y27" s="3735"/>
      <c r="Z27" s="51">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20"/>
      <c r="M28" s="2714"/>
      <c r="N28" s="2714"/>
      <c r="O28" s="2714"/>
      <c r="P28" s="3742"/>
      <c r="Q28" s="1350">
        <f t="shared" si="11"/>
        <v>111</v>
      </c>
      <c r="R28" s="703" t="s">
        <v>18</v>
      </c>
      <c r="S28" s="704">
        <f t="shared" si="12"/>
        <v>100</v>
      </c>
      <c r="T28" s="703" t="s">
        <v>18</v>
      </c>
      <c r="U28" s="704">
        <f t="shared" si="13"/>
        <v>100</v>
      </c>
      <c r="V28" s="703" t="s">
        <v>18</v>
      </c>
      <c r="W28" s="704">
        <f t="shared" si="14"/>
        <v>100</v>
      </c>
      <c r="X28" s="1353"/>
      <c r="Y28" s="3735"/>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20"/>
      <c r="M29" s="2714"/>
      <c r="N29" s="2714"/>
      <c r="O29" s="2714"/>
      <c r="P29" s="3742"/>
      <c r="Q29" s="1350">
        <f t="shared" si="11"/>
        <v>111</v>
      </c>
      <c r="R29" s="703" t="s">
        <v>18</v>
      </c>
      <c r="S29" s="704">
        <f t="shared" si="12"/>
        <v>100</v>
      </c>
      <c r="T29" s="703" t="s">
        <v>18</v>
      </c>
      <c r="U29" s="704">
        <f t="shared" si="13"/>
        <v>100</v>
      </c>
      <c r="V29" s="703" t="s">
        <v>18</v>
      </c>
      <c r="W29" s="704">
        <f t="shared" si="14"/>
        <v>100</v>
      </c>
      <c r="X29" s="1353"/>
      <c r="Y29" s="3735"/>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20"/>
      <c r="M30" s="2714"/>
      <c r="N30" s="2714"/>
      <c r="O30" s="2714"/>
      <c r="P30" s="3742"/>
      <c r="Q30" s="1350">
        <f t="shared" si="11"/>
        <v>111</v>
      </c>
      <c r="R30" s="703" t="s">
        <v>18</v>
      </c>
      <c r="S30" s="704">
        <f t="shared" si="12"/>
        <v>100</v>
      </c>
      <c r="T30" s="703" t="s">
        <v>18</v>
      </c>
      <c r="U30" s="704">
        <f t="shared" si="13"/>
        <v>100</v>
      </c>
      <c r="V30" s="703" t="s">
        <v>18</v>
      </c>
      <c r="W30" s="704">
        <f t="shared" si="14"/>
        <v>100</v>
      </c>
      <c r="X30" s="1353"/>
      <c r="Y30" s="3735"/>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20"/>
      <c r="M31" s="2714"/>
      <c r="N31" s="2714"/>
      <c r="O31" s="2714"/>
      <c r="P31" s="3742"/>
      <c r="Q31" s="1350">
        <f t="shared" si="11"/>
        <v>111</v>
      </c>
      <c r="R31" s="703" t="s">
        <v>18</v>
      </c>
      <c r="S31" s="704">
        <f t="shared" si="12"/>
        <v>100</v>
      </c>
      <c r="T31" s="703" t="s">
        <v>18</v>
      </c>
      <c r="U31" s="704">
        <f t="shared" si="13"/>
        <v>100</v>
      </c>
      <c r="V31" s="703" t="s">
        <v>18</v>
      </c>
      <c r="W31" s="704">
        <f t="shared" si="14"/>
        <v>100</v>
      </c>
      <c r="X31" s="1353"/>
      <c r="Y31" s="3735"/>
      <c r="Z31" s="1354">
        <f t="shared" si="18"/>
        <v>111</v>
      </c>
      <c r="AA31" s="1351">
        <f t="shared" si="15"/>
        <v>1</v>
      </c>
      <c r="AB31" s="1351">
        <f t="shared" si="16"/>
        <v>1</v>
      </c>
      <c r="AC31" s="1351">
        <f t="shared" si="17"/>
        <v>1</v>
      </c>
    </row>
    <row r="32" spans="1:29" ht="15">
      <c r="A32" s="390" t="s">
        <v>1694</v>
      </c>
      <c r="B32" s="62"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20"/>
      <c r="M32" s="2714"/>
      <c r="N32" s="2714"/>
      <c r="O32" s="2714"/>
      <c r="P32" s="3736" t="s">
        <v>1696</v>
      </c>
      <c r="Q32" s="1350" t="str">
        <f t="shared" si="11"/>
        <v>建筑类型</v>
      </c>
      <c r="R32" s="703" t="s">
        <v>18</v>
      </c>
      <c r="S32" s="704">
        <f t="shared" si="12"/>
        <v>100</v>
      </c>
      <c r="T32" s="703" t="s">
        <v>18</v>
      </c>
      <c r="U32" s="704">
        <f t="shared" si="13"/>
        <v>100</v>
      </c>
      <c r="V32" s="703" t="s">
        <v>18</v>
      </c>
      <c r="W32" s="704">
        <f t="shared" si="14"/>
        <v>100</v>
      </c>
      <c r="X32" s="1353"/>
      <c r="Y32" s="3739"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9"/>
      <c r="M33" s="2721"/>
      <c r="N33" s="2721"/>
      <c r="O33" s="2721"/>
      <c r="P33" s="3737"/>
      <c r="Q33" s="705" t="str">
        <f t="shared" si="11"/>
        <v>项目建筑规模</v>
      </c>
      <c r="R33" s="706" t="s">
        <v>18</v>
      </c>
      <c r="S33" s="707" t="e">
        <f t="shared" si="12"/>
        <v>#N/A</v>
      </c>
      <c r="T33" s="706" t="s">
        <v>18</v>
      </c>
      <c r="U33" s="707" t="e">
        <f t="shared" si="13"/>
        <v>#N/A</v>
      </c>
      <c r="V33" s="706" t="s">
        <v>18</v>
      </c>
      <c r="W33" s="707" t="e">
        <f t="shared" si="14"/>
        <v>#N/A</v>
      </c>
      <c r="X33" s="708"/>
      <c r="Y33" s="3739"/>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20"/>
      <c r="M34" s="2714"/>
      <c r="N34" s="2714"/>
      <c r="O34" s="2714"/>
      <c r="P34" s="3737"/>
      <c r="Q34" s="1350" t="str">
        <f t="shared" si="11"/>
        <v>建筑结构</v>
      </c>
      <c r="R34" s="703" t="s">
        <v>18</v>
      </c>
      <c r="S34" s="704">
        <f t="shared" si="12"/>
        <v>100</v>
      </c>
      <c r="T34" s="703" t="s">
        <v>18</v>
      </c>
      <c r="U34" s="704">
        <f t="shared" si="13"/>
        <v>100</v>
      </c>
      <c r="V34" s="703" t="s">
        <v>18</v>
      </c>
      <c r="W34" s="704">
        <f t="shared" si="14"/>
        <v>100</v>
      </c>
      <c r="X34" s="1353"/>
      <c r="Y34" s="3739"/>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20"/>
      <c r="M35" s="2714"/>
      <c r="N35" s="2714"/>
      <c r="O35" s="2714"/>
      <c r="P35" s="3737"/>
      <c r="Q35" s="1350" t="str">
        <f t="shared" si="11"/>
        <v>建筑品质</v>
      </c>
      <c r="R35" s="703" t="s">
        <v>18</v>
      </c>
      <c r="S35" s="704">
        <f t="shared" si="12"/>
        <v>100</v>
      </c>
      <c r="T35" s="703" t="s">
        <v>18</v>
      </c>
      <c r="U35" s="704">
        <f t="shared" si="13"/>
        <v>100</v>
      </c>
      <c r="V35" s="703" t="s">
        <v>18</v>
      </c>
      <c r="W35" s="704">
        <f t="shared" si="14"/>
        <v>100</v>
      </c>
      <c r="X35" s="1353"/>
      <c r="Y35" s="3739"/>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20"/>
      <c r="M36" s="2714"/>
      <c r="N36" s="2714"/>
      <c r="O36" s="2714"/>
      <c r="P36" s="3737"/>
      <c r="Q36" s="1350" t="str">
        <f t="shared" si="11"/>
        <v>公共部分装修</v>
      </c>
      <c r="R36" s="703" t="s">
        <v>18</v>
      </c>
      <c r="S36" s="704">
        <f t="shared" si="12"/>
        <v>100</v>
      </c>
      <c r="T36" s="703" t="s">
        <v>18</v>
      </c>
      <c r="U36" s="704">
        <f t="shared" si="13"/>
        <v>100</v>
      </c>
      <c r="V36" s="703" t="s">
        <v>18</v>
      </c>
      <c r="W36" s="704">
        <f t="shared" si="14"/>
        <v>100</v>
      </c>
      <c r="X36" s="1353"/>
      <c r="Y36" s="3739"/>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5"/>
      <c r="M37" s="2716"/>
      <c r="N37" s="2716"/>
      <c r="O37" s="2716"/>
      <c r="P37" s="3737"/>
      <c r="Q37" s="1341" t="str">
        <f t="shared" si="11"/>
        <v>成新度</v>
      </c>
      <c r="R37" s="699" t="s">
        <v>18</v>
      </c>
      <c r="S37" s="700" t="e">
        <f t="shared" si="12"/>
        <v>#N/A</v>
      </c>
      <c r="T37" s="699" t="s">
        <v>18</v>
      </c>
      <c r="U37" s="700" t="e">
        <f t="shared" si="13"/>
        <v>#N/A</v>
      </c>
      <c r="V37" s="699" t="s">
        <v>18</v>
      </c>
      <c r="W37" s="700" t="e">
        <f t="shared" si="14"/>
        <v>#N/A</v>
      </c>
      <c r="X37" s="701"/>
      <c r="Y37" s="3739"/>
      <c r="Z37" s="51"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20"/>
      <c r="M38" s="2714"/>
      <c r="N38" s="2714"/>
      <c r="O38" s="2714"/>
      <c r="P38" s="3737" t="s">
        <v>1696</v>
      </c>
      <c r="Q38" s="1350" t="str">
        <f t="shared" si="11"/>
        <v>物业管理</v>
      </c>
      <c r="R38" s="703" t="s">
        <v>18</v>
      </c>
      <c r="S38" s="704">
        <f t="shared" si="12"/>
        <v>100</v>
      </c>
      <c r="T38" s="703" t="s">
        <v>18</v>
      </c>
      <c r="U38" s="704">
        <f t="shared" si="13"/>
        <v>100</v>
      </c>
      <c r="V38" s="703" t="s">
        <v>18</v>
      </c>
      <c r="W38" s="704">
        <f t="shared" si="14"/>
        <v>100</v>
      </c>
      <c r="X38" s="1353"/>
      <c r="Y38" s="3739"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20"/>
      <c r="M39" s="2714"/>
      <c r="N39" s="2714"/>
      <c r="O39" s="2714"/>
      <c r="P39" s="3737"/>
      <c r="Q39" s="1350" t="str">
        <f t="shared" si="11"/>
        <v>市政基础设施</v>
      </c>
      <c r="R39" s="703" t="s">
        <v>18</v>
      </c>
      <c r="S39" s="704">
        <f t="shared" si="12"/>
        <v>100</v>
      </c>
      <c r="T39" s="703" t="s">
        <v>18</v>
      </c>
      <c r="U39" s="704">
        <f t="shared" si="13"/>
        <v>100</v>
      </c>
      <c r="V39" s="703" t="s">
        <v>18</v>
      </c>
      <c r="W39" s="704">
        <f t="shared" si="14"/>
        <v>100</v>
      </c>
      <c r="X39" s="1353"/>
      <c r="Y39" s="3739"/>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20"/>
      <c r="M40" s="2714"/>
      <c r="N40" s="2714"/>
      <c r="O40" s="2714"/>
      <c r="P40" s="3737"/>
      <c r="Q40" s="1350" t="str">
        <f t="shared" si="11"/>
        <v>房型</v>
      </c>
      <c r="R40" s="703" t="s">
        <v>18</v>
      </c>
      <c r="S40" s="704">
        <f t="shared" si="12"/>
        <v>100</v>
      </c>
      <c r="T40" s="703" t="s">
        <v>18</v>
      </c>
      <c r="U40" s="704">
        <f t="shared" si="13"/>
        <v>100</v>
      </c>
      <c r="V40" s="703" t="s">
        <v>18</v>
      </c>
      <c r="W40" s="704">
        <f t="shared" si="14"/>
        <v>100</v>
      </c>
      <c r="X40" s="1353"/>
      <c r="Y40" s="3739"/>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9"/>
      <c r="M41" s="2721"/>
      <c r="N41" s="2721"/>
      <c r="O41" s="2721"/>
      <c r="P41" s="3737"/>
      <c r="Q41" s="705" t="str">
        <f t="shared" si="11"/>
        <v>单套/主力户型建筑面积</v>
      </c>
      <c r="R41" s="706" t="s">
        <v>18</v>
      </c>
      <c r="S41" s="707">
        <f t="shared" si="12"/>
        <v>100</v>
      </c>
      <c r="T41" s="706" t="s">
        <v>18</v>
      </c>
      <c r="U41" s="707">
        <f t="shared" si="13"/>
        <v>100</v>
      </c>
      <c r="V41" s="706" t="s">
        <v>18</v>
      </c>
      <c r="W41" s="707">
        <f t="shared" si="14"/>
        <v>100</v>
      </c>
      <c r="X41" s="708"/>
      <c r="Y41" s="3739"/>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20"/>
      <c r="M42" s="2714"/>
      <c r="N42" s="2714"/>
      <c r="O42" s="2714"/>
      <c r="P42" s="3737"/>
      <c r="Q42" s="1350" t="str">
        <f t="shared" si="11"/>
        <v>内部装修</v>
      </c>
      <c r="R42" s="703" t="s">
        <v>18</v>
      </c>
      <c r="S42" s="704">
        <f t="shared" si="12"/>
        <v>100</v>
      </c>
      <c r="T42" s="703" t="s">
        <v>18</v>
      </c>
      <c r="U42" s="704">
        <f t="shared" si="13"/>
        <v>100</v>
      </c>
      <c r="V42" s="703" t="s">
        <v>18</v>
      </c>
      <c r="W42" s="704">
        <f t="shared" si="14"/>
        <v>100</v>
      </c>
      <c r="X42" s="1353"/>
      <c r="Y42" s="3739"/>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20"/>
      <c r="M43" s="2714"/>
      <c r="N43" s="2714"/>
      <c r="O43" s="2714"/>
      <c r="P43" s="3737"/>
      <c r="Q43" s="1350" t="str">
        <f t="shared" si="11"/>
        <v>内部装修维护情况</v>
      </c>
      <c r="R43" s="703" t="s">
        <v>18</v>
      </c>
      <c r="S43" s="704">
        <f t="shared" si="12"/>
        <v>100</v>
      </c>
      <c r="T43" s="703" t="s">
        <v>18</v>
      </c>
      <c r="U43" s="704">
        <f t="shared" si="13"/>
        <v>100</v>
      </c>
      <c r="V43" s="703" t="s">
        <v>18</v>
      </c>
      <c r="W43" s="704">
        <f t="shared" si="14"/>
        <v>100</v>
      </c>
      <c r="X43" s="1353"/>
      <c r="Y43" s="3739"/>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5"/>
      <c r="M44" s="2716"/>
      <c r="N44" s="2716"/>
      <c r="O44" s="2716"/>
      <c r="P44" s="3737"/>
      <c r="Q44" s="1341">
        <f t="shared" si="11"/>
        <v>111</v>
      </c>
      <c r="R44" s="699" t="s">
        <v>18</v>
      </c>
      <c r="S44" s="700">
        <f t="shared" si="12"/>
        <v>100</v>
      </c>
      <c r="T44" s="699" t="s">
        <v>18</v>
      </c>
      <c r="U44" s="700">
        <f t="shared" si="13"/>
        <v>100</v>
      </c>
      <c r="V44" s="699" t="s">
        <v>18</v>
      </c>
      <c r="W44" s="700">
        <f t="shared" si="14"/>
        <v>100</v>
      </c>
      <c r="X44" s="701"/>
      <c r="Y44" s="3739"/>
      <c r="Z44" s="51">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20"/>
      <c r="M45" s="2714"/>
      <c r="N45" s="2714"/>
      <c r="O45" s="2714"/>
      <c r="P45" s="3737"/>
      <c r="Q45" s="1350">
        <f t="shared" si="11"/>
        <v>111</v>
      </c>
      <c r="R45" s="703" t="s">
        <v>18</v>
      </c>
      <c r="S45" s="704">
        <f t="shared" si="12"/>
        <v>100</v>
      </c>
      <c r="T45" s="703" t="s">
        <v>18</v>
      </c>
      <c r="U45" s="704">
        <f t="shared" si="13"/>
        <v>100</v>
      </c>
      <c r="V45" s="703" t="s">
        <v>18</v>
      </c>
      <c r="W45" s="704">
        <f t="shared" si="14"/>
        <v>100</v>
      </c>
      <c r="X45" s="1353"/>
      <c r="Y45" s="3739"/>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20"/>
      <c r="M46" s="2714"/>
      <c r="N46" s="2714"/>
      <c r="O46" s="2714"/>
      <c r="P46" s="3738"/>
      <c r="Q46" s="1350">
        <f t="shared" si="11"/>
        <v>111</v>
      </c>
      <c r="R46" s="703" t="s">
        <v>17</v>
      </c>
      <c r="S46" s="704">
        <f t="shared" si="12"/>
        <v>100</v>
      </c>
      <c r="T46" s="703" t="s">
        <v>17</v>
      </c>
      <c r="U46" s="704">
        <f t="shared" si="13"/>
        <v>100</v>
      </c>
      <c r="V46" s="703" t="s">
        <v>17</v>
      </c>
      <c r="W46" s="704">
        <f t="shared" si="14"/>
        <v>100</v>
      </c>
      <c r="X46" s="1353"/>
      <c r="Y46" s="3740"/>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2"/>
      <c r="M47" s="2723"/>
      <c r="N47" s="2714"/>
      <c r="O47" s="2723"/>
      <c r="P47" s="3732" t="str">
        <f>A47</f>
        <v>成交单价（元/平方米）</v>
      </c>
      <c r="Q47" s="3732"/>
      <c r="R47" s="3733">
        <f>E47</f>
        <v>0</v>
      </c>
      <c r="S47" s="3733"/>
      <c r="T47" s="3733">
        <f>G47</f>
        <v>0</v>
      </c>
      <c r="U47" s="3733"/>
      <c r="V47" s="3733">
        <f>I47</f>
        <v>0</v>
      </c>
      <c r="W47" s="3733"/>
      <c r="X47" s="688"/>
      <c r="Y47" s="710"/>
      <c r="Z47" s="688"/>
      <c r="AA47" s="688"/>
      <c r="AB47" s="688"/>
      <c r="AC47" s="688"/>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row>
    <row r="53" spans="1:29" ht="13.5" customHeight="1">
      <c r="A53" s="2723"/>
      <c r="B53" s="2723"/>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row>
    <row r="54" spans="1:29" s="450" customFormat="1" ht="13.5" customHeight="1">
      <c r="A54" s="2726"/>
      <c r="B54" s="2726"/>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1915"/>
    </row>
    <row r="55" spans="1:29" s="450"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8327.76</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4" t="s">
        <v>1769</v>
      </c>
      <c r="B4" s="355"/>
      <c r="C4" s="3747" t="s">
        <v>1770</v>
      </c>
      <c r="D4" s="3748"/>
      <c r="E4" s="3749" t="s">
        <v>1771</v>
      </c>
      <c r="F4" s="3750"/>
      <c r="G4" s="3747" t="s">
        <v>1772</v>
      </c>
      <c r="H4" s="3748"/>
      <c r="I4" s="3747" t="s">
        <v>1773</v>
      </c>
      <c r="J4" s="3748"/>
      <c r="K4" s="558" t="s">
        <v>1774</v>
      </c>
      <c r="L4" s="2713"/>
      <c r="M4" s="2714"/>
      <c r="N4" s="2714"/>
      <c r="O4" s="2714"/>
      <c r="P4" s="3751" t="s">
        <v>1775</v>
      </c>
      <c r="Q4" s="3752"/>
      <c r="R4" s="3757" t="s">
        <v>1771</v>
      </c>
      <c r="S4" s="3758"/>
      <c r="T4" s="3757" t="s">
        <v>1772</v>
      </c>
      <c r="U4" s="3758"/>
      <c r="V4" s="3763" t="s">
        <v>1773</v>
      </c>
      <c r="W4" s="3763"/>
      <c r="X4" s="1353"/>
      <c r="Y4" s="3757" t="s">
        <v>1775</v>
      </c>
      <c r="Z4" s="3758"/>
      <c r="AA4" s="3744" t="s">
        <v>1771</v>
      </c>
      <c r="AB4" s="3763" t="s">
        <v>1772</v>
      </c>
      <c r="AC4" s="3744" t="s">
        <v>1773</v>
      </c>
    </row>
    <row r="5" spans="1:29" ht="15">
      <c r="A5" s="357"/>
      <c r="B5" s="358"/>
      <c r="C5" s="3766" t="s">
        <v>1673</v>
      </c>
      <c r="D5" s="3767"/>
      <c r="E5" s="3773" t="s">
        <v>1674</v>
      </c>
      <c r="F5" s="3774"/>
      <c r="G5" s="3766" t="s">
        <v>1675</v>
      </c>
      <c r="H5" s="3767"/>
      <c r="I5" s="3766" t="s">
        <v>1676</v>
      </c>
      <c r="J5" s="3767"/>
      <c r="K5" s="558"/>
      <c r="L5" s="2713"/>
      <c r="M5" s="2714"/>
      <c r="N5" s="2714"/>
      <c r="O5" s="2714"/>
      <c r="P5" s="3753"/>
      <c r="Q5" s="3754"/>
      <c r="R5" s="3759"/>
      <c r="S5" s="3760"/>
      <c r="T5" s="3759"/>
      <c r="U5" s="3760"/>
      <c r="V5" s="3763"/>
      <c r="W5" s="3763"/>
      <c r="X5" s="1353"/>
      <c r="Y5" s="3759"/>
      <c r="Z5" s="3760"/>
      <c r="AA5" s="3745"/>
      <c r="AB5" s="3763"/>
      <c r="AC5" s="3745"/>
    </row>
    <row r="6" spans="1:29" ht="15.75" thickBot="1">
      <c r="A6" s="359"/>
      <c r="B6" s="360"/>
      <c r="C6" s="3764" t="s">
        <v>1677</v>
      </c>
      <c r="D6" s="3765"/>
      <c r="E6" s="3771" t="s">
        <v>1677</v>
      </c>
      <c r="F6" s="3772"/>
      <c r="G6" s="3764" t="s">
        <v>1677</v>
      </c>
      <c r="H6" s="3765"/>
      <c r="I6" s="3764" t="s">
        <v>1677</v>
      </c>
      <c r="J6" s="3765"/>
      <c r="K6" s="558" t="s">
        <v>1678</v>
      </c>
      <c r="L6" s="2713"/>
      <c r="M6" s="2714"/>
      <c r="N6" s="2714"/>
      <c r="O6" s="2714"/>
      <c r="P6" s="3755"/>
      <c r="Q6" s="3756"/>
      <c r="R6" s="3759"/>
      <c r="S6" s="3760"/>
      <c r="T6" s="3761"/>
      <c r="U6" s="3762"/>
      <c r="V6" s="3763"/>
      <c r="W6" s="3763"/>
      <c r="X6" s="1353"/>
      <c r="Y6" s="3761"/>
      <c r="Z6" s="3762"/>
      <c r="AA6" s="3746"/>
      <c r="AB6" s="3763"/>
      <c r="AC6" s="3746"/>
    </row>
    <row r="7" spans="1:29" s="107" customFormat="1" ht="15.75" thickBot="1">
      <c r="A7" s="361" t="s">
        <v>1679</v>
      </c>
      <c r="B7" s="362"/>
      <c r="C7" s="363">
        <f>'数据-取费表'!B2</f>
        <v>45062</v>
      </c>
      <c r="D7" s="364">
        <v>100</v>
      </c>
      <c r="E7" s="365"/>
      <c r="F7" s="366">
        <f>SUMIF(58:58,YEAR(E7)&amp;"-"&amp;MONTH(E7),59:59)</f>
        <v>0</v>
      </c>
      <c r="G7" s="365"/>
      <c r="H7" s="364">
        <f>SUMIF(58:58,YEAR(G7)&amp;"-"&amp;MONTH(G7),59:59)</f>
        <v>0</v>
      </c>
      <c r="I7" s="365"/>
      <c r="J7" s="364">
        <f>SUMIF(58:58,YEAR(I7)&amp;"-"&amp;MONTH(I7),59:59)</f>
        <v>0</v>
      </c>
      <c r="K7" s="559"/>
      <c r="L7" s="2715"/>
      <c r="M7" s="2716"/>
      <c r="N7" s="2716"/>
      <c r="O7" s="2716"/>
      <c r="P7" s="3768" t="s">
        <v>1680</v>
      </c>
      <c r="Q7" s="3770"/>
      <c r="R7" s="699" t="s">
        <v>14</v>
      </c>
      <c r="S7" s="700">
        <f t="shared" ref="S7:S15" si="0">F7</f>
        <v>0</v>
      </c>
      <c r="T7" s="699" t="s">
        <v>14</v>
      </c>
      <c r="U7" s="700">
        <f t="shared" ref="U7:U15" si="1">H7</f>
        <v>0</v>
      </c>
      <c r="V7" s="699" t="s">
        <v>14</v>
      </c>
      <c r="W7" s="700">
        <f t="shared" ref="W7:W15" si="2">J7</f>
        <v>0</v>
      </c>
      <c r="X7" s="701"/>
      <c r="Y7" s="3768" t="s">
        <v>1680</v>
      </c>
      <c r="Z7" s="3769"/>
      <c r="AA7" s="702" t="e">
        <f>D7/F7</f>
        <v>#DIV/0!</v>
      </c>
      <c r="AB7" s="702" t="e">
        <f>D7/H7</f>
        <v>#DIV/0!</v>
      </c>
      <c r="AC7" s="702"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5"/>
      <c r="M8" s="2716"/>
      <c r="N8" s="2716"/>
      <c r="O8" s="2716"/>
      <c r="P8" s="3768" t="s">
        <v>1683</v>
      </c>
      <c r="Q8" s="3769"/>
      <c r="R8" s="699" t="s">
        <v>14</v>
      </c>
      <c r="S8" s="700">
        <f t="shared" si="0"/>
        <v>100</v>
      </c>
      <c r="T8" s="699" t="s">
        <v>14</v>
      </c>
      <c r="U8" s="700">
        <f t="shared" si="1"/>
        <v>100</v>
      </c>
      <c r="V8" s="699" t="s">
        <v>14</v>
      </c>
      <c r="W8" s="700">
        <f t="shared" si="2"/>
        <v>100</v>
      </c>
      <c r="X8" s="701"/>
      <c r="Y8" s="3768" t="s">
        <v>1683</v>
      </c>
      <c r="Z8" s="3769"/>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5"/>
      <c r="M9" s="2716"/>
      <c r="N9" s="2716"/>
      <c r="O9" s="2716"/>
      <c r="P9" s="3743" t="s">
        <v>1686</v>
      </c>
      <c r="Q9" s="1341" t="str">
        <f t="shared" ref="Q9:Q15" si="6">B9</f>
        <v>用途</v>
      </c>
      <c r="R9" s="699" t="s">
        <v>14</v>
      </c>
      <c r="S9" s="700">
        <f t="shared" si="0"/>
        <v>100</v>
      </c>
      <c r="T9" s="699" t="s">
        <v>14</v>
      </c>
      <c r="U9" s="700">
        <f t="shared" si="1"/>
        <v>100</v>
      </c>
      <c r="V9" s="699" t="s">
        <v>14</v>
      </c>
      <c r="W9" s="700">
        <f t="shared" si="2"/>
        <v>100</v>
      </c>
      <c r="X9" s="701"/>
      <c r="Y9" s="3626"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559"/>
      <c r="L10" s="2717"/>
      <c r="M10" s="2718"/>
      <c r="N10" s="2718"/>
      <c r="O10" s="2718"/>
      <c r="P10" s="3743"/>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9"/>
      <c r="M11" s="2714"/>
      <c r="N11" s="2714"/>
      <c r="O11" s="2714"/>
      <c r="P11" s="3743"/>
      <c r="Q11" s="1341" t="str">
        <f t="shared" si="6"/>
        <v>容积率</v>
      </c>
      <c r="R11" s="699" t="s">
        <v>14</v>
      </c>
      <c r="S11" s="700" t="e">
        <f t="shared" si="0"/>
        <v>#N/A</v>
      </c>
      <c r="T11" s="699" t="s">
        <v>14</v>
      </c>
      <c r="U11" s="700" t="e">
        <f t="shared" si="1"/>
        <v>#N/A</v>
      </c>
      <c r="V11" s="699" t="s">
        <v>14</v>
      </c>
      <c r="W11" s="700" t="e">
        <f t="shared" si="2"/>
        <v>#N/A</v>
      </c>
      <c r="X11" s="701"/>
      <c r="Y11" s="3626"/>
      <c r="Z11" s="51" t="str">
        <f t="shared" si="7"/>
        <v>容积率</v>
      </c>
      <c r="AA11" s="702" t="e">
        <f t="shared" si="3"/>
        <v>#N/A</v>
      </c>
      <c r="AB11" s="702" t="e">
        <f t="shared" si="4"/>
        <v>#N/A</v>
      </c>
      <c r="AC11" s="702" t="e">
        <f t="shared" si="5"/>
        <v>#N/A</v>
      </c>
    </row>
    <row r="12" spans="1:29" s="107"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5"/>
      <c r="M12" s="2716"/>
      <c r="N12" s="2716"/>
      <c r="O12" s="2716"/>
      <c r="P12" s="3743"/>
      <c r="Q12" s="1341">
        <f t="shared" si="6"/>
        <v>111</v>
      </c>
      <c r="R12" s="699" t="s">
        <v>14</v>
      </c>
      <c r="S12" s="700">
        <f t="shared" si="0"/>
        <v>100</v>
      </c>
      <c r="T12" s="699" t="s">
        <v>14</v>
      </c>
      <c r="U12" s="700">
        <f t="shared" si="1"/>
        <v>100</v>
      </c>
      <c r="V12" s="699" t="s">
        <v>14</v>
      </c>
      <c r="W12" s="700">
        <f t="shared" si="2"/>
        <v>100</v>
      </c>
      <c r="X12" s="701"/>
      <c r="Y12" s="3626"/>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20"/>
      <c r="M13" s="2714"/>
      <c r="N13" s="2714"/>
      <c r="O13" s="2714"/>
      <c r="P13" s="3743"/>
      <c r="Q13" s="1341">
        <f t="shared" si="6"/>
        <v>111</v>
      </c>
      <c r="R13" s="699" t="s">
        <v>14</v>
      </c>
      <c r="S13" s="700">
        <f t="shared" si="0"/>
        <v>100</v>
      </c>
      <c r="T13" s="699" t="s">
        <v>14</v>
      </c>
      <c r="U13" s="700">
        <f t="shared" si="1"/>
        <v>100</v>
      </c>
      <c r="V13" s="699" t="s">
        <v>14</v>
      </c>
      <c r="W13" s="700">
        <f t="shared" si="2"/>
        <v>100</v>
      </c>
      <c r="X13" s="701"/>
      <c r="Y13" s="3626"/>
      <c r="Z13" s="51">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20"/>
      <c r="M14" s="2714"/>
      <c r="N14" s="2714"/>
      <c r="O14" s="2714"/>
      <c r="P14" s="3743"/>
      <c r="Q14" s="1341">
        <f t="shared" si="6"/>
        <v>111</v>
      </c>
      <c r="R14" s="699" t="s">
        <v>14</v>
      </c>
      <c r="S14" s="700">
        <f t="shared" si="0"/>
        <v>100</v>
      </c>
      <c r="T14" s="699" t="s">
        <v>14</v>
      </c>
      <c r="U14" s="700">
        <f t="shared" si="1"/>
        <v>100</v>
      </c>
      <c r="V14" s="699" t="s">
        <v>14</v>
      </c>
      <c r="W14" s="700">
        <f t="shared" si="2"/>
        <v>100</v>
      </c>
      <c r="X14" s="701"/>
      <c r="Y14" s="3626"/>
      <c r="Z14" s="51">
        <f t="shared" si="7"/>
        <v>111</v>
      </c>
      <c r="AA14" s="702">
        <f t="shared" si="3"/>
        <v>1</v>
      </c>
      <c r="AB14" s="702">
        <f t="shared" si="4"/>
        <v>1</v>
      </c>
      <c r="AC14" s="702">
        <f t="shared" si="5"/>
        <v>1</v>
      </c>
    </row>
    <row r="15" spans="1:29" ht="71.25">
      <c r="A15" s="390" t="s">
        <v>1690</v>
      </c>
      <c r="B15" s="60"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0"/>
      <c r="M15" s="2714"/>
      <c r="N15" s="2714"/>
      <c r="O15" s="2714"/>
      <c r="P15" s="3741" t="s">
        <v>1691</v>
      </c>
      <c r="Q15" s="1350" t="str">
        <f t="shared" si="6"/>
        <v>商业繁华度</v>
      </c>
      <c r="R15" s="703" t="s">
        <v>14</v>
      </c>
      <c r="S15" s="704">
        <f t="shared" si="0"/>
        <v>100</v>
      </c>
      <c r="T15" s="703" t="s">
        <v>14</v>
      </c>
      <c r="U15" s="704">
        <f t="shared" si="1"/>
        <v>100</v>
      </c>
      <c r="V15" s="703" t="s">
        <v>14</v>
      </c>
      <c r="W15" s="704">
        <f t="shared" si="2"/>
        <v>100</v>
      </c>
      <c r="X15" s="1353"/>
      <c r="Y15" s="3734"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20"/>
      <c r="M16" s="2714"/>
      <c r="N16" s="2714"/>
      <c r="O16" s="2714"/>
      <c r="P16" s="3742"/>
      <c r="Q16" s="1350"/>
      <c r="R16" s="703"/>
      <c r="S16" s="704"/>
      <c r="T16" s="703"/>
      <c r="U16" s="704"/>
      <c r="V16" s="703"/>
      <c r="W16" s="704"/>
      <c r="X16" s="1353"/>
      <c r="Y16" s="3735"/>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0"/>
      <c r="M17" s="2714"/>
      <c r="N17" s="2714"/>
      <c r="O17" s="2714"/>
      <c r="P17" s="3742"/>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20"/>
      <c r="M18" s="2714"/>
      <c r="N18" s="2714"/>
      <c r="O18" s="2714"/>
      <c r="P18" s="3742"/>
      <c r="Q18" s="1350"/>
      <c r="R18" s="703"/>
      <c r="S18" s="704"/>
      <c r="T18" s="703"/>
      <c r="U18" s="704"/>
      <c r="V18" s="703"/>
      <c r="W18" s="704"/>
      <c r="X18" s="1353"/>
      <c r="Y18" s="3735"/>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0"/>
      <c r="M19" s="2714"/>
      <c r="N19" s="2714"/>
      <c r="O19" s="2714"/>
      <c r="P19" s="3742"/>
      <c r="Q19" s="1350" t="str">
        <f>B19</f>
        <v>公共配套设施</v>
      </c>
      <c r="R19" s="703" t="s">
        <v>14</v>
      </c>
      <c r="S19" s="704">
        <f>F19</f>
        <v>100</v>
      </c>
      <c r="T19" s="703" t="s">
        <v>14</v>
      </c>
      <c r="U19" s="704">
        <f>H19</f>
        <v>100</v>
      </c>
      <c r="V19" s="703" t="s">
        <v>14</v>
      </c>
      <c r="W19" s="704">
        <f>J19</f>
        <v>100</v>
      </c>
      <c r="X19" s="1353"/>
      <c r="Y19" s="373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20"/>
      <c r="M20" s="2714"/>
      <c r="N20" s="2714"/>
      <c r="O20" s="2714"/>
      <c r="P20" s="3742"/>
      <c r="Q20" s="1350"/>
      <c r="R20" s="703"/>
      <c r="S20" s="704"/>
      <c r="T20" s="703"/>
      <c r="U20" s="704"/>
      <c r="V20" s="703"/>
      <c r="W20" s="704"/>
      <c r="X20" s="1353"/>
      <c r="Y20" s="3735"/>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0"/>
      <c r="M21" s="2714"/>
      <c r="N21" s="2714"/>
      <c r="O21" s="2714"/>
      <c r="P21" s="3742"/>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20"/>
      <c r="M22" s="2714"/>
      <c r="N22" s="2714"/>
      <c r="O22" s="2714"/>
      <c r="P22" s="3742"/>
      <c r="Q22" s="1350"/>
      <c r="R22" s="703"/>
      <c r="S22" s="704"/>
      <c r="T22" s="703"/>
      <c r="U22" s="704"/>
      <c r="V22" s="703"/>
      <c r="W22" s="704"/>
      <c r="X22" s="1353"/>
      <c r="Y22" s="3735"/>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0"/>
      <c r="M23" s="2714"/>
      <c r="N23" s="2714"/>
      <c r="O23" s="2714"/>
      <c r="P23" s="3742"/>
      <c r="Q23" s="1350" t="str">
        <f>B23</f>
        <v>自然及人文环境</v>
      </c>
      <c r="R23" s="703" t="s">
        <v>14</v>
      </c>
      <c r="S23" s="704">
        <f>F23</f>
        <v>100</v>
      </c>
      <c r="T23" s="703" t="s">
        <v>14</v>
      </c>
      <c r="U23" s="704">
        <f>H23</f>
        <v>100</v>
      </c>
      <c r="V23" s="703" t="s">
        <v>14</v>
      </c>
      <c r="W23" s="704">
        <f>J23</f>
        <v>100</v>
      </c>
      <c r="X23" s="1353"/>
      <c r="Y23" s="3735"/>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20"/>
      <c r="M24" s="2714"/>
      <c r="N24" s="2714"/>
      <c r="O24" s="2714"/>
      <c r="P24" s="3742"/>
      <c r="Q24" s="1350"/>
      <c r="R24" s="703"/>
      <c r="S24" s="704"/>
      <c r="T24" s="703"/>
      <c r="U24" s="704"/>
      <c r="V24" s="703"/>
      <c r="W24" s="704"/>
      <c r="X24" s="1353"/>
      <c r="Y24" s="3735"/>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0"/>
      <c r="M25" s="2714"/>
      <c r="N25" s="2714"/>
      <c r="O25" s="2714"/>
      <c r="P25" s="3742"/>
      <c r="Q25" s="1350" t="str">
        <f t="shared" ref="Q25:Q46" si="11">B25</f>
        <v>临街状况</v>
      </c>
      <c r="R25" s="703" t="s">
        <v>14</v>
      </c>
      <c r="S25" s="704">
        <f>F25</f>
        <v>100</v>
      </c>
      <c r="T25" s="703" t="s">
        <v>14</v>
      </c>
      <c r="U25" s="704">
        <f>H25</f>
        <v>100</v>
      </c>
      <c r="V25" s="703" t="s">
        <v>14</v>
      </c>
      <c r="W25" s="704">
        <f>J25</f>
        <v>100</v>
      </c>
      <c r="X25" s="1353"/>
      <c r="Y25" s="3735"/>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20"/>
      <c r="M26" s="2714"/>
      <c r="N26" s="2714"/>
      <c r="O26" s="2714"/>
      <c r="P26" s="3742"/>
      <c r="Q26" s="1350" t="str">
        <f t="shared" si="11"/>
        <v>平面位置/可视性</v>
      </c>
      <c r="R26" s="703" t="s">
        <v>14</v>
      </c>
      <c r="S26" s="704">
        <f>F26</f>
        <v>100</v>
      </c>
      <c r="T26" s="703" t="s">
        <v>14</v>
      </c>
      <c r="U26" s="704">
        <f>H26</f>
        <v>100</v>
      </c>
      <c r="V26" s="703" t="s">
        <v>14</v>
      </c>
      <c r="W26" s="704">
        <f>J26</f>
        <v>100</v>
      </c>
      <c r="X26" s="1353"/>
      <c r="Y26" s="3735"/>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5"/>
      <c r="M27" s="2716"/>
      <c r="N27" s="2716"/>
      <c r="O27" s="2716"/>
      <c r="P27" s="3742"/>
      <c r="Q27" s="1341" t="str">
        <f t="shared" si="11"/>
        <v>人流量</v>
      </c>
      <c r="R27" s="699" t="s">
        <v>14</v>
      </c>
      <c r="S27" s="700">
        <f>F27</f>
        <v>100</v>
      </c>
      <c r="T27" s="699" t="s">
        <v>14</v>
      </c>
      <c r="U27" s="700">
        <f>H27</f>
        <v>100</v>
      </c>
      <c r="V27" s="699" t="s">
        <v>14</v>
      </c>
      <c r="W27" s="700">
        <f>J27</f>
        <v>100</v>
      </c>
      <c r="X27" s="701"/>
      <c r="Y27" s="3735"/>
      <c r="Z27" s="51"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0"/>
      <c r="M28" s="2714"/>
      <c r="N28" s="2714"/>
      <c r="O28" s="2714"/>
      <c r="P28" s="374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5"/>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20"/>
      <c r="M29" s="2714"/>
      <c r="N29" s="2714"/>
      <c r="O29" s="2714"/>
      <c r="P29" s="3742"/>
      <c r="Q29" s="1350">
        <f t="shared" si="11"/>
        <v>111</v>
      </c>
      <c r="R29" s="703" t="s">
        <v>14</v>
      </c>
      <c r="S29" s="704">
        <f t="shared" si="12"/>
        <v>100</v>
      </c>
      <c r="T29" s="703" t="s">
        <v>14</v>
      </c>
      <c r="U29" s="704">
        <f t="shared" si="13"/>
        <v>100</v>
      </c>
      <c r="V29" s="703" t="s">
        <v>14</v>
      </c>
      <c r="W29" s="704">
        <f t="shared" si="14"/>
        <v>100</v>
      </c>
      <c r="X29" s="1353"/>
      <c r="Y29" s="3735"/>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20"/>
      <c r="M30" s="2714"/>
      <c r="N30" s="2714"/>
      <c r="O30" s="2714"/>
      <c r="P30" s="3742"/>
      <c r="Q30" s="1350">
        <f t="shared" si="11"/>
        <v>111</v>
      </c>
      <c r="R30" s="703" t="s">
        <v>14</v>
      </c>
      <c r="S30" s="704">
        <f t="shared" si="12"/>
        <v>100</v>
      </c>
      <c r="T30" s="703" t="s">
        <v>14</v>
      </c>
      <c r="U30" s="704">
        <f t="shared" si="13"/>
        <v>100</v>
      </c>
      <c r="V30" s="703" t="s">
        <v>14</v>
      </c>
      <c r="W30" s="704">
        <f t="shared" si="14"/>
        <v>100</v>
      </c>
      <c r="X30" s="1353"/>
      <c r="Y30" s="3735"/>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20"/>
      <c r="M31" s="2714"/>
      <c r="N31" s="2714"/>
      <c r="O31" s="2714"/>
      <c r="P31" s="3742"/>
      <c r="Q31" s="1350">
        <f t="shared" si="11"/>
        <v>111</v>
      </c>
      <c r="R31" s="703" t="s">
        <v>14</v>
      </c>
      <c r="S31" s="704">
        <f t="shared" si="12"/>
        <v>100</v>
      </c>
      <c r="T31" s="703" t="s">
        <v>14</v>
      </c>
      <c r="U31" s="704">
        <f t="shared" si="13"/>
        <v>100</v>
      </c>
      <c r="V31" s="703" t="s">
        <v>14</v>
      </c>
      <c r="W31" s="704">
        <f t="shared" si="14"/>
        <v>100</v>
      </c>
      <c r="X31" s="1353"/>
      <c r="Y31" s="3735"/>
      <c r="Z31" s="1354">
        <f t="shared" si="15"/>
        <v>111</v>
      </c>
      <c r="AA31" s="1351">
        <f t="shared" si="3"/>
        <v>1</v>
      </c>
      <c r="AB31" s="1351">
        <f t="shared" si="4"/>
        <v>1</v>
      </c>
      <c r="AC31" s="1351">
        <f t="shared" si="5"/>
        <v>1</v>
      </c>
    </row>
    <row r="32" spans="1:29" ht="15">
      <c r="A32" s="390" t="s">
        <v>1694</v>
      </c>
      <c r="B32" s="62"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20"/>
      <c r="M32" s="2714"/>
      <c r="N32" s="2714"/>
      <c r="O32" s="2714"/>
      <c r="P32" s="3736" t="s">
        <v>1696</v>
      </c>
      <c r="Q32" s="1350" t="str">
        <f t="shared" si="11"/>
        <v>商业类型</v>
      </c>
      <c r="R32" s="703" t="s">
        <v>14</v>
      </c>
      <c r="S32" s="704">
        <f t="shared" si="12"/>
        <v>100</v>
      </c>
      <c r="T32" s="703" t="s">
        <v>14</v>
      </c>
      <c r="U32" s="704">
        <f t="shared" si="13"/>
        <v>100</v>
      </c>
      <c r="V32" s="703" t="s">
        <v>14</v>
      </c>
      <c r="W32" s="704">
        <f t="shared" si="14"/>
        <v>100</v>
      </c>
      <c r="X32" s="1353"/>
      <c r="Y32" s="3739"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9"/>
      <c r="M33" s="2721"/>
      <c r="N33" s="2721"/>
      <c r="O33" s="2721"/>
      <c r="P33" s="3737"/>
      <c r="Q33" s="705" t="str">
        <f t="shared" si="11"/>
        <v>项目建筑规模</v>
      </c>
      <c r="R33" s="706" t="s">
        <v>14</v>
      </c>
      <c r="S33" s="707" t="e">
        <f t="shared" si="12"/>
        <v>#N/A</v>
      </c>
      <c r="T33" s="706" t="s">
        <v>14</v>
      </c>
      <c r="U33" s="707" t="e">
        <f t="shared" si="13"/>
        <v>#N/A</v>
      </c>
      <c r="V33" s="706" t="s">
        <v>14</v>
      </c>
      <c r="W33" s="707" t="e">
        <f t="shared" si="14"/>
        <v>#N/A</v>
      </c>
      <c r="X33" s="708"/>
      <c r="Y33" s="3739"/>
      <c r="Z33" s="709"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20"/>
      <c r="M34" s="2714"/>
      <c r="N34" s="2714"/>
      <c r="O34" s="2714"/>
      <c r="P34" s="3737"/>
      <c r="Q34" s="1350" t="str">
        <f t="shared" si="11"/>
        <v>建筑结构</v>
      </c>
      <c r="R34" s="703" t="s">
        <v>14</v>
      </c>
      <c r="S34" s="704">
        <f t="shared" si="12"/>
        <v>100</v>
      </c>
      <c r="T34" s="703" t="s">
        <v>14</v>
      </c>
      <c r="U34" s="704">
        <f t="shared" si="13"/>
        <v>100</v>
      </c>
      <c r="V34" s="703" t="s">
        <v>14</v>
      </c>
      <c r="W34" s="704">
        <f t="shared" si="14"/>
        <v>100</v>
      </c>
      <c r="X34" s="1353"/>
      <c r="Y34" s="3739"/>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20"/>
      <c r="M35" s="2714"/>
      <c r="N35" s="2714"/>
      <c r="O35" s="2714"/>
      <c r="P35" s="3737"/>
      <c r="Q35" s="1350" t="str">
        <f t="shared" si="11"/>
        <v>公共部分装修</v>
      </c>
      <c r="R35" s="703" t="s">
        <v>14</v>
      </c>
      <c r="S35" s="704">
        <f t="shared" si="12"/>
        <v>100</v>
      </c>
      <c r="T35" s="703" t="s">
        <v>14</v>
      </c>
      <c r="U35" s="704">
        <f t="shared" si="13"/>
        <v>100</v>
      </c>
      <c r="V35" s="703" t="s">
        <v>14</v>
      </c>
      <c r="W35" s="704">
        <f t="shared" si="14"/>
        <v>100</v>
      </c>
      <c r="X35" s="1353"/>
      <c r="Y35" s="3739"/>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0"/>
      <c r="M36" s="2714"/>
      <c r="N36" s="2714"/>
      <c r="O36" s="2714"/>
      <c r="P36" s="3737"/>
      <c r="Q36" s="1350" t="str">
        <f t="shared" si="11"/>
        <v>成新度</v>
      </c>
      <c r="R36" s="703" t="s">
        <v>14</v>
      </c>
      <c r="S36" s="704" t="e">
        <f t="shared" si="12"/>
        <v>#N/A</v>
      </c>
      <c r="T36" s="703" t="s">
        <v>14</v>
      </c>
      <c r="U36" s="704" t="e">
        <f t="shared" si="13"/>
        <v>#N/A</v>
      </c>
      <c r="V36" s="703" t="s">
        <v>14</v>
      </c>
      <c r="W36" s="704" t="e">
        <f t="shared" si="14"/>
        <v>#N/A</v>
      </c>
      <c r="X36" s="1353"/>
      <c r="Y36" s="3739"/>
      <c r="Z36" s="1354" t="str">
        <f t="shared" si="15"/>
        <v>成新度</v>
      </c>
      <c r="AA36" s="1351" t="e">
        <f t="shared" si="3"/>
        <v>#N/A</v>
      </c>
      <c r="AB36" s="1351" t="e">
        <f t="shared" si="4"/>
        <v>#N/A</v>
      </c>
      <c r="AC36" s="1351" t="e">
        <f t="shared" si="5"/>
        <v>#N/A</v>
      </c>
    </row>
    <row r="37" spans="1:29" s="107"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5"/>
      <c r="M37" s="2716"/>
      <c r="N37" s="2716"/>
      <c r="O37" s="2716"/>
      <c r="P37" s="3737"/>
      <c r="Q37" s="1341" t="str">
        <f t="shared" si="11"/>
        <v>市政基础设施</v>
      </c>
      <c r="R37" s="699" t="s">
        <v>14</v>
      </c>
      <c r="S37" s="700">
        <f t="shared" si="12"/>
        <v>100</v>
      </c>
      <c r="T37" s="699" t="s">
        <v>14</v>
      </c>
      <c r="U37" s="700">
        <f t="shared" si="13"/>
        <v>100</v>
      </c>
      <c r="V37" s="699" t="s">
        <v>14</v>
      </c>
      <c r="W37" s="700">
        <f t="shared" si="14"/>
        <v>100</v>
      </c>
      <c r="X37" s="701"/>
      <c r="Y37" s="3739"/>
      <c r="Z37" s="51" t="str">
        <f t="shared" si="15"/>
        <v>市政基础设施</v>
      </c>
      <c r="AA37" s="702">
        <f t="shared" si="3"/>
        <v>1</v>
      </c>
      <c r="AB37" s="702">
        <f t="shared" si="4"/>
        <v>1</v>
      </c>
      <c r="AC37" s="702">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20"/>
      <c r="M38" s="2714"/>
      <c r="N38" s="2714"/>
      <c r="O38" s="2714"/>
      <c r="P38" s="3737" t="s">
        <v>1696</v>
      </c>
      <c r="Q38" s="1350" t="str">
        <f t="shared" si="11"/>
        <v>业态</v>
      </c>
      <c r="R38" s="703" t="s">
        <v>14</v>
      </c>
      <c r="S38" s="704">
        <f t="shared" si="12"/>
        <v>100</v>
      </c>
      <c r="T38" s="703" t="s">
        <v>14</v>
      </c>
      <c r="U38" s="704">
        <f t="shared" si="13"/>
        <v>100</v>
      </c>
      <c r="V38" s="703" t="s">
        <v>14</v>
      </c>
      <c r="W38" s="704">
        <f t="shared" si="14"/>
        <v>100</v>
      </c>
      <c r="X38" s="1353"/>
      <c r="Y38" s="3739"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20"/>
      <c r="M39" s="2714"/>
      <c r="N39" s="2714"/>
      <c r="O39" s="2714"/>
      <c r="P39" s="3737"/>
      <c r="Q39" s="1350" t="str">
        <f t="shared" si="11"/>
        <v>层高</v>
      </c>
      <c r="R39" s="703" t="s">
        <v>14</v>
      </c>
      <c r="S39" s="704">
        <f t="shared" si="12"/>
        <v>100</v>
      </c>
      <c r="T39" s="703" t="s">
        <v>14</v>
      </c>
      <c r="U39" s="704">
        <f t="shared" si="13"/>
        <v>100</v>
      </c>
      <c r="V39" s="703" t="s">
        <v>14</v>
      </c>
      <c r="W39" s="704">
        <f t="shared" si="14"/>
        <v>100</v>
      </c>
      <c r="X39" s="1353"/>
      <c r="Y39" s="3739"/>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0"/>
      <c r="M40" s="2714"/>
      <c r="N40" s="2714"/>
      <c r="O40" s="2714"/>
      <c r="P40" s="3737"/>
      <c r="Q40" s="1350" t="str">
        <f t="shared" si="11"/>
        <v>单套建筑面积</v>
      </c>
      <c r="R40" s="703" t="s">
        <v>14</v>
      </c>
      <c r="S40" s="704">
        <f t="shared" si="12"/>
        <v>100</v>
      </c>
      <c r="T40" s="703" t="s">
        <v>14</v>
      </c>
      <c r="U40" s="704">
        <f t="shared" si="13"/>
        <v>100</v>
      </c>
      <c r="V40" s="703" t="s">
        <v>14</v>
      </c>
      <c r="W40" s="704">
        <f t="shared" si="14"/>
        <v>100</v>
      </c>
      <c r="X40" s="1353"/>
      <c r="Y40" s="3739"/>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9"/>
      <c r="M41" s="2721"/>
      <c r="N41" s="2721"/>
      <c r="O41" s="2721"/>
      <c r="P41" s="3737"/>
      <c r="Q41" s="705" t="str">
        <f t="shared" si="11"/>
        <v>进深比</v>
      </c>
      <c r="R41" s="706" t="s">
        <v>14</v>
      </c>
      <c r="S41" s="707">
        <f t="shared" si="12"/>
        <v>100</v>
      </c>
      <c r="T41" s="706" t="s">
        <v>14</v>
      </c>
      <c r="U41" s="707">
        <f t="shared" si="13"/>
        <v>100</v>
      </c>
      <c r="V41" s="706" t="s">
        <v>14</v>
      </c>
      <c r="W41" s="707">
        <f t="shared" si="14"/>
        <v>100</v>
      </c>
      <c r="X41" s="708"/>
      <c r="Y41" s="3739"/>
      <c r="Z41" s="709"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20"/>
      <c r="M42" s="2714"/>
      <c r="N42" s="2714"/>
      <c r="O42" s="2714"/>
      <c r="P42" s="3737"/>
      <c r="Q42" s="1350" t="str">
        <f t="shared" si="11"/>
        <v>内部装修</v>
      </c>
      <c r="R42" s="703" t="s">
        <v>14</v>
      </c>
      <c r="S42" s="704">
        <f t="shared" si="12"/>
        <v>100</v>
      </c>
      <c r="T42" s="703" t="s">
        <v>14</v>
      </c>
      <c r="U42" s="704">
        <f t="shared" si="13"/>
        <v>100</v>
      </c>
      <c r="V42" s="703" t="s">
        <v>14</v>
      </c>
      <c r="W42" s="704">
        <f t="shared" si="14"/>
        <v>100</v>
      </c>
      <c r="X42" s="1353"/>
      <c r="Y42" s="3739"/>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20"/>
      <c r="M43" s="2714"/>
      <c r="N43" s="2714"/>
      <c r="O43" s="2714"/>
      <c r="P43" s="3737"/>
      <c r="Q43" s="1350" t="str">
        <f t="shared" si="11"/>
        <v>内部装修维护情况</v>
      </c>
      <c r="R43" s="703" t="s">
        <v>14</v>
      </c>
      <c r="S43" s="704">
        <f t="shared" si="12"/>
        <v>100</v>
      </c>
      <c r="T43" s="703" t="s">
        <v>14</v>
      </c>
      <c r="U43" s="704">
        <f t="shared" si="13"/>
        <v>100</v>
      </c>
      <c r="V43" s="703" t="s">
        <v>14</v>
      </c>
      <c r="W43" s="704">
        <f t="shared" si="14"/>
        <v>100</v>
      </c>
      <c r="X43" s="1353"/>
      <c r="Y43" s="3739"/>
      <c r="Z43" s="1354" t="str">
        <f t="shared" si="15"/>
        <v>内部装修维护情况</v>
      </c>
      <c r="AA43" s="1351">
        <f t="shared" si="3"/>
        <v>1</v>
      </c>
      <c r="AB43" s="1351">
        <f t="shared" si="4"/>
        <v>1</v>
      </c>
      <c r="AC43" s="1351">
        <f t="shared" si="5"/>
        <v>1</v>
      </c>
    </row>
    <row r="44" spans="1:29" s="107"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5"/>
      <c r="M44" s="2716"/>
      <c r="N44" s="2716"/>
      <c r="O44" s="2716"/>
      <c r="P44" s="3737"/>
      <c r="Q44" s="1341">
        <f t="shared" si="11"/>
        <v>111</v>
      </c>
      <c r="R44" s="699" t="s">
        <v>14</v>
      </c>
      <c r="S44" s="700">
        <f t="shared" si="12"/>
        <v>100</v>
      </c>
      <c r="T44" s="699" t="s">
        <v>14</v>
      </c>
      <c r="U44" s="700">
        <f t="shared" si="13"/>
        <v>100</v>
      </c>
      <c r="V44" s="699" t="s">
        <v>14</v>
      </c>
      <c r="W44" s="700">
        <f t="shared" si="14"/>
        <v>100</v>
      </c>
      <c r="X44" s="701"/>
      <c r="Y44" s="3739"/>
      <c r="Z44" s="51">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0"/>
      <c r="M45" s="2714"/>
      <c r="N45" s="2714"/>
      <c r="O45" s="2714"/>
      <c r="P45" s="3737"/>
      <c r="Q45" s="1350">
        <f t="shared" si="11"/>
        <v>111</v>
      </c>
      <c r="R45" s="703" t="s">
        <v>14</v>
      </c>
      <c r="S45" s="704">
        <f t="shared" si="12"/>
        <v>100</v>
      </c>
      <c r="T45" s="703" t="s">
        <v>14</v>
      </c>
      <c r="U45" s="704">
        <f t="shared" si="13"/>
        <v>100</v>
      </c>
      <c r="V45" s="703" t="s">
        <v>14</v>
      </c>
      <c r="W45" s="704">
        <f t="shared" si="14"/>
        <v>100</v>
      </c>
      <c r="X45" s="1353"/>
      <c r="Y45" s="3739"/>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0"/>
      <c r="M46" s="2714"/>
      <c r="N46" s="2714"/>
      <c r="O46" s="2714"/>
      <c r="P46" s="3738"/>
      <c r="Q46" s="1350">
        <f t="shared" si="11"/>
        <v>111</v>
      </c>
      <c r="R46" s="703" t="s">
        <v>14</v>
      </c>
      <c r="S46" s="704">
        <f t="shared" si="12"/>
        <v>100</v>
      </c>
      <c r="T46" s="703" t="s">
        <v>14</v>
      </c>
      <c r="U46" s="704">
        <f t="shared" si="13"/>
        <v>100</v>
      </c>
      <c r="V46" s="703" t="s">
        <v>14</v>
      </c>
      <c r="W46" s="704">
        <f t="shared" si="14"/>
        <v>100</v>
      </c>
      <c r="X46" s="1353"/>
      <c r="Y46" s="3740"/>
      <c r="Z46" s="1354">
        <f t="shared" si="15"/>
        <v>111</v>
      </c>
      <c r="AA46" s="1351">
        <f t="shared" si="3"/>
        <v>1</v>
      </c>
      <c r="AB46" s="1351">
        <f t="shared" si="4"/>
        <v>1</v>
      </c>
      <c r="AC46" s="1351">
        <f t="shared" si="5"/>
        <v>1</v>
      </c>
    </row>
    <row r="47" spans="1:29" ht="15">
      <c r="A47" s="429" t="s">
        <v>1708</v>
      </c>
      <c r="B47" s="430"/>
      <c r="C47" s="1152" t="s">
        <v>0</v>
      </c>
      <c r="D47" s="1153"/>
      <c r="E47" s="1154"/>
      <c r="F47" s="1155"/>
      <c r="G47" s="1156"/>
      <c r="H47" s="1157"/>
      <c r="I47" s="1154"/>
      <c r="J47" s="1157"/>
      <c r="K47" s="712"/>
      <c r="L47" s="2722"/>
      <c r="M47" s="2723"/>
      <c r="N47" s="2714"/>
      <c r="O47" s="2723"/>
      <c r="P47" s="3732" t="str">
        <f>A47</f>
        <v>成交单价（元/平方米）</v>
      </c>
      <c r="Q47" s="3732"/>
      <c r="R47" s="3763">
        <f>E47</f>
        <v>0</v>
      </c>
      <c r="S47" s="3763"/>
      <c r="T47" s="3763">
        <f>G47</f>
        <v>0</v>
      </c>
      <c r="U47" s="3763"/>
      <c r="V47" s="3763">
        <f>I47</f>
        <v>0</v>
      </c>
      <c r="W47" s="3763"/>
      <c r="X47" s="688"/>
      <c r="Y47" s="710"/>
      <c r="Z47" s="688"/>
      <c r="AA47" s="688"/>
      <c r="AB47" s="688"/>
      <c r="AC47" s="688"/>
    </row>
    <row r="48" spans="1:29" ht="15.75" thickBot="1">
      <c r="A48" s="436" t="s">
        <v>1793</v>
      </c>
      <c r="B48" s="437"/>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8"/>
      <c r="Y48" s="688"/>
      <c r="Z48" s="688"/>
      <c r="AA48" s="688"/>
      <c r="AB48" s="688"/>
      <c r="AC48" s="688"/>
    </row>
    <row r="49" spans="1:29" ht="15.75" thickBot="1">
      <c r="A49" s="440" t="s">
        <v>1794</v>
      </c>
      <c r="B49" s="441"/>
      <c r="C49" s="1161" t="e">
        <f>R49</f>
        <v>#DIV/0!</v>
      </c>
      <c r="D49" s="1161"/>
      <c r="E49" s="1161"/>
      <c r="F49" s="1161"/>
      <c r="G49" s="1161"/>
      <c r="H49" s="1161"/>
      <c r="I49" s="1161"/>
      <c r="J49" s="1161"/>
      <c r="K49" s="713"/>
      <c r="L49" s="2722"/>
      <c r="M49" s="2723"/>
      <c r="N49" s="2714"/>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0" customFormat="1" ht="13.5" customHeight="1">
      <c r="A54" s="2726"/>
      <c r="B54" s="2726"/>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0"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6" customFormat="1" ht="15">
      <c r="A58" s="453" t="s">
        <v>1679</v>
      </c>
      <c r="B58" s="454"/>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2738"/>
      <c r="Q58" s="2739"/>
      <c r="R58" s="2739"/>
      <c r="S58" s="2739"/>
      <c r="T58" s="2739"/>
      <c r="U58" s="2739"/>
      <c r="V58" s="2739"/>
      <c r="W58" s="2739"/>
      <c r="X58" s="2739"/>
      <c r="Y58" s="2739"/>
      <c r="Z58" s="2739"/>
      <c r="AA58" s="2739"/>
      <c r="AB58" s="2739"/>
      <c r="AC58" s="2739"/>
    </row>
    <row r="59" spans="1:29" s="107" customFormat="1" ht="15">
      <c r="A59" s="457"/>
      <c r="B59" s="458"/>
      <c r="C59" s="1181">
        <v>100</v>
      </c>
      <c r="D59" s="460"/>
      <c r="E59" s="460"/>
      <c r="F59" s="460"/>
      <c r="G59" s="460"/>
      <c r="H59" s="460"/>
      <c r="I59" s="460"/>
      <c r="J59" s="460"/>
      <c r="K59" s="460"/>
      <c r="L59" s="460"/>
      <c r="M59" s="461"/>
      <c r="N59" s="460"/>
      <c r="O59" s="461"/>
      <c r="P59" s="2740"/>
      <c r="Q59" s="2659"/>
      <c r="R59" s="2659"/>
      <c r="S59" s="2659"/>
      <c r="T59" s="2659"/>
      <c r="U59" s="2659"/>
      <c r="V59" s="2659"/>
      <c r="W59" s="2659"/>
      <c r="X59" s="2659"/>
      <c r="Y59" s="2659"/>
      <c r="Z59" s="2659"/>
      <c r="AA59" s="2659"/>
      <c r="AB59" s="2659"/>
      <c r="AC59" s="2659"/>
    </row>
    <row r="60" spans="1:29" s="107" customFormat="1" ht="15.75" thickBot="1">
      <c r="A60" s="463" t="s">
        <v>1716</v>
      </c>
      <c r="B60" s="464"/>
      <c r="C60" s="465"/>
      <c r="D60" s="466"/>
      <c r="E60" s="466"/>
      <c r="F60" s="466"/>
      <c r="G60" s="466"/>
      <c r="H60" s="466"/>
      <c r="I60" s="466"/>
      <c r="J60" s="466"/>
      <c r="K60" s="466"/>
      <c r="L60" s="466"/>
      <c r="M60" s="467"/>
      <c r="N60" s="466"/>
      <c r="O60" s="467"/>
      <c r="P60" s="2740"/>
      <c r="Q60" s="2737"/>
      <c r="R60" s="2659"/>
      <c r="S60" s="2659"/>
      <c r="T60" s="2659"/>
      <c r="U60" s="2659"/>
      <c r="V60" s="2659"/>
      <c r="W60" s="2659"/>
      <c r="X60" s="2659"/>
      <c r="Y60" s="2659"/>
      <c r="Z60" s="2659"/>
      <c r="AA60" s="2659"/>
      <c r="AB60" s="2659"/>
      <c r="AC60" s="2659"/>
    </row>
    <row r="61" spans="1:29" s="107" customFormat="1" ht="15">
      <c r="A61" s="469" t="s">
        <v>1681</v>
      </c>
      <c r="B61" s="458"/>
      <c r="C61" s="470" t="s">
        <v>1776</v>
      </c>
      <c r="D61" s="471"/>
      <c r="E61" s="471"/>
      <c r="F61" s="471"/>
      <c r="G61" s="471"/>
      <c r="H61" s="471"/>
      <c r="I61" s="471"/>
      <c r="J61" s="471"/>
      <c r="K61" s="471"/>
      <c r="L61" s="472"/>
      <c r="M61" s="473"/>
      <c r="N61" s="2750"/>
      <c r="O61" s="2750"/>
      <c r="P61" s="2741"/>
      <c r="Q61" s="2737"/>
      <c r="R61" s="2659"/>
      <c r="S61" s="2659"/>
      <c r="T61" s="2659"/>
      <c r="U61" s="2659"/>
      <c r="V61" s="2659"/>
      <c r="W61" s="2659"/>
      <c r="X61" s="2659"/>
      <c r="Y61" s="2659"/>
      <c r="Z61" s="2659"/>
      <c r="AA61" s="2659"/>
      <c r="AB61" s="2659"/>
      <c r="AC61" s="2659"/>
    </row>
    <row r="62" spans="1:29" s="107" customFormat="1" ht="15.75" thickBot="1">
      <c r="A62" s="469"/>
      <c r="B62" s="458"/>
      <c r="C62" s="459">
        <v>100</v>
      </c>
      <c r="D62" s="460"/>
      <c r="E62" s="460"/>
      <c r="F62" s="460"/>
      <c r="G62" s="460"/>
      <c r="H62" s="460"/>
      <c r="I62" s="460"/>
      <c r="J62" s="460"/>
      <c r="K62" s="460"/>
      <c r="L62" s="460"/>
      <c r="M62" s="462"/>
      <c r="N62" s="2750"/>
      <c r="O62" s="2750"/>
      <c r="P62" s="2740"/>
      <c r="Q62" s="2737"/>
      <c r="R62" s="2659"/>
      <c r="S62" s="2659"/>
      <c r="T62" s="2659"/>
      <c r="U62" s="2659"/>
      <c r="V62" s="2659"/>
      <c r="W62" s="2659"/>
      <c r="X62" s="2659"/>
      <c r="Y62" s="2659"/>
      <c r="Z62" s="2659"/>
      <c r="AA62" s="2659"/>
      <c r="AB62" s="2659"/>
      <c r="AC62" s="2659"/>
    </row>
    <row r="63" spans="1:29">
      <c r="A63" s="475" t="s">
        <v>1719</v>
      </c>
      <c r="B63" s="476" t="s">
        <v>1685</v>
      </c>
      <c r="C63" s="477">
        <f>C9</f>
        <v>0</v>
      </c>
      <c r="D63" s="478"/>
      <c r="E63" s="478"/>
      <c r="F63" s="478"/>
      <c r="G63" s="478"/>
      <c r="H63" s="478"/>
      <c r="I63" s="478"/>
      <c r="J63" s="478"/>
      <c r="K63" s="479"/>
      <c r="L63" s="480"/>
      <c r="M63" s="481"/>
      <c r="N63" s="2751"/>
      <c r="O63" s="2751"/>
      <c r="P63" s="2742"/>
      <c r="Q63" s="2737"/>
      <c r="R63" s="2723"/>
      <c r="S63" s="2723"/>
      <c r="T63" s="2723"/>
      <c r="U63" s="2723"/>
      <c r="V63" s="2723"/>
      <c r="W63" s="2723"/>
      <c r="X63" s="2723"/>
      <c r="Y63" s="2723"/>
      <c r="Z63" s="2723"/>
      <c r="AA63" s="2723"/>
      <c r="AB63" s="2723"/>
      <c r="AC63" s="2723"/>
    </row>
    <row r="64" spans="1:29" ht="15.75" thickBot="1">
      <c r="A64" s="482"/>
      <c r="B64" s="483"/>
      <c r="C64" s="484">
        <v>100</v>
      </c>
      <c r="D64" s="484"/>
      <c r="E64" s="484"/>
      <c r="F64" s="484"/>
      <c r="G64" s="484"/>
      <c r="H64" s="484"/>
      <c r="I64" s="484"/>
      <c r="J64" s="484"/>
      <c r="K64" s="484"/>
      <c r="L64" s="484"/>
      <c r="M64" s="485"/>
      <c r="N64" s="2752"/>
      <c r="O64" s="2752"/>
      <c r="P64" s="2742"/>
      <c r="Q64" s="2737"/>
      <c r="R64" s="2723"/>
      <c r="S64" s="2723"/>
      <c r="T64" s="2723"/>
      <c r="U64" s="2723"/>
      <c r="V64" s="2723"/>
      <c r="W64" s="2723"/>
      <c r="X64" s="2723"/>
      <c r="Y64" s="2723"/>
      <c r="Z64" s="2723"/>
      <c r="AA64" s="2723"/>
      <c r="AB64" s="2723"/>
      <c r="AC64" s="2723"/>
    </row>
    <row r="65" spans="1:29" ht="27.75" thickTop="1">
      <c r="A65" s="482"/>
      <c r="B65" s="486" t="s">
        <v>1688</v>
      </c>
      <c r="C65" s="531"/>
      <c r="D65" s="531"/>
      <c r="E65" s="531"/>
      <c r="F65" s="531"/>
      <c r="G65" s="531"/>
      <c r="H65" s="531"/>
      <c r="I65" s="531"/>
      <c r="J65" s="531"/>
      <c r="K65" s="532"/>
      <c r="L65" s="533"/>
      <c r="M65" s="534"/>
      <c r="N65" s="2751"/>
      <c r="O65" s="2751"/>
      <c r="P65" s="2742"/>
      <c r="Q65" s="2737"/>
      <c r="R65" s="2723"/>
      <c r="S65" s="2723"/>
      <c r="T65" s="2723"/>
      <c r="U65" s="2723"/>
      <c r="V65" s="2723"/>
      <c r="W65" s="2723"/>
      <c r="X65" s="2723"/>
      <c r="Y65" s="2723"/>
      <c r="Z65" s="2723"/>
      <c r="AA65" s="2723"/>
      <c r="AB65" s="2723"/>
      <c r="AC65" s="2723"/>
    </row>
    <row r="66" spans="1:29" ht="15.75" thickBot="1">
      <c r="A66" s="482"/>
      <c r="B66" s="491"/>
      <c r="C66" s="484"/>
      <c r="D66" s="484"/>
      <c r="E66" s="484"/>
      <c r="F66" s="484"/>
      <c r="G66" s="484"/>
      <c r="H66" s="484"/>
      <c r="I66" s="484"/>
      <c r="J66" s="484"/>
      <c r="K66" s="484"/>
      <c r="L66" s="484"/>
      <c r="M66" s="485"/>
      <c r="N66" s="2752"/>
      <c r="O66" s="2752"/>
      <c r="P66" s="2742"/>
      <c r="Q66" s="2737"/>
      <c r="R66" s="2723"/>
      <c r="S66" s="2723"/>
      <c r="T66" s="2723"/>
      <c r="U66" s="2723"/>
      <c r="V66" s="2723"/>
      <c r="W66" s="2723"/>
      <c r="X66" s="2723"/>
      <c r="Y66" s="2723"/>
      <c r="Z66" s="2723"/>
      <c r="AA66" s="2723"/>
      <c r="AB66" s="2723"/>
      <c r="AC66" s="2723"/>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2"/>
      <c r="B68" s="496"/>
      <c r="C68" s="497"/>
      <c r="D68" s="497"/>
      <c r="E68" s="497"/>
      <c r="F68" s="497"/>
      <c r="G68" s="497"/>
      <c r="H68" s="497"/>
      <c r="I68" s="497"/>
      <c r="J68" s="497"/>
      <c r="K68" s="498"/>
      <c r="L68" s="499"/>
      <c r="M68" s="500"/>
      <c r="N68" s="2751"/>
      <c r="O68" s="2751"/>
      <c r="P68" s="2742"/>
      <c r="Q68" s="2737"/>
      <c r="R68" s="2723"/>
      <c r="S68" s="2723"/>
      <c r="T68" s="2723"/>
      <c r="U68" s="2723"/>
      <c r="V68" s="2723"/>
      <c r="W68" s="2723"/>
      <c r="X68" s="2723"/>
      <c r="Y68" s="2723"/>
      <c r="Z68" s="2723"/>
      <c r="AA68" s="2723"/>
      <c r="AB68" s="2723"/>
      <c r="AC68" s="2723"/>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2"/>
      <c r="O69" s="2752"/>
      <c r="P69" s="2742"/>
      <c r="Q69" s="2737"/>
      <c r="R69" s="2723"/>
      <c r="S69" s="2723"/>
      <c r="T69" s="2723"/>
      <c r="U69" s="2723"/>
      <c r="V69" s="2723"/>
      <c r="W69" s="2723"/>
      <c r="X69" s="2723"/>
      <c r="Y69" s="2723"/>
      <c r="Z69" s="2723"/>
      <c r="AA69" s="2723"/>
      <c r="AB69" s="2723"/>
      <c r="AC69" s="2723"/>
    </row>
    <row r="70" spans="1:29" s="421" customFormat="1" ht="15.75"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5.75"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5.75"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5.75"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5.75"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5.75"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c r="A76" s="475" t="s">
        <v>1690</v>
      </c>
      <c r="B76" s="476" t="s">
        <v>1720</v>
      </c>
      <c r="C76" s="521" t="s">
        <v>1721</v>
      </c>
      <c r="D76" s="521" t="s">
        <v>1722</v>
      </c>
      <c r="E76" s="521" t="s">
        <v>1723</v>
      </c>
      <c r="F76" s="521" t="s">
        <v>1724</v>
      </c>
      <c r="G76" s="521" t="s">
        <v>1725</v>
      </c>
      <c r="H76" s="477"/>
      <c r="I76" s="477"/>
      <c r="J76" s="477"/>
      <c r="K76" s="522"/>
      <c r="L76" s="523"/>
      <c r="M76" s="524"/>
      <c r="N76" s="2751"/>
      <c r="O76" s="2751"/>
      <c r="P76" s="2749"/>
      <c r="Q76" s="2737"/>
      <c r="R76" s="2723"/>
      <c r="S76" s="2723"/>
      <c r="T76" s="2723"/>
      <c r="U76" s="2723"/>
      <c r="V76" s="2723"/>
      <c r="W76" s="2723"/>
      <c r="X76" s="2723"/>
      <c r="Y76" s="2723"/>
      <c r="Z76" s="2723"/>
      <c r="AA76" s="2723"/>
      <c r="AB76" s="2723"/>
      <c r="AC76" s="2723"/>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2"/>
      <c r="O77" s="2752"/>
      <c r="P77" s="2742"/>
      <c r="Q77" s="2737"/>
      <c r="R77" s="2723"/>
      <c r="S77" s="2723"/>
      <c r="T77" s="2723"/>
      <c r="U77" s="2723"/>
      <c r="V77" s="2723"/>
      <c r="W77" s="2723"/>
      <c r="X77" s="2723"/>
      <c r="Y77" s="2723"/>
      <c r="Z77" s="2723"/>
      <c r="AA77" s="2723"/>
      <c r="AB77" s="2723"/>
      <c r="AC77" s="2723"/>
    </row>
    <row r="78" spans="1:29" ht="15.75" thickTop="1">
      <c r="A78" s="482"/>
      <c r="B78" s="486" t="s">
        <v>1726</v>
      </c>
      <c r="C78" s="526" t="s">
        <v>1721</v>
      </c>
      <c r="D78" s="526" t="s">
        <v>1722</v>
      </c>
      <c r="E78" s="526" t="s">
        <v>1723</v>
      </c>
      <c r="F78" s="526" t="s">
        <v>1724</v>
      </c>
      <c r="G78" s="526" t="s">
        <v>1725</v>
      </c>
      <c r="H78" s="487"/>
      <c r="I78" s="487"/>
      <c r="J78" s="487"/>
      <c r="K78" s="488"/>
      <c r="L78" s="489"/>
      <c r="M78" s="490"/>
      <c r="N78" s="2751"/>
      <c r="O78" s="2751"/>
      <c r="P78" s="2742"/>
      <c r="Q78" s="2737"/>
      <c r="R78" s="2723"/>
      <c r="S78" s="2723"/>
      <c r="T78" s="2723"/>
      <c r="U78" s="2723"/>
      <c r="V78" s="2723"/>
      <c r="W78" s="2723"/>
      <c r="X78" s="2723"/>
      <c r="Y78" s="2723"/>
      <c r="Z78" s="2723"/>
      <c r="AA78" s="2723"/>
      <c r="AB78" s="2723"/>
      <c r="AC78" s="2723"/>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2"/>
      <c r="O79" s="2752"/>
      <c r="P79" s="2742"/>
      <c r="Q79" s="2737"/>
      <c r="R79" s="2723"/>
      <c r="S79" s="2723"/>
      <c r="T79" s="2723"/>
      <c r="U79" s="2723"/>
      <c r="V79" s="2723"/>
      <c r="W79" s="2723"/>
      <c r="X79" s="2723"/>
      <c r="Y79" s="2723"/>
      <c r="Z79" s="2723"/>
      <c r="AA79" s="2723"/>
      <c r="AB79" s="2723"/>
      <c r="AC79" s="2723"/>
    </row>
    <row r="80" spans="1:29" ht="15.75" thickTop="1">
      <c r="A80" s="482"/>
      <c r="B80" s="486" t="s">
        <v>1727</v>
      </c>
      <c r="C80" s="526" t="s">
        <v>1721</v>
      </c>
      <c r="D80" s="526" t="s">
        <v>1722</v>
      </c>
      <c r="E80" s="526" t="s">
        <v>1723</v>
      </c>
      <c r="F80" s="526" t="s">
        <v>1724</v>
      </c>
      <c r="G80" s="526" t="s">
        <v>1725</v>
      </c>
      <c r="H80" s="487"/>
      <c r="I80" s="487"/>
      <c r="J80" s="487"/>
      <c r="K80" s="488"/>
      <c r="L80" s="489"/>
      <c r="M80" s="490"/>
      <c r="N80" s="2751"/>
      <c r="O80" s="2751"/>
      <c r="P80" s="2742"/>
      <c r="Q80" s="2737"/>
      <c r="R80" s="2723"/>
      <c r="S80" s="2723"/>
      <c r="T80" s="2723"/>
      <c r="U80" s="2723"/>
      <c r="V80" s="2723"/>
      <c r="W80" s="2723"/>
      <c r="X80" s="2723"/>
      <c r="Y80" s="2723"/>
      <c r="Z80" s="2723"/>
      <c r="AA80" s="2723"/>
      <c r="AB80" s="2723"/>
      <c r="AC80" s="2723"/>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2"/>
      <c r="O81" s="2752"/>
      <c r="P81" s="2742"/>
      <c r="Q81" s="2737"/>
      <c r="R81" s="2723"/>
      <c r="S81" s="2723"/>
      <c r="T81" s="2723"/>
      <c r="U81" s="2723"/>
      <c r="V81" s="2723"/>
      <c r="W81" s="2723"/>
      <c r="X81" s="2723"/>
      <c r="Y81" s="2723"/>
      <c r="Z81" s="2723"/>
      <c r="AA81" s="2723"/>
      <c r="AB81" s="2723"/>
      <c r="AC81" s="2723"/>
    </row>
    <row r="82" spans="1:29" ht="15.75" thickTop="1">
      <c r="A82" s="482"/>
      <c r="B82" s="494" t="s">
        <v>1779</v>
      </c>
      <c r="C82" s="607" t="s">
        <v>1799</v>
      </c>
      <c r="D82" s="607" t="s">
        <v>1800</v>
      </c>
      <c r="E82" s="607" t="s">
        <v>1801</v>
      </c>
      <c r="F82" s="607" t="s">
        <v>1802</v>
      </c>
      <c r="G82" s="607" t="s">
        <v>1803</v>
      </c>
      <c r="H82" s="487"/>
      <c r="I82" s="487"/>
      <c r="J82" s="487"/>
      <c r="K82" s="487"/>
      <c r="L82" s="487"/>
      <c r="M82" s="1127"/>
      <c r="N82" s="2752"/>
      <c r="O82" s="2752"/>
      <c r="P82" s="2742"/>
      <c r="Q82" s="2737"/>
      <c r="R82" s="2723"/>
      <c r="S82" s="2723"/>
      <c r="T82" s="2723"/>
      <c r="U82" s="2723"/>
      <c r="V82" s="2723"/>
      <c r="W82" s="2723"/>
      <c r="X82" s="2723"/>
      <c r="Y82" s="2723"/>
      <c r="Z82" s="2723"/>
      <c r="AA82" s="2723"/>
      <c r="AB82" s="2723"/>
      <c r="AC82" s="2723"/>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2"/>
      <c r="O83" s="2752"/>
      <c r="P83" s="2742"/>
      <c r="Q83" s="2737"/>
      <c r="R83" s="2723"/>
      <c r="S83" s="2723"/>
      <c r="T83" s="2723"/>
      <c r="U83" s="2723"/>
      <c r="V83" s="2723"/>
      <c r="W83" s="2723"/>
      <c r="X83" s="2723"/>
      <c r="Y83" s="2723"/>
      <c r="Z83" s="2723"/>
      <c r="AA83" s="2723"/>
      <c r="AB83" s="2723"/>
      <c r="AC83" s="2723"/>
    </row>
    <row r="84" spans="1:29" ht="15.75" thickTop="1">
      <c r="A84" s="482"/>
      <c r="B84" s="486" t="s">
        <v>1733</v>
      </c>
      <c r="C84" s="526" t="s">
        <v>1721</v>
      </c>
      <c r="D84" s="526" t="s">
        <v>1722</v>
      </c>
      <c r="E84" s="526" t="s">
        <v>1723</v>
      </c>
      <c r="F84" s="526" t="s">
        <v>1724</v>
      </c>
      <c r="G84" s="526" t="s">
        <v>1725</v>
      </c>
      <c r="H84" s="487"/>
      <c r="I84" s="487"/>
      <c r="J84" s="487"/>
      <c r="K84" s="488"/>
      <c r="L84" s="489"/>
      <c r="M84" s="490"/>
      <c r="N84" s="2751"/>
      <c r="O84" s="2751"/>
      <c r="P84" s="2742"/>
      <c r="Q84" s="2737"/>
      <c r="R84" s="2723"/>
      <c r="S84" s="2723"/>
      <c r="T84" s="2723"/>
      <c r="U84" s="2723"/>
      <c r="V84" s="2723"/>
      <c r="W84" s="2723"/>
      <c r="X84" s="2723"/>
      <c r="Y84" s="2723"/>
      <c r="Z84" s="2723"/>
      <c r="AA84" s="2723"/>
      <c r="AB84" s="2723"/>
      <c r="AC84" s="2723"/>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2"/>
      <c r="O85" s="2752"/>
      <c r="P85" s="2742"/>
      <c r="Q85" s="2737"/>
      <c r="R85" s="2723"/>
      <c r="S85" s="2723"/>
      <c r="T85" s="2723"/>
      <c r="U85" s="2723"/>
      <c r="V85" s="2723"/>
      <c r="W85" s="2723"/>
      <c r="X85" s="2723"/>
      <c r="Y85" s="2723"/>
      <c r="Z85" s="2723"/>
      <c r="AA85" s="2723"/>
      <c r="AB85" s="2723"/>
      <c r="AC85" s="2723"/>
    </row>
    <row r="86" spans="1:29" s="107" customFormat="1" ht="15.75" thickTop="1">
      <c r="A86" s="527"/>
      <c r="B86" s="486" t="s">
        <v>1804</v>
      </c>
      <c r="C86" s="502"/>
      <c r="D86" s="502"/>
      <c r="E86" s="502"/>
      <c r="F86" s="502"/>
      <c r="G86" s="502"/>
      <c r="H86" s="502"/>
      <c r="I86" s="502"/>
      <c r="J86" s="502"/>
      <c r="K86" s="502"/>
      <c r="L86" s="528"/>
      <c r="M86" s="529"/>
      <c r="N86" s="2750"/>
      <c r="O86" s="2750"/>
      <c r="P86" s="2742"/>
      <c r="Q86" s="2737"/>
      <c r="R86" s="2659"/>
      <c r="S86" s="2659"/>
      <c r="T86" s="2659"/>
      <c r="U86" s="2659"/>
      <c r="V86" s="2659"/>
      <c r="W86" s="2659"/>
      <c r="X86" s="2659"/>
      <c r="Y86" s="2659"/>
      <c r="Z86" s="2659"/>
      <c r="AA86" s="2659"/>
      <c r="AB86" s="2659"/>
      <c r="AC86" s="2659"/>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2"/>
      <c r="O87" s="2752"/>
      <c r="P87" s="2742"/>
      <c r="Q87" s="2737"/>
      <c r="R87" s="2659"/>
      <c r="S87" s="2659"/>
      <c r="T87" s="2659"/>
      <c r="U87" s="2659"/>
      <c r="V87" s="2659"/>
      <c r="W87" s="2659"/>
      <c r="X87" s="2659"/>
      <c r="Y87" s="2659"/>
      <c r="Z87" s="2659"/>
      <c r="AA87" s="2659"/>
      <c r="AB87" s="2659"/>
      <c r="AC87" s="2659"/>
    </row>
    <row r="88" spans="1:29" s="107" customFormat="1" ht="15.75" thickTop="1">
      <c r="A88" s="527"/>
      <c r="B88" s="486" t="str">
        <f>B26</f>
        <v>平面位置/可视性</v>
      </c>
      <c r="C88" s="502"/>
      <c r="D88" s="502"/>
      <c r="E88" s="502"/>
      <c r="F88" s="1925"/>
      <c r="G88" s="502"/>
      <c r="H88" s="502"/>
      <c r="I88" s="502"/>
      <c r="J88" s="502"/>
      <c r="K88" s="502"/>
      <c r="L88" s="502"/>
      <c r="M88" s="529"/>
      <c r="N88" s="2750"/>
      <c r="O88" s="2750"/>
      <c r="P88" s="2742"/>
      <c r="Q88" s="2737"/>
      <c r="R88" s="2659"/>
      <c r="S88" s="2659"/>
      <c r="T88" s="2659"/>
      <c r="U88" s="2659"/>
      <c r="V88" s="2659"/>
      <c r="W88" s="2659"/>
      <c r="X88" s="2659"/>
      <c r="Y88" s="2659"/>
      <c r="Z88" s="2659"/>
      <c r="AA88" s="2659"/>
      <c r="AB88" s="2659"/>
      <c r="AC88" s="2659"/>
    </row>
    <row r="89" spans="1:29" s="107" customFormat="1" ht="15.75" thickBot="1">
      <c r="A89" s="527"/>
      <c r="B89" s="491"/>
      <c r="C89" s="508"/>
      <c r="D89" s="484"/>
      <c r="E89" s="484"/>
      <c r="F89" s="484"/>
      <c r="G89" s="484"/>
      <c r="H89" s="484"/>
      <c r="I89" s="484"/>
      <c r="J89" s="484"/>
      <c r="K89" s="484"/>
      <c r="L89" s="484"/>
      <c r="M89" s="484"/>
      <c r="N89" s="2752"/>
      <c r="O89" s="2752"/>
      <c r="P89" s="2742"/>
      <c r="Q89" s="2737"/>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2"/>
      <c r="B92" s="486" t="str">
        <f>B28</f>
        <v>楼层</v>
      </c>
      <c r="C92" s="502"/>
      <c r="D92" s="502"/>
      <c r="E92" s="502"/>
      <c r="F92" s="502"/>
      <c r="G92" s="502"/>
      <c r="H92" s="502"/>
      <c r="I92" s="502"/>
      <c r="J92" s="502"/>
      <c r="K92" s="502"/>
      <c r="L92" s="528"/>
      <c r="M92" s="529"/>
      <c r="N92" s="2751"/>
      <c r="O92" s="2751"/>
      <c r="P92" s="2742"/>
      <c r="Q92" s="2737"/>
      <c r="R92" s="2723"/>
      <c r="S92" s="2723"/>
      <c r="T92" s="2723"/>
      <c r="U92" s="2723"/>
      <c r="V92" s="2723"/>
      <c r="W92" s="2723"/>
      <c r="X92" s="2723"/>
      <c r="Y92" s="2723"/>
      <c r="Z92" s="2723"/>
      <c r="AA92" s="2723"/>
      <c r="AB92" s="2723"/>
      <c r="AC92" s="2723"/>
    </row>
    <row r="93" spans="1:29" ht="15.75" thickBot="1">
      <c r="A93" s="482"/>
      <c r="B93" s="491"/>
      <c r="C93" s="484"/>
      <c r="D93" s="484"/>
      <c r="E93" s="484"/>
      <c r="F93" s="484"/>
      <c r="G93" s="484"/>
      <c r="H93" s="484"/>
      <c r="I93" s="484"/>
      <c r="J93" s="484"/>
      <c r="K93" s="484"/>
      <c r="L93" s="484"/>
      <c r="M93" s="485"/>
      <c r="N93" s="2752"/>
      <c r="O93" s="2752"/>
      <c r="P93" s="2742"/>
      <c r="Q93" s="2737"/>
      <c r="R93" s="2723"/>
      <c r="S93" s="2723"/>
      <c r="T93" s="2723"/>
      <c r="U93" s="2723"/>
      <c r="V93" s="2723"/>
      <c r="W93" s="2723"/>
      <c r="X93" s="2723"/>
      <c r="Y93" s="2723"/>
      <c r="Z93" s="2723"/>
      <c r="AA93" s="2723"/>
      <c r="AB93" s="2723"/>
      <c r="AC93" s="2723"/>
    </row>
    <row r="94" spans="1:29" ht="15.75" thickTop="1">
      <c r="A94" s="482"/>
      <c r="B94" s="486">
        <f>B29</f>
        <v>111</v>
      </c>
      <c r="C94" s="502"/>
      <c r="D94" s="502"/>
      <c r="E94" s="502"/>
      <c r="F94" s="502"/>
      <c r="G94" s="531"/>
      <c r="H94" s="531"/>
      <c r="I94" s="531"/>
      <c r="J94" s="531"/>
      <c r="K94" s="532"/>
      <c r="L94" s="533"/>
      <c r="M94" s="534"/>
      <c r="N94" s="2751"/>
      <c r="O94" s="2751"/>
      <c r="P94" s="2742"/>
      <c r="Q94" s="2737"/>
      <c r="R94" s="2723"/>
      <c r="S94" s="2723"/>
      <c r="T94" s="2723"/>
      <c r="U94" s="2723"/>
      <c r="V94" s="2723"/>
      <c r="W94" s="2723"/>
      <c r="X94" s="2723"/>
      <c r="Y94" s="2723"/>
      <c r="Z94" s="2723"/>
      <c r="AA94" s="2723"/>
      <c r="AB94" s="2723"/>
      <c r="AC94" s="2723"/>
    </row>
    <row r="95" spans="1:29" ht="15.75" thickBot="1">
      <c r="A95" s="482"/>
      <c r="B95" s="491"/>
      <c r="C95" s="508"/>
      <c r="D95" s="484"/>
      <c r="E95" s="484"/>
      <c r="F95" s="484"/>
      <c r="G95" s="484"/>
      <c r="H95" s="484"/>
      <c r="I95" s="484"/>
      <c r="J95" s="484"/>
      <c r="K95" s="484"/>
      <c r="L95" s="484"/>
      <c r="M95" s="485"/>
      <c r="N95" s="2752"/>
      <c r="O95" s="2752"/>
      <c r="P95" s="2742"/>
      <c r="Q95" s="2737"/>
      <c r="R95" s="2723"/>
      <c r="S95" s="2723"/>
      <c r="T95" s="2723"/>
      <c r="U95" s="2723"/>
      <c r="V95" s="2723"/>
      <c r="W95" s="2723"/>
      <c r="X95" s="2723"/>
      <c r="Y95" s="2723"/>
      <c r="Z95" s="2723"/>
      <c r="AA95" s="2723"/>
      <c r="AB95" s="2723"/>
      <c r="AC95" s="2723"/>
    </row>
    <row r="96" spans="1:29" ht="15.75" thickTop="1">
      <c r="A96" s="482"/>
      <c r="B96" s="486">
        <f>B30</f>
        <v>111</v>
      </c>
      <c r="C96" s="502"/>
      <c r="D96" s="502"/>
      <c r="E96" s="502"/>
      <c r="F96" s="502"/>
      <c r="G96" s="531"/>
      <c r="H96" s="531"/>
      <c r="I96" s="531"/>
      <c r="J96" s="531"/>
      <c r="K96" s="532"/>
      <c r="L96" s="533"/>
      <c r="M96" s="534"/>
      <c r="N96" s="2751"/>
      <c r="O96" s="2751"/>
      <c r="P96" s="2742"/>
      <c r="Q96" s="2737"/>
      <c r="R96" s="2723"/>
      <c r="S96" s="2723"/>
      <c r="T96" s="2723"/>
      <c r="U96" s="2723"/>
      <c r="V96" s="2723"/>
      <c r="W96" s="2723"/>
      <c r="X96" s="2723"/>
      <c r="Y96" s="2723"/>
      <c r="Z96" s="2723"/>
      <c r="AA96" s="2723"/>
      <c r="AB96" s="2723"/>
      <c r="AC96" s="2723"/>
    </row>
    <row r="97" spans="1:29" ht="15.75" thickBot="1">
      <c r="A97" s="482"/>
      <c r="B97" s="491"/>
      <c r="C97" s="508"/>
      <c r="D97" s="484"/>
      <c r="E97" s="484"/>
      <c r="F97" s="484"/>
      <c r="G97" s="484"/>
      <c r="H97" s="484"/>
      <c r="I97" s="484"/>
      <c r="J97" s="484"/>
      <c r="K97" s="484"/>
      <c r="L97" s="484"/>
      <c r="M97" s="485"/>
      <c r="N97" s="2752"/>
      <c r="O97" s="2752"/>
      <c r="P97" s="2742"/>
      <c r="Q97" s="2737"/>
      <c r="R97" s="2723"/>
      <c r="S97" s="2723"/>
      <c r="T97" s="2723"/>
      <c r="U97" s="2723"/>
      <c r="V97" s="2723"/>
      <c r="W97" s="2723"/>
      <c r="X97" s="2723"/>
      <c r="Y97" s="2723"/>
      <c r="Z97" s="2723"/>
      <c r="AA97" s="2723"/>
      <c r="AB97" s="2723"/>
      <c r="AC97" s="2723"/>
    </row>
    <row r="98" spans="1:29" ht="15.75" thickTop="1">
      <c r="A98" s="482"/>
      <c r="B98" s="494">
        <f>B31</f>
        <v>111</v>
      </c>
      <c r="C98" s="502"/>
      <c r="D98" s="502"/>
      <c r="E98" s="502"/>
      <c r="F98" s="502"/>
      <c r="G98" s="535"/>
      <c r="H98" s="535"/>
      <c r="I98" s="535"/>
      <c r="J98" s="535"/>
      <c r="K98" s="536"/>
      <c r="L98" s="537"/>
      <c r="M98" s="538"/>
      <c r="N98" s="2751"/>
      <c r="O98" s="2751"/>
      <c r="P98" s="2742"/>
      <c r="Q98" s="2737"/>
      <c r="R98" s="2723"/>
      <c r="S98" s="2723"/>
      <c r="T98" s="2723"/>
      <c r="U98" s="2723"/>
      <c r="V98" s="2723"/>
      <c r="W98" s="2723"/>
      <c r="X98" s="2723"/>
      <c r="Y98" s="2723"/>
      <c r="Z98" s="2723"/>
      <c r="AA98" s="2723"/>
      <c r="AB98" s="2723"/>
      <c r="AC98" s="2723"/>
    </row>
    <row r="99" spans="1:29" ht="15.75" thickBot="1">
      <c r="A99" s="1926"/>
      <c r="B99" s="517"/>
      <c r="C99" s="518"/>
      <c r="D99" s="518"/>
      <c r="E99" s="518"/>
      <c r="F99" s="518"/>
      <c r="G99" s="539"/>
      <c r="H99" s="539"/>
      <c r="I99" s="539"/>
      <c r="J99" s="539"/>
      <c r="K99" s="539"/>
      <c r="L99" s="539"/>
      <c r="M99" s="540"/>
      <c r="N99" s="2752"/>
      <c r="O99" s="2752"/>
      <c r="P99" s="2742"/>
      <c r="Q99" s="2737"/>
      <c r="R99" s="2723"/>
      <c r="S99" s="2723"/>
      <c r="T99" s="2723"/>
      <c r="U99" s="2723"/>
      <c r="V99" s="2723"/>
      <c r="W99" s="2723"/>
      <c r="X99" s="2723"/>
      <c r="Y99" s="2723"/>
      <c r="Z99" s="2723"/>
      <c r="AA99" s="2723"/>
      <c r="AB99" s="2723"/>
      <c r="AC99" s="2723"/>
    </row>
    <row r="100" spans="1:29">
      <c r="A100" s="475" t="s">
        <v>1694</v>
      </c>
      <c r="B100" s="476" t="s">
        <v>1805</v>
      </c>
      <c r="C100" s="478"/>
      <c r="D100" s="478"/>
      <c r="E100" s="478"/>
      <c r="F100" s="478"/>
      <c r="G100" s="478"/>
      <c r="H100" s="478"/>
      <c r="I100" s="478"/>
      <c r="J100" s="478"/>
      <c r="K100" s="479"/>
      <c r="L100" s="480"/>
      <c r="M100" s="481"/>
      <c r="N100" s="2751"/>
      <c r="O100" s="2751"/>
      <c r="P100" s="2742"/>
      <c r="Q100" s="2737"/>
      <c r="R100" s="2723"/>
      <c r="S100" s="2723"/>
      <c r="T100" s="2723"/>
      <c r="U100" s="2723"/>
      <c r="V100" s="2723"/>
      <c r="W100" s="2723"/>
      <c r="X100" s="2723"/>
      <c r="Y100" s="2723"/>
      <c r="Z100" s="2723"/>
      <c r="AA100" s="2723"/>
      <c r="AB100" s="2723"/>
      <c r="AC100" s="2723"/>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1" customFormat="1">
      <c r="A103" s="541"/>
      <c r="B103" s="542"/>
      <c r="C103" s="543"/>
      <c r="D103" s="543"/>
      <c r="E103" s="543"/>
      <c r="F103" s="543"/>
      <c r="G103" s="543"/>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5.75" thickBot="1">
      <c r="A104" s="501"/>
      <c r="B104" s="491"/>
      <c r="C104" s="508"/>
      <c r="D104" s="484"/>
      <c r="E104" s="484"/>
      <c r="F104" s="484"/>
      <c r="G104" s="484"/>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1738</v>
      </c>
      <c r="C105" s="502"/>
      <c r="D105" s="502"/>
      <c r="E105" s="531"/>
      <c r="F105" s="531"/>
      <c r="G105" s="531"/>
      <c r="H105" s="531"/>
      <c r="I105" s="531"/>
      <c r="J105" s="531"/>
      <c r="K105" s="532"/>
      <c r="L105" s="533"/>
      <c r="M105" s="534"/>
      <c r="N105" s="2751"/>
      <c r="O105" s="2751"/>
      <c r="P105" s="2742"/>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7"/>
      <c r="B107" s="486" t="s">
        <v>1740</v>
      </c>
      <c r="C107" s="502"/>
      <c r="D107" s="502"/>
      <c r="E107" s="502"/>
      <c r="F107" s="531"/>
      <c r="G107" s="531"/>
      <c r="H107" s="531"/>
      <c r="I107" s="531"/>
      <c r="J107" s="531"/>
      <c r="K107" s="532"/>
      <c r="L107" s="533"/>
      <c r="M107" s="534"/>
      <c r="N107" s="2751"/>
      <c r="O107" s="2751"/>
      <c r="P107" s="2742"/>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7"/>
      <c r="R109" s="2723"/>
      <c r="S109" s="2723"/>
      <c r="T109" s="2723"/>
      <c r="U109" s="2723"/>
      <c r="V109" s="2723"/>
      <c r="W109" s="2723"/>
      <c r="X109" s="2723"/>
      <c r="Y109" s="2723"/>
      <c r="Z109" s="2723"/>
      <c r="AA109" s="2723"/>
      <c r="AB109" s="2723"/>
      <c r="AC109" s="2723"/>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2"/>
      <c r="O111" s="2752"/>
      <c r="P111" s="2742"/>
      <c r="Q111" s="2737"/>
      <c r="R111" s="2723"/>
      <c r="S111" s="2723"/>
      <c r="T111" s="2723"/>
      <c r="U111" s="2723"/>
      <c r="V111" s="2723"/>
      <c r="W111" s="2723"/>
      <c r="X111" s="2723"/>
      <c r="Y111" s="2723"/>
      <c r="Z111" s="2723"/>
      <c r="AA111" s="2723"/>
      <c r="AB111" s="2723"/>
      <c r="AC111" s="2723"/>
    </row>
    <row r="112" spans="1:29" s="421" customFormat="1" ht="15" thickTop="1">
      <c r="A112" s="541"/>
      <c r="B112" s="486" t="s">
        <v>1742</v>
      </c>
      <c r="C112" s="502"/>
      <c r="D112" s="502"/>
      <c r="E112" s="502"/>
      <c r="F112" s="502"/>
      <c r="G112" s="502"/>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1806</v>
      </c>
      <c r="C114" s="502"/>
      <c r="D114" s="502"/>
      <c r="E114" s="531"/>
      <c r="F114" s="531"/>
      <c r="G114" s="531"/>
      <c r="H114" s="531"/>
      <c r="I114" s="531"/>
      <c r="J114" s="531"/>
      <c r="K114" s="532"/>
      <c r="L114" s="533"/>
      <c r="M114" s="534"/>
      <c r="N114" s="2751"/>
      <c r="O114" s="2751"/>
      <c r="P114" s="2742"/>
      <c r="Q114" s="2737"/>
      <c r="R114" s="2723"/>
      <c r="S114" s="2723"/>
      <c r="T114" s="2723"/>
      <c r="U114" s="2723"/>
      <c r="V114" s="2723"/>
      <c r="W114" s="2723"/>
      <c r="X114" s="2723"/>
      <c r="Y114" s="2723"/>
      <c r="Z114" s="2723"/>
      <c r="AA114" s="2723"/>
      <c r="AB114" s="2723"/>
      <c r="AC114" s="2723"/>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7"/>
      <c r="B116" s="486" t="s">
        <v>1807</v>
      </c>
      <c r="C116" s="502"/>
      <c r="D116" s="502"/>
      <c r="E116" s="502"/>
      <c r="F116" s="502"/>
      <c r="G116" s="502"/>
      <c r="H116" s="531"/>
      <c r="I116" s="531"/>
      <c r="J116" s="531"/>
      <c r="K116" s="532"/>
      <c r="L116" s="533"/>
      <c r="M116" s="534"/>
      <c r="N116" s="2751"/>
      <c r="O116" s="2751"/>
      <c r="P116" s="2742"/>
      <c r="Q116" s="2737"/>
      <c r="R116" s="2723"/>
      <c r="S116" s="2723"/>
      <c r="T116" s="2723"/>
      <c r="U116" s="2723"/>
      <c r="V116" s="2723"/>
      <c r="W116" s="2723"/>
      <c r="X116" s="2723"/>
      <c r="Y116" s="2723"/>
      <c r="Z116" s="2723"/>
      <c r="AA116" s="2723"/>
      <c r="AB116" s="2723"/>
      <c r="AC116" s="2723"/>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2"/>
      <c r="O117" s="2752"/>
      <c r="P117" s="2742"/>
      <c r="Q117" s="2737"/>
      <c r="R117" s="2723"/>
      <c r="S117" s="2723"/>
      <c r="T117" s="2723"/>
      <c r="U117" s="2723"/>
      <c r="V117" s="2723"/>
      <c r="W117" s="2723"/>
      <c r="X117" s="2723"/>
      <c r="Y117" s="2723"/>
      <c r="Z117" s="2723"/>
      <c r="AA117" s="2723"/>
      <c r="AB117" s="2723"/>
      <c r="AC117" s="2723"/>
    </row>
    <row r="118" spans="1:29" ht="15" thickTop="1">
      <c r="A118" s="547"/>
      <c r="B118" s="486" t="s">
        <v>1808</v>
      </c>
      <c r="C118" s="574"/>
      <c r="D118" s="574"/>
      <c r="E118" s="574"/>
      <c r="F118" s="574"/>
      <c r="G118" s="574"/>
      <c r="H118" s="503"/>
      <c r="I118" s="503"/>
      <c r="J118" s="503"/>
      <c r="K118" s="503"/>
      <c r="L118" s="504"/>
      <c r="M118" s="505"/>
      <c r="N118" s="2751"/>
      <c r="O118" s="2751"/>
      <c r="P118" s="2742"/>
      <c r="Q118" s="2737"/>
      <c r="R118" s="2723"/>
      <c r="S118" s="2723"/>
      <c r="T118" s="2723"/>
      <c r="U118" s="2723"/>
      <c r="V118" s="2723"/>
      <c r="W118" s="2723"/>
      <c r="X118" s="2723"/>
      <c r="Y118" s="2723"/>
      <c r="Z118" s="2723"/>
      <c r="AA118" s="2723"/>
      <c r="AB118" s="2723"/>
      <c r="AC118" s="2723"/>
    </row>
    <row r="119" spans="1:29" ht="15.75" thickBot="1">
      <c r="A119" s="482"/>
      <c r="B119" s="491"/>
      <c r="C119" s="508"/>
      <c r="D119" s="484"/>
      <c r="E119" s="484"/>
      <c r="F119" s="484"/>
      <c r="G119" s="484"/>
      <c r="H119" s="484"/>
      <c r="I119" s="484"/>
      <c r="J119" s="484"/>
      <c r="K119" s="484"/>
      <c r="L119" s="484"/>
      <c r="M119" s="485"/>
      <c r="N119" s="2752"/>
      <c r="O119" s="2752"/>
      <c r="P119" s="2742"/>
      <c r="Q119" s="2737"/>
      <c r="R119" s="2723"/>
      <c r="S119" s="2723"/>
      <c r="T119" s="2723"/>
      <c r="U119" s="2723"/>
      <c r="V119" s="2723"/>
      <c r="W119" s="2723"/>
      <c r="X119" s="2723"/>
      <c r="Y119" s="2723"/>
      <c r="Z119" s="2723"/>
      <c r="AA119" s="2723"/>
      <c r="AB119" s="2723"/>
      <c r="AC119" s="2723"/>
    </row>
    <row r="120" spans="1:29" s="421" customFormat="1" ht="15" thickTop="1">
      <c r="A120" s="541"/>
      <c r="B120" s="486" t="s">
        <v>1809</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1744</v>
      </c>
      <c r="C122" s="502"/>
      <c r="D122" s="502"/>
      <c r="E122" s="502"/>
      <c r="F122" s="531"/>
      <c r="G122" s="531"/>
      <c r="H122" s="531"/>
      <c r="I122" s="531"/>
      <c r="J122" s="531"/>
      <c r="K122" s="532"/>
      <c r="L122" s="533"/>
      <c r="M122" s="534"/>
      <c r="N122" s="2751"/>
      <c r="O122" s="2751"/>
      <c r="P122" s="2742"/>
      <c r="Q122" s="2737"/>
      <c r="R122" s="2723"/>
      <c r="S122" s="2723"/>
      <c r="T122" s="2723"/>
      <c r="U122" s="2723"/>
      <c r="V122" s="2723"/>
      <c r="W122" s="2723"/>
      <c r="X122" s="2723"/>
      <c r="Y122" s="2723"/>
      <c r="Z122" s="2723"/>
      <c r="AA122" s="2723"/>
      <c r="AB122" s="2723"/>
      <c r="AC122" s="2723"/>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1"/>
      <c r="O124" s="2751"/>
      <c r="P124" s="2743"/>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7"/>
      <c r="R125" s="2723"/>
      <c r="S125" s="2723"/>
      <c r="T125" s="2723"/>
      <c r="U125" s="2723"/>
      <c r="V125" s="2723"/>
      <c r="W125" s="2723"/>
      <c r="X125" s="2723"/>
      <c r="Y125" s="2723"/>
      <c r="Z125" s="2723"/>
      <c r="AA125" s="2723"/>
      <c r="AB125" s="2723"/>
      <c r="AC125" s="2723"/>
    </row>
    <row r="126" spans="1:29" s="421" customFormat="1" ht="15"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5.75"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5" thickTop="1">
      <c r="A128" s="547"/>
      <c r="B128" s="486">
        <f>B45</f>
        <v>111</v>
      </c>
      <c r="C128" s="502"/>
      <c r="D128" s="502"/>
      <c r="E128" s="502"/>
      <c r="F128" s="502"/>
      <c r="G128" s="531"/>
      <c r="H128" s="531"/>
      <c r="I128" s="531"/>
      <c r="J128" s="531"/>
      <c r="K128" s="532"/>
      <c r="L128" s="533"/>
      <c r="M128" s="534"/>
      <c r="N128" s="2751"/>
      <c r="O128" s="2751"/>
      <c r="P128" s="2742"/>
      <c r="Q128" s="2737"/>
      <c r="R128" s="2723"/>
      <c r="S128" s="2723"/>
      <c r="T128" s="2723"/>
      <c r="U128" s="2723"/>
      <c r="V128" s="2723"/>
      <c r="W128" s="2723"/>
      <c r="X128" s="2723"/>
      <c r="Y128" s="2723"/>
      <c r="Z128" s="2723"/>
      <c r="AA128" s="2723"/>
      <c r="AB128" s="2723"/>
      <c r="AC128" s="2723"/>
    </row>
    <row r="129" spans="1:29" ht="15.75" thickBot="1">
      <c r="A129" s="482"/>
      <c r="B129" s="491"/>
      <c r="C129" s="508"/>
      <c r="D129" s="484"/>
      <c r="E129" s="484"/>
      <c r="F129" s="484"/>
      <c r="G129" s="484"/>
      <c r="H129" s="484"/>
      <c r="I129" s="484"/>
      <c r="J129" s="484"/>
      <c r="K129" s="484"/>
      <c r="L129" s="484"/>
      <c r="M129" s="485"/>
      <c r="N129" s="2752"/>
      <c r="O129" s="2752"/>
      <c r="P129" s="2742"/>
      <c r="Q129" s="2737"/>
      <c r="R129" s="2723"/>
      <c r="S129" s="2723"/>
      <c r="T129" s="2723"/>
      <c r="U129" s="2723"/>
      <c r="V129" s="2723"/>
      <c r="W129" s="2723"/>
      <c r="X129" s="2723"/>
      <c r="Y129" s="2723"/>
      <c r="Z129" s="2723"/>
      <c r="AA129" s="2723"/>
      <c r="AB129" s="2723"/>
      <c r="AC129" s="2723"/>
    </row>
    <row r="130" spans="1:29" ht="15" thickTop="1">
      <c r="A130" s="547"/>
      <c r="B130" s="494">
        <f>B46</f>
        <v>111</v>
      </c>
      <c r="C130" s="502"/>
      <c r="D130" s="502"/>
      <c r="E130" s="502"/>
      <c r="F130" s="502"/>
      <c r="G130" s="535"/>
      <c r="H130" s="535"/>
      <c r="I130" s="535"/>
      <c r="J130" s="535"/>
      <c r="K130" s="471"/>
      <c r="L130" s="472"/>
      <c r="M130" s="538"/>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7"/>
      <c r="C131" s="518"/>
      <c r="D131" s="518"/>
      <c r="E131" s="518"/>
      <c r="F131" s="518"/>
      <c r="G131" s="539"/>
      <c r="H131" s="539"/>
      <c r="I131" s="539"/>
      <c r="J131" s="539"/>
      <c r="K131" s="539"/>
      <c r="L131" s="539"/>
      <c r="M131" s="540"/>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8327.76</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4" t="s">
        <v>1769</v>
      </c>
      <c r="B4" s="355"/>
      <c r="C4" s="3747" t="s">
        <v>1770</v>
      </c>
      <c r="D4" s="3748"/>
      <c r="E4" s="3749" t="s">
        <v>1771</v>
      </c>
      <c r="F4" s="3750"/>
      <c r="G4" s="3747" t="s">
        <v>1772</v>
      </c>
      <c r="H4" s="3748"/>
      <c r="I4" s="3747" t="s">
        <v>1773</v>
      </c>
      <c r="J4" s="3748"/>
      <c r="K4" s="558" t="s">
        <v>1774</v>
      </c>
      <c r="L4" s="2713"/>
      <c r="M4" s="2714"/>
      <c r="N4" s="2714"/>
      <c r="O4" s="2714"/>
      <c r="P4" s="3781" t="s">
        <v>1775</v>
      </c>
      <c r="Q4" s="3782"/>
      <c r="R4" s="3785" t="s">
        <v>1771</v>
      </c>
      <c r="S4" s="3786"/>
      <c r="T4" s="3785" t="s">
        <v>1772</v>
      </c>
      <c r="U4" s="3786"/>
      <c r="V4" s="3787" t="s">
        <v>1773</v>
      </c>
      <c r="W4" s="3787"/>
      <c r="X4" s="1956"/>
      <c r="Y4" s="3785" t="s">
        <v>1775</v>
      </c>
      <c r="Z4" s="3786"/>
      <c r="AA4" s="3789" t="s">
        <v>1771</v>
      </c>
      <c r="AB4" s="3789" t="s">
        <v>1772</v>
      </c>
      <c r="AC4" s="3778" t="s">
        <v>1773</v>
      </c>
    </row>
    <row r="5" spans="1:29" ht="15">
      <c r="A5" s="357"/>
      <c r="B5" s="358"/>
      <c r="C5" s="3766" t="s">
        <v>1673</v>
      </c>
      <c r="D5" s="3767"/>
      <c r="E5" s="3773" t="s">
        <v>1674</v>
      </c>
      <c r="F5" s="3774"/>
      <c r="G5" s="3766" t="s">
        <v>1675</v>
      </c>
      <c r="H5" s="3767"/>
      <c r="I5" s="3766" t="s">
        <v>1676</v>
      </c>
      <c r="J5" s="3767"/>
      <c r="K5" s="558"/>
      <c r="L5" s="2713"/>
      <c r="M5" s="2714"/>
      <c r="N5" s="2714"/>
      <c r="O5" s="2714"/>
      <c r="P5" s="3783"/>
      <c r="Q5" s="3754"/>
      <c r="R5" s="3759"/>
      <c r="S5" s="3760"/>
      <c r="T5" s="3759"/>
      <c r="U5" s="3760"/>
      <c r="V5" s="3763"/>
      <c r="W5" s="3763"/>
      <c r="X5" s="1353"/>
      <c r="Y5" s="3759"/>
      <c r="Z5" s="3760"/>
      <c r="AA5" s="3745"/>
      <c r="AB5" s="3745"/>
      <c r="AC5" s="3779"/>
    </row>
    <row r="6" spans="1:29" ht="15.75" thickBot="1">
      <c r="A6" s="359"/>
      <c r="B6" s="360"/>
      <c r="C6" s="3764" t="s">
        <v>1677</v>
      </c>
      <c r="D6" s="3765"/>
      <c r="E6" s="3771" t="s">
        <v>1677</v>
      </c>
      <c r="F6" s="3772"/>
      <c r="G6" s="3764" t="s">
        <v>1677</v>
      </c>
      <c r="H6" s="3765"/>
      <c r="I6" s="3764" t="s">
        <v>1677</v>
      </c>
      <c r="J6" s="3765"/>
      <c r="K6" s="558" t="s">
        <v>1678</v>
      </c>
      <c r="L6" s="2713"/>
      <c r="M6" s="2714"/>
      <c r="N6" s="2714"/>
      <c r="O6" s="2714"/>
      <c r="P6" s="3784"/>
      <c r="Q6" s="3756"/>
      <c r="R6" s="3759"/>
      <c r="S6" s="3760"/>
      <c r="T6" s="3761"/>
      <c r="U6" s="3762"/>
      <c r="V6" s="3763"/>
      <c r="W6" s="3763"/>
      <c r="X6" s="1353"/>
      <c r="Y6" s="3761"/>
      <c r="Z6" s="3762"/>
      <c r="AA6" s="3746"/>
      <c r="AB6" s="3746"/>
      <c r="AC6" s="3780"/>
    </row>
    <row r="7" spans="1:29" s="107" customFormat="1" ht="15.75" thickBot="1">
      <c r="A7" s="361" t="s">
        <v>1679</v>
      </c>
      <c r="B7" s="362"/>
      <c r="C7" s="363">
        <f>'数据-取费表'!B2</f>
        <v>45062</v>
      </c>
      <c r="D7" s="364">
        <v>100</v>
      </c>
      <c r="E7" s="365"/>
      <c r="F7" s="366">
        <f>SUMIF(59:59,YEAR(E7)&amp;"-"&amp;MONTH(E7),60:60)</f>
        <v>0</v>
      </c>
      <c r="G7" s="365"/>
      <c r="H7" s="364">
        <f>SUMIF(59:59,YEAR(G7)&amp;"-"&amp;MONTH(G7),60:60)</f>
        <v>0</v>
      </c>
      <c r="I7" s="365"/>
      <c r="J7" s="364">
        <f>SUMIF(59:59,YEAR(I7)&amp;"-"&amp;MONTH(I7),60:60)</f>
        <v>0</v>
      </c>
      <c r="K7" s="559"/>
      <c r="L7" s="2715"/>
      <c r="M7" s="2716"/>
      <c r="N7" s="2716"/>
      <c r="O7" s="2716"/>
      <c r="P7" s="3788" t="s">
        <v>1680</v>
      </c>
      <c r="Q7" s="3770"/>
      <c r="R7" s="699" t="s">
        <v>14</v>
      </c>
      <c r="S7" s="700">
        <f t="shared" ref="S7:S15" si="0">F7</f>
        <v>0</v>
      </c>
      <c r="T7" s="699" t="s">
        <v>14</v>
      </c>
      <c r="U7" s="700">
        <f t="shared" ref="U7:U15" si="1">H7</f>
        <v>0</v>
      </c>
      <c r="V7" s="699" t="s">
        <v>14</v>
      </c>
      <c r="W7" s="700">
        <f t="shared" ref="W7:W15" si="2">J7</f>
        <v>0</v>
      </c>
      <c r="X7" s="701"/>
      <c r="Y7" s="3768" t="s">
        <v>1680</v>
      </c>
      <c r="Z7" s="3769"/>
      <c r="AA7" s="702" t="e">
        <f>D7/F7</f>
        <v>#DIV/0!</v>
      </c>
      <c r="AB7" s="702" t="e">
        <f>D7/H7</f>
        <v>#DIV/0!</v>
      </c>
      <c r="AC7" s="1957"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5"/>
      <c r="M8" s="2716"/>
      <c r="N8" s="2716"/>
      <c r="O8" s="2716"/>
      <c r="P8" s="3788" t="s">
        <v>1683</v>
      </c>
      <c r="Q8" s="3769"/>
      <c r="R8" s="699" t="s">
        <v>14</v>
      </c>
      <c r="S8" s="700">
        <f t="shared" si="0"/>
        <v>100</v>
      </c>
      <c r="T8" s="699" t="s">
        <v>14</v>
      </c>
      <c r="U8" s="700">
        <f t="shared" si="1"/>
        <v>100</v>
      </c>
      <c r="V8" s="699" t="s">
        <v>14</v>
      </c>
      <c r="W8" s="700">
        <f t="shared" si="2"/>
        <v>100</v>
      </c>
      <c r="X8" s="701"/>
      <c r="Y8" s="3768" t="s">
        <v>1683</v>
      </c>
      <c r="Z8" s="3769"/>
      <c r="AA8" s="702">
        <f t="shared" ref="AA8:AA47" si="3">D8/F8</f>
        <v>1</v>
      </c>
      <c r="AB8" s="702">
        <f t="shared" ref="AB8:AB47" si="4">D8/H8</f>
        <v>1</v>
      </c>
      <c r="AC8" s="1957">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5"/>
      <c r="M9" s="2716"/>
      <c r="N9" s="2716"/>
      <c r="O9" s="2716"/>
      <c r="P9" s="3743" t="s">
        <v>1686</v>
      </c>
      <c r="Q9" s="1341" t="str">
        <f t="shared" ref="Q9:Q15" si="6">B9</f>
        <v>用途</v>
      </c>
      <c r="R9" s="699" t="s">
        <v>14</v>
      </c>
      <c r="S9" s="700">
        <f t="shared" si="0"/>
        <v>100</v>
      </c>
      <c r="T9" s="699" t="s">
        <v>14</v>
      </c>
      <c r="U9" s="700">
        <f t="shared" si="1"/>
        <v>100</v>
      </c>
      <c r="V9" s="699" t="s">
        <v>14</v>
      </c>
      <c r="W9" s="700">
        <f t="shared" si="2"/>
        <v>100</v>
      </c>
      <c r="X9" s="701"/>
      <c r="Y9" s="3626" t="s">
        <v>1687</v>
      </c>
      <c r="Z9" s="51" t="str">
        <f t="shared" ref="Z9:Z15" si="7">Q9</f>
        <v>用途</v>
      </c>
      <c r="AA9" s="702">
        <f t="shared" si="3"/>
        <v>1</v>
      </c>
      <c r="AB9" s="702">
        <f t="shared" si="4"/>
        <v>1</v>
      </c>
      <c r="AC9" s="1957">
        <f t="shared" si="5"/>
        <v>1</v>
      </c>
    </row>
    <row r="10" spans="1:29" s="377" customFormat="1" ht="27">
      <c r="A10" s="373"/>
      <c r="B10" s="374" t="s">
        <v>1688</v>
      </c>
      <c r="C10" s="3432"/>
      <c r="D10" s="126">
        <v>100</v>
      </c>
      <c r="E10" s="3432"/>
      <c r="F10" s="126">
        <f>SUMIF(66:66,E10,67:67)-SUMIF(66:66,C10,67:67)+100</f>
        <v>100</v>
      </c>
      <c r="G10" s="3433"/>
      <c r="H10" s="126">
        <f>SUMIF(66:66,G10,67:67)-SUMIF(66:66,C10,67:67)+100</f>
        <v>100</v>
      </c>
      <c r="I10" s="3432"/>
      <c r="J10" s="126">
        <f>SUMIF(66:66,I10,67:67)-SUMIF(66:66,C10,67:67)+100</f>
        <v>100</v>
      </c>
      <c r="K10" s="559"/>
      <c r="L10" s="2717"/>
      <c r="M10" s="2718"/>
      <c r="N10" s="2718"/>
      <c r="O10" s="2718"/>
      <c r="P10" s="3743"/>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9"/>
      <c r="M11" s="2714"/>
      <c r="N11" s="2714"/>
      <c r="O11" s="2714"/>
      <c r="P11" s="3743"/>
      <c r="Q11" s="1341" t="str">
        <f t="shared" si="6"/>
        <v>容积率</v>
      </c>
      <c r="R11" s="699" t="s">
        <v>14</v>
      </c>
      <c r="S11" s="700">
        <f t="shared" si="0"/>
        <v>100</v>
      </c>
      <c r="T11" s="699" t="s">
        <v>14</v>
      </c>
      <c r="U11" s="700">
        <f t="shared" si="1"/>
        <v>100</v>
      </c>
      <c r="V11" s="699" t="s">
        <v>14</v>
      </c>
      <c r="W11" s="700">
        <f t="shared" si="2"/>
        <v>100</v>
      </c>
      <c r="X11" s="701"/>
      <c r="Y11" s="3626"/>
      <c r="Z11" s="51"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5"/>
      <c r="M12" s="2716"/>
      <c r="N12" s="2716"/>
      <c r="O12" s="2716"/>
      <c r="P12" s="3743"/>
      <c r="Q12" s="1341">
        <f t="shared" si="6"/>
        <v>111</v>
      </c>
      <c r="R12" s="699" t="s">
        <v>14</v>
      </c>
      <c r="S12" s="700">
        <f t="shared" si="0"/>
        <v>100</v>
      </c>
      <c r="T12" s="699" t="s">
        <v>14</v>
      </c>
      <c r="U12" s="700">
        <f t="shared" si="1"/>
        <v>100</v>
      </c>
      <c r="V12" s="699" t="s">
        <v>14</v>
      </c>
      <c r="W12" s="700">
        <f t="shared" si="2"/>
        <v>100</v>
      </c>
      <c r="X12" s="701"/>
      <c r="Y12" s="3626"/>
      <c r="Z12" s="51">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20"/>
      <c r="M13" s="2714"/>
      <c r="N13" s="2714"/>
      <c r="O13" s="2714"/>
      <c r="P13" s="3743"/>
      <c r="Q13" s="1341">
        <f t="shared" si="6"/>
        <v>111</v>
      </c>
      <c r="R13" s="699" t="s">
        <v>14</v>
      </c>
      <c r="S13" s="700">
        <f t="shared" si="0"/>
        <v>100</v>
      </c>
      <c r="T13" s="699" t="s">
        <v>14</v>
      </c>
      <c r="U13" s="700">
        <f t="shared" si="1"/>
        <v>100</v>
      </c>
      <c r="V13" s="699" t="s">
        <v>14</v>
      </c>
      <c r="W13" s="700">
        <f t="shared" si="2"/>
        <v>100</v>
      </c>
      <c r="X13" s="701"/>
      <c r="Y13" s="3626"/>
      <c r="Z13" s="51">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20"/>
      <c r="M14" s="2714"/>
      <c r="N14" s="2714"/>
      <c r="O14" s="2714"/>
      <c r="P14" s="3743"/>
      <c r="Q14" s="1341">
        <f t="shared" si="6"/>
        <v>111</v>
      </c>
      <c r="R14" s="699" t="s">
        <v>14</v>
      </c>
      <c r="S14" s="700">
        <f t="shared" si="0"/>
        <v>100</v>
      </c>
      <c r="T14" s="699" t="s">
        <v>14</v>
      </c>
      <c r="U14" s="700">
        <f t="shared" si="1"/>
        <v>100</v>
      </c>
      <c r="V14" s="699" t="s">
        <v>14</v>
      </c>
      <c r="W14" s="700">
        <f t="shared" si="2"/>
        <v>100</v>
      </c>
      <c r="X14" s="701"/>
      <c r="Y14" s="3626"/>
      <c r="Z14" s="51">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0"/>
      <c r="M15" s="2714"/>
      <c r="N15" s="2714"/>
      <c r="O15" s="2714"/>
      <c r="P15" s="3741" t="s">
        <v>1691</v>
      </c>
      <c r="Q15" s="1350" t="str">
        <f t="shared" si="6"/>
        <v>办公集聚程度</v>
      </c>
      <c r="R15" s="703" t="s">
        <v>14</v>
      </c>
      <c r="S15" s="704">
        <f t="shared" si="0"/>
        <v>100</v>
      </c>
      <c r="T15" s="703" t="s">
        <v>14</v>
      </c>
      <c r="U15" s="704">
        <f t="shared" si="1"/>
        <v>100</v>
      </c>
      <c r="V15" s="703" t="s">
        <v>14</v>
      </c>
      <c r="W15" s="704">
        <f t="shared" si="2"/>
        <v>100</v>
      </c>
      <c r="X15" s="1353"/>
      <c r="Y15" s="3734"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20"/>
      <c r="M16" s="2714"/>
      <c r="N16" s="2714"/>
      <c r="O16" s="2714"/>
      <c r="P16" s="3742"/>
      <c r="Q16" s="1350"/>
      <c r="R16" s="703"/>
      <c r="S16" s="704"/>
      <c r="T16" s="703"/>
      <c r="U16" s="704"/>
      <c r="V16" s="703"/>
      <c r="W16" s="704"/>
      <c r="X16" s="1353"/>
      <c r="Y16" s="3735"/>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0"/>
      <c r="M17" s="2714"/>
      <c r="N17" s="2714"/>
      <c r="O17" s="2714"/>
      <c r="P17" s="3742"/>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20"/>
      <c r="M18" s="2714"/>
      <c r="N18" s="2714"/>
      <c r="O18" s="2714"/>
      <c r="P18" s="3742"/>
      <c r="Q18" s="1350"/>
      <c r="R18" s="703"/>
      <c r="S18" s="704"/>
      <c r="T18" s="703"/>
      <c r="U18" s="704"/>
      <c r="V18" s="703"/>
      <c r="W18" s="704"/>
      <c r="X18" s="1353"/>
      <c r="Y18" s="3735"/>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0"/>
      <c r="M19" s="2714"/>
      <c r="N19" s="2714"/>
      <c r="O19" s="2714"/>
      <c r="P19" s="3742"/>
      <c r="Q19" s="1350" t="str">
        <f>B19</f>
        <v>公共配套设施</v>
      </c>
      <c r="R19" s="703" t="s">
        <v>14</v>
      </c>
      <c r="S19" s="704">
        <f>F19</f>
        <v>100</v>
      </c>
      <c r="T19" s="703" t="s">
        <v>14</v>
      </c>
      <c r="U19" s="704">
        <f>H19</f>
        <v>100</v>
      </c>
      <c r="V19" s="703" t="s">
        <v>14</v>
      </c>
      <c r="W19" s="704">
        <f>J19</f>
        <v>100</v>
      </c>
      <c r="X19" s="1353"/>
      <c r="Y19" s="3735"/>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20"/>
      <c r="M20" s="2714"/>
      <c r="N20" s="2714"/>
      <c r="O20" s="2714"/>
      <c r="P20" s="3742"/>
      <c r="Q20" s="1350"/>
      <c r="R20" s="703"/>
      <c r="S20" s="704"/>
      <c r="T20" s="703"/>
      <c r="U20" s="704"/>
      <c r="V20" s="703"/>
      <c r="W20" s="704"/>
      <c r="X20" s="1353"/>
      <c r="Y20" s="3735"/>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0"/>
      <c r="M21" s="2714"/>
      <c r="N21" s="2714"/>
      <c r="O21" s="2714"/>
      <c r="P21" s="3742"/>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20"/>
      <c r="M22" s="2714"/>
      <c r="N22" s="2714"/>
      <c r="O22" s="2714"/>
      <c r="P22" s="3742"/>
      <c r="Q22" s="1350"/>
      <c r="R22" s="703"/>
      <c r="S22" s="704"/>
      <c r="T22" s="703"/>
      <c r="U22" s="704"/>
      <c r="V22" s="703"/>
      <c r="W22" s="704"/>
      <c r="X22" s="1353"/>
      <c r="Y22" s="3735"/>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0"/>
      <c r="M23" s="2714"/>
      <c r="N23" s="2714"/>
      <c r="O23" s="2714"/>
      <c r="P23" s="3742"/>
      <c r="Q23" s="1350" t="str">
        <f>B23</f>
        <v>环境质量</v>
      </c>
      <c r="R23" s="703" t="s">
        <v>14</v>
      </c>
      <c r="S23" s="704">
        <f>F23</f>
        <v>100</v>
      </c>
      <c r="T23" s="703" t="s">
        <v>14</v>
      </c>
      <c r="U23" s="704">
        <f>H23</f>
        <v>100</v>
      </c>
      <c r="V23" s="703" t="s">
        <v>14</v>
      </c>
      <c r="W23" s="704">
        <f>J23</f>
        <v>100</v>
      </c>
      <c r="X23" s="1353"/>
      <c r="Y23" s="3735"/>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20"/>
      <c r="M24" s="2714"/>
      <c r="N24" s="2714"/>
      <c r="O24" s="2714"/>
      <c r="P24" s="3742"/>
      <c r="Q24" s="1350"/>
      <c r="R24" s="703"/>
      <c r="S24" s="704"/>
      <c r="T24" s="703"/>
      <c r="U24" s="704"/>
      <c r="V24" s="703"/>
      <c r="W24" s="704"/>
      <c r="X24" s="1353"/>
      <c r="Y24" s="3735"/>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20"/>
      <c r="M25" s="2714"/>
      <c r="N25" s="2714"/>
      <c r="O25" s="2714"/>
      <c r="P25" s="3742"/>
      <c r="Q25" s="1350" t="str">
        <f>B25</f>
        <v>毗邻道路的类型与等级</v>
      </c>
      <c r="R25" s="703" t="s">
        <v>14</v>
      </c>
      <c r="S25" s="704">
        <f>F25</f>
        <v>100</v>
      </c>
      <c r="T25" s="703" t="s">
        <v>14</v>
      </c>
      <c r="U25" s="704">
        <f>H25</f>
        <v>100</v>
      </c>
      <c r="V25" s="703" t="s">
        <v>14</v>
      </c>
      <c r="W25" s="704">
        <f>J25</f>
        <v>100</v>
      </c>
      <c r="X25" s="1353"/>
      <c r="Y25" s="3735"/>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20"/>
      <c r="M26" s="2714"/>
      <c r="N26" s="2714"/>
      <c r="O26" s="2714"/>
      <c r="P26" s="3742"/>
      <c r="Q26" s="1350"/>
      <c r="R26" s="703"/>
      <c r="S26" s="704"/>
      <c r="T26" s="703"/>
      <c r="U26" s="704"/>
      <c r="V26" s="703"/>
      <c r="W26" s="704"/>
      <c r="X26" s="1353"/>
      <c r="Y26" s="3735"/>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0"/>
      <c r="M27" s="2714"/>
      <c r="N27" s="2714"/>
      <c r="O27" s="2714"/>
      <c r="P27" s="3742"/>
      <c r="Q27" s="1350" t="str">
        <f t="shared" ref="Q27:Q47" si="11">B27</f>
        <v>楼层</v>
      </c>
      <c r="R27" s="703" t="s">
        <v>14</v>
      </c>
      <c r="S27" s="704">
        <f>F27</f>
        <v>100</v>
      </c>
      <c r="T27" s="703" t="s">
        <v>14</v>
      </c>
      <c r="U27" s="704">
        <f>H27</f>
        <v>100</v>
      </c>
      <c r="V27" s="703" t="s">
        <v>14</v>
      </c>
      <c r="W27" s="704">
        <f>J27</f>
        <v>100</v>
      </c>
      <c r="X27" s="1353"/>
      <c r="Y27" s="3735"/>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5"/>
      <c r="M28" s="2716"/>
      <c r="N28" s="2716"/>
      <c r="O28" s="2716"/>
      <c r="P28" s="3742"/>
      <c r="Q28" s="1341" t="str">
        <f t="shared" si="11"/>
        <v>朝向</v>
      </c>
      <c r="R28" s="699" t="s">
        <v>14</v>
      </c>
      <c r="S28" s="700">
        <f>F28</f>
        <v>100</v>
      </c>
      <c r="T28" s="699" t="s">
        <v>14</v>
      </c>
      <c r="U28" s="700">
        <f>H28</f>
        <v>100</v>
      </c>
      <c r="V28" s="699" t="s">
        <v>14</v>
      </c>
      <c r="W28" s="700">
        <f>J28</f>
        <v>100</v>
      </c>
      <c r="X28" s="701"/>
      <c r="Y28" s="3735"/>
      <c r="Z28" s="51"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20"/>
      <c r="M29" s="2714"/>
      <c r="N29" s="2714"/>
      <c r="O29" s="2714"/>
      <c r="P29" s="3742"/>
      <c r="Q29" s="1350">
        <f t="shared" si="11"/>
        <v>111</v>
      </c>
      <c r="R29" s="703" t="s">
        <v>14</v>
      </c>
      <c r="S29" s="704">
        <f t="shared" ref="S29:S47" si="12">F29</f>
        <v>100</v>
      </c>
      <c r="T29" s="703" t="s">
        <v>14</v>
      </c>
      <c r="U29" s="704">
        <f t="shared" ref="U29:U47" si="13">H29</f>
        <v>100</v>
      </c>
      <c r="V29" s="703" t="s">
        <v>14</v>
      </c>
      <c r="W29" s="704">
        <f t="shared" ref="W29:W47" si="14">J29</f>
        <v>100</v>
      </c>
      <c r="X29" s="1353"/>
      <c r="Y29" s="3735"/>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20"/>
      <c r="M30" s="2714"/>
      <c r="N30" s="2714"/>
      <c r="O30" s="2714"/>
      <c r="P30" s="3742"/>
      <c r="Q30" s="1350">
        <f t="shared" si="11"/>
        <v>111</v>
      </c>
      <c r="R30" s="703" t="s">
        <v>14</v>
      </c>
      <c r="S30" s="704">
        <f t="shared" si="12"/>
        <v>100</v>
      </c>
      <c r="T30" s="703" t="s">
        <v>14</v>
      </c>
      <c r="U30" s="704">
        <f t="shared" si="13"/>
        <v>100</v>
      </c>
      <c r="V30" s="703" t="s">
        <v>14</v>
      </c>
      <c r="W30" s="704">
        <f t="shared" si="14"/>
        <v>100</v>
      </c>
      <c r="X30" s="1353"/>
      <c r="Y30" s="3735"/>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20"/>
      <c r="M31" s="2714"/>
      <c r="N31" s="2714"/>
      <c r="O31" s="2714"/>
      <c r="P31" s="3742"/>
      <c r="Q31" s="1350">
        <f t="shared" si="11"/>
        <v>111</v>
      </c>
      <c r="R31" s="703" t="s">
        <v>14</v>
      </c>
      <c r="S31" s="704">
        <f t="shared" si="12"/>
        <v>100</v>
      </c>
      <c r="T31" s="703" t="s">
        <v>14</v>
      </c>
      <c r="U31" s="704">
        <f t="shared" si="13"/>
        <v>100</v>
      </c>
      <c r="V31" s="703" t="s">
        <v>14</v>
      </c>
      <c r="W31" s="704">
        <f t="shared" si="14"/>
        <v>100</v>
      </c>
      <c r="X31" s="1353"/>
      <c r="Y31" s="3735"/>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20"/>
      <c r="M32" s="2714"/>
      <c r="N32" s="2714"/>
      <c r="O32" s="2714"/>
      <c r="P32" s="3742"/>
      <c r="Q32" s="1350">
        <f t="shared" si="11"/>
        <v>111</v>
      </c>
      <c r="R32" s="703" t="s">
        <v>14</v>
      </c>
      <c r="S32" s="704">
        <f t="shared" si="12"/>
        <v>100</v>
      </c>
      <c r="T32" s="703" t="s">
        <v>14</v>
      </c>
      <c r="U32" s="704">
        <f t="shared" si="13"/>
        <v>100</v>
      </c>
      <c r="V32" s="703" t="s">
        <v>14</v>
      </c>
      <c r="W32" s="704">
        <f t="shared" si="14"/>
        <v>100</v>
      </c>
      <c r="X32" s="1353"/>
      <c r="Y32" s="3735"/>
      <c r="Z32" s="1354">
        <f t="shared" si="15"/>
        <v>111</v>
      </c>
      <c r="AA32" s="1351">
        <f t="shared" si="3"/>
        <v>1</v>
      </c>
      <c r="AB32" s="1351">
        <f t="shared" si="4"/>
        <v>1</v>
      </c>
      <c r="AC32" s="1960">
        <f t="shared" si="5"/>
        <v>1</v>
      </c>
    </row>
    <row r="33" spans="1:29" ht="15">
      <c r="A33" s="390" t="s">
        <v>1694</v>
      </c>
      <c r="B33" s="62"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20"/>
      <c r="M33" s="2714"/>
      <c r="N33" s="2714"/>
      <c r="O33" s="2714"/>
      <c r="P33" s="3736" t="s">
        <v>1696</v>
      </c>
      <c r="Q33" s="1350" t="str">
        <f t="shared" si="11"/>
        <v>建筑类型</v>
      </c>
      <c r="R33" s="703" t="s">
        <v>14</v>
      </c>
      <c r="S33" s="704">
        <f t="shared" si="12"/>
        <v>100</v>
      </c>
      <c r="T33" s="703" t="s">
        <v>14</v>
      </c>
      <c r="U33" s="704">
        <f t="shared" si="13"/>
        <v>100</v>
      </c>
      <c r="V33" s="703" t="s">
        <v>14</v>
      </c>
      <c r="W33" s="704">
        <f t="shared" si="14"/>
        <v>100</v>
      </c>
      <c r="X33" s="1353"/>
      <c r="Y33" s="3739"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9"/>
      <c r="M34" s="2721"/>
      <c r="N34" s="2721"/>
      <c r="O34" s="2721"/>
      <c r="P34" s="3737"/>
      <c r="Q34" s="705" t="str">
        <f t="shared" si="11"/>
        <v>项目建筑规模</v>
      </c>
      <c r="R34" s="706" t="s">
        <v>14</v>
      </c>
      <c r="S34" s="707" t="e">
        <f t="shared" si="12"/>
        <v>#N/A</v>
      </c>
      <c r="T34" s="706" t="s">
        <v>14</v>
      </c>
      <c r="U34" s="707" t="e">
        <f t="shared" si="13"/>
        <v>#N/A</v>
      </c>
      <c r="V34" s="706" t="s">
        <v>14</v>
      </c>
      <c r="W34" s="707" t="e">
        <f t="shared" si="14"/>
        <v>#N/A</v>
      </c>
      <c r="X34" s="708"/>
      <c r="Y34" s="3739"/>
      <c r="Z34" s="709"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0"/>
      <c r="M35" s="2714"/>
      <c r="N35" s="2714"/>
      <c r="O35" s="2714"/>
      <c r="P35" s="3737"/>
      <c r="Q35" s="1350" t="str">
        <f t="shared" si="11"/>
        <v>建筑结构</v>
      </c>
      <c r="R35" s="703" t="s">
        <v>14</v>
      </c>
      <c r="S35" s="704">
        <f t="shared" si="12"/>
        <v>100</v>
      </c>
      <c r="T35" s="703" t="s">
        <v>14</v>
      </c>
      <c r="U35" s="704">
        <f t="shared" si="13"/>
        <v>100</v>
      </c>
      <c r="V35" s="703" t="s">
        <v>14</v>
      </c>
      <c r="W35" s="704">
        <f t="shared" si="14"/>
        <v>100</v>
      </c>
      <c r="X35" s="1353"/>
      <c r="Y35" s="3739"/>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0"/>
      <c r="M36" s="2714"/>
      <c r="N36" s="2714"/>
      <c r="O36" s="2714"/>
      <c r="P36" s="3737"/>
      <c r="Q36" s="1350" t="str">
        <f t="shared" si="11"/>
        <v>公共部分装修</v>
      </c>
      <c r="R36" s="703" t="s">
        <v>14</v>
      </c>
      <c r="S36" s="704">
        <f t="shared" si="12"/>
        <v>100</v>
      </c>
      <c r="T36" s="703" t="s">
        <v>14</v>
      </c>
      <c r="U36" s="704">
        <f t="shared" si="13"/>
        <v>100</v>
      </c>
      <c r="V36" s="703" t="s">
        <v>14</v>
      </c>
      <c r="W36" s="704">
        <f t="shared" si="14"/>
        <v>100</v>
      </c>
      <c r="X36" s="1353"/>
      <c r="Y36" s="3739"/>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0"/>
      <c r="M37" s="2714"/>
      <c r="N37" s="2714"/>
      <c r="O37" s="2714"/>
      <c r="P37" s="3737"/>
      <c r="Q37" s="1350" t="str">
        <f t="shared" si="11"/>
        <v>成新度</v>
      </c>
      <c r="R37" s="703" t="s">
        <v>14</v>
      </c>
      <c r="S37" s="704" t="e">
        <f t="shared" si="12"/>
        <v>#N/A</v>
      </c>
      <c r="T37" s="703" t="s">
        <v>14</v>
      </c>
      <c r="U37" s="704" t="e">
        <f t="shared" si="13"/>
        <v>#N/A</v>
      </c>
      <c r="V37" s="703" t="s">
        <v>14</v>
      </c>
      <c r="W37" s="704" t="e">
        <f t="shared" si="14"/>
        <v>#N/A</v>
      </c>
      <c r="X37" s="1353"/>
      <c r="Y37" s="3739"/>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5"/>
      <c r="M38" s="2716"/>
      <c r="N38" s="2716"/>
      <c r="O38" s="2716"/>
      <c r="P38" s="3737"/>
      <c r="Q38" s="1341" t="str">
        <f t="shared" si="11"/>
        <v>写字楼等级</v>
      </c>
      <c r="R38" s="699" t="s">
        <v>14</v>
      </c>
      <c r="S38" s="700">
        <f t="shared" si="12"/>
        <v>100</v>
      </c>
      <c r="T38" s="699" t="s">
        <v>14</v>
      </c>
      <c r="U38" s="700">
        <f t="shared" si="13"/>
        <v>100</v>
      </c>
      <c r="V38" s="699" t="s">
        <v>14</v>
      </c>
      <c r="W38" s="700">
        <f t="shared" si="14"/>
        <v>100</v>
      </c>
      <c r="X38" s="701"/>
      <c r="Y38" s="3739"/>
      <c r="Z38" s="51" t="str">
        <f t="shared" si="15"/>
        <v>写字楼等级</v>
      </c>
      <c r="AA38" s="702">
        <f t="shared" si="3"/>
        <v>1</v>
      </c>
      <c r="AB38" s="702">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0"/>
      <c r="M39" s="2714"/>
      <c r="N39" s="2714"/>
      <c r="O39" s="2714"/>
      <c r="P39" s="3737" t="s">
        <v>1696</v>
      </c>
      <c r="Q39" s="1350" t="str">
        <f t="shared" si="11"/>
        <v>物业管理</v>
      </c>
      <c r="R39" s="703" t="s">
        <v>14</v>
      </c>
      <c r="S39" s="704">
        <f t="shared" si="12"/>
        <v>100</v>
      </c>
      <c r="T39" s="703" t="s">
        <v>14</v>
      </c>
      <c r="U39" s="704">
        <f t="shared" si="13"/>
        <v>100</v>
      </c>
      <c r="V39" s="703" t="s">
        <v>14</v>
      </c>
      <c r="W39" s="704">
        <f t="shared" si="14"/>
        <v>100</v>
      </c>
      <c r="X39" s="1353"/>
      <c r="Y39" s="3739"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0"/>
      <c r="M40" s="2714"/>
      <c r="N40" s="2714"/>
      <c r="O40" s="2714"/>
      <c r="P40" s="3737"/>
      <c r="Q40" s="1350" t="str">
        <f t="shared" si="11"/>
        <v>市政基础设施</v>
      </c>
      <c r="R40" s="703" t="s">
        <v>14</v>
      </c>
      <c r="S40" s="704">
        <f t="shared" si="12"/>
        <v>100</v>
      </c>
      <c r="T40" s="703" t="s">
        <v>14</v>
      </c>
      <c r="U40" s="704">
        <f t="shared" si="13"/>
        <v>100</v>
      </c>
      <c r="V40" s="703" t="s">
        <v>14</v>
      </c>
      <c r="W40" s="704">
        <f t="shared" si="14"/>
        <v>100</v>
      </c>
      <c r="X40" s="1353"/>
      <c r="Y40" s="3739"/>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0"/>
      <c r="M41" s="2714"/>
      <c r="N41" s="2714"/>
      <c r="O41" s="2714"/>
      <c r="P41" s="3737"/>
      <c r="Q41" s="1350" t="str">
        <f t="shared" si="11"/>
        <v>层高</v>
      </c>
      <c r="R41" s="703" t="s">
        <v>14</v>
      </c>
      <c r="S41" s="704">
        <f t="shared" si="12"/>
        <v>100</v>
      </c>
      <c r="T41" s="703" t="s">
        <v>14</v>
      </c>
      <c r="U41" s="704">
        <f t="shared" si="13"/>
        <v>100</v>
      </c>
      <c r="V41" s="703" t="s">
        <v>14</v>
      </c>
      <c r="W41" s="704">
        <f t="shared" si="14"/>
        <v>100</v>
      </c>
      <c r="X41" s="1353"/>
      <c r="Y41" s="3739"/>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9"/>
      <c r="M42" s="2721"/>
      <c r="N42" s="2721"/>
      <c r="O42" s="2721"/>
      <c r="P42" s="3737"/>
      <c r="Q42" s="705" t="str">
        <f t="shared" si="11"/>
        <v>单套建筑面积</v>
      </c>
      <c r="R42" s="706" t="s">
        <v>14</v>
      </c>
      <c r="S42" s="707">
        <f t="shared" si="12"/>
        <v>100</v>
      </c>
      <c r="T42" s="706" t="s">
        <v>14</v>
      </c>
      <c r="U42" s="707">
        <f t="shared" si="13"/>
        <v>100</v>
      </c>
      <c r="V42" s="706" t="s">
        <v>14</v>
      </c>
      <c r="W42" s="707">
        <f t="shared" si="14"/>
        <v>100</v>
      </c>
      <c r="X42" s="708"/>
      <c r="Y42" s="3739"/>
      <c r="Z42" s="709"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0"/>
      <c r="M43" s="2714"/>
      <c r="N43" s="2714"/>
      <c r="O43" s="2714"/>
      <c r="P43" s="3737"/>
      <c r="Q43" s="1350" t="str">
        <f t="shared" si="11"/>
        <v>内部装修</v>
      </c>
      <c r="R43" s="703" t="s">
        <v>14</v>
      </c>
      <c r="S43" s="704">
        <f t="shared" si="12"/>
        <v>100</v>
      </c>
      <c r="T43" s="703" t="s">
        <v>14</v>
      </c>
      <c r="U43" s="704">
        <f t="shared" si="13"/>
        <v>100</v>
      </c>
      <c r="V43" s="703" t="s">
        <v>14</v>
      </c>
      <c r="W43" s="704">
        <f t="shared" si="14"/>
        <v>100</v>
      </c>
      <c r="X43" s="1353"/>
      <c r="Y43" s="3739"/>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20"/>
      <c r="M44" s="2714"/>
      <c r="N44" s="2714"/>
      <c r="O44" s="2714"/>
      <c r="P44" s="3737"/>
      <c r="Q44" s="1350" t="str">
        <f t="shared" si="11"/>
        <v>内部装修维护情况</v>
      </c>
      <c r="R44" s="703" t="s">
        <v>14</v>
      </c>
      <c r="S44" s="704">
        <f t="shared" si="12"/>
        <v>100</v>
      </c>
      <c r="T44" s="703" t="s">
        <v>14</v>
      </c>
      <c r="U44" s="704">
        <f t="shared" si="13"/>
        <v>100</v>
      </c>
      <c r="V44" s="703" t="s">
        <v>14</v>
      </c>
      <c r="W44" s="704">
        <f t="shared" si="14"/>
        <v>100</v>
      </c>
      <c r="X44" s="1353"/>
      <c r="Y44" s="3739"/>
      <c r="Z44" s="1354" t="str">
        <f t="shared" si="15"/>
        <v>内部装修维护情况</v>
      </c>
      <c r="AA44" s="1351">
        <f t="shared" si="3"/>
        <v>1</v>
      </c>
      <c r="AB44" s="1351">
        <f t="shared" si="4"/>
        <v>1</v>
      </c>
      <c r="AC44" s="1960">
        <f t="shared" si="5"/>
        <v>1</v>
      </c>
    </row>
    <row r="45" spans="1:29" s="107"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5"/>
      <c r="M45" s="2716"/>
      <c r="N45" s="2716"/>
      <c r="O45" s="2716"/>
      <c r="P45" s="3737"/>
      <c r="Q45" s="1341">
        <f t="shared" si="11"/>
        <v>111</v>
      </c>
      <c r="R45" s="699" t="s">
        <v>14</v>
      </c>
      <c r="S45" s="700">
        <f t="shared" si="12"/>
        <v>100</v>
      </c>
      <c r="T45" s="699" t="s">
        <v>14</v>
      </c>
      <c r="U45" s="700">
        <f t="shared" si="13"/>
        <v>100</v>
      </c>
      <c r="V45" s="699" t="s">
        <v>14</v>
      </c>
      <c r="W45" s="700">
        <f t="shared" si="14"/>
        <v>100</v>
      </c>
      <c r="X45" s="701"/>
      <c r="Y45" s="3739"/>
      <c r="Z45" s="51">
        <f t="shared" si="15"/>
        <v>111</v>
      </c>
      <c r="AA45" s="702">
        <f t="shared" si="3"/>
        <v>1</v>
      </c>
      <c r="AB45" s="702">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0"/>
      <c r="M46" s="2714"/>
      <c r="N46" s="2714"/>
      <c r="O46" s="2714"/>
      <c r="P46" s="3737"/>
      <c r="Q46" s="1350">
        <f t="shared" si="11"/>
        <v>111</v>
      </c>
      <c r="R46" s="703" t="s">
        <v>14</v>
      </c>
      <c r="S46" s="704">
        <f t="shared" si="12"/>
        <v>100</v>
      </c>
      <c r="T46" s="703" t="s">
        <v>14</v>
      </c>
      <c r="U46" s="704">
        <f t="shared" si="13"/>
        <v>100</v>
      </c>
      <c r="V46" s="703" t="s">
        <v>14</v>
      </c>
      <c r="W46" s="704">
        <f t="shared" si="14"/>
        <v>100</v>
      </c>
      <c r="X46" s="1353"/>
      <c r="Y46" s="3739"/>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0"/>
      <c r="M47" s="2714"/>
      <c r="N47" s="2714"/>
      <c r="O47" s="2714"/>
      <c r="P47" s="3738"/>
      <c r="Q47" s="1350">
        <f t="shared" si="11"/>
        <v>111</v>
      </c>
      <c r="R47" s="703" t="s">
        <v>14</v>
      </c>
      <c r="S47" s="704">
        <f t="shared" si="12"/>
        <v>100</v>
      </c>
      <c r="T47" s="703" t="s">
        <v>14</v>
      </c>
      <c r="U47" s="704">
        <f t="shared" si="13"/>
        <v>100</v>
      </c>
      <c r="V47" s="703" t="s">
        <v>14</v>
      </c>
      <c r="W47" s="704">
        <f t="shared" si="14"/>
        <v>100</v>
      </c>
      <c r="X47" s="1353"/>
      <c r="Y47" s="3740"/>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2"/>
      <c r="L48" s="2722"/>
      <c r="M48" s="2714"/>
      <c r="N48" s="2714"/>
      <c r="O48" s="2714"/>
      <c r="P48" s="3743" t="str">
        <f>A48</f>
        <v>成交单价（元/平方米）</v>
      </c>
      <c r="Q48" s="3732"/>
      <c r="R48" s="3733">
        <f>E48</f>
        <v>0</v>
      </c>
      <c r="S48" s="3733"/>
      <c r="T48" s="3733">
        <f>G48</f>
        <v>0</v>
      </c>
      <c r="U48" s="3733"/>
      <c r="V48" s="3733">
        <f>I48</f>
        <v>0</v>
      </c>
      <c r="W48" s="3733"/>
      <c r="X48" s="396"/>
      <c r="Y48" s="710"/>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743"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3"/>
      <c r="L50" s="2722"/>
      <c r="M50" s="2714"/>
      <c r="N50" s="2714"/>
      <c r="O50" s="2714"/>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0" customFormat="1" ht="13.5" customHeight="1">
      <c r="A55" s="2726"/>
      <c r="B55" s="2726"/>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0"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6" customFormat="1" ht="15">
      <c r="A59" s="453" t="s">
        <v>1679</v>
      </c>
      <c r="B59" s="454"/>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7"/>
      <c r="Q59" s="2739"/>
      <c r="R59" s="2739"/>
      <c r="S59" s="2739"/>
      <c r="T59" s="2739"/>
      <c r="U59" s="2739"/>
      <c r="V59" s="2739"/>
      <c r="W59" s="2739"/>
      <c r="X59" s="2739"/>
      <c r="Y59" s="2739"/>
      <c r="Z59" s="2739"/>
      <c r="AA59" s="2739"/>
      <c r="AB59" s="2739"/>
      <c r="AC59" s="2739"/>
    </row>
    <row r="60" spans="1:29" s="107" customFormat="1" ht="15">
      <c r="A60" s="457"/>
      <c r="B60" s="458"/>
      <c r="C60" s="1181">
        <v>100</v>
      </c>
      <c r="D60" s="460"/>
      <c r="E60" s="460"/>
      <c r="F60" s="460"/>
      <c r="G60" s="460"/>
      <c r="H60" s="460"/>
      <c r="I60" s="460"/>
      <c r="J60" s="460"/>
      <c r="K60" s="460"/>
      <c r="L60" s="460"/>
      <c r="M60" s="461"/>
      <c r="N60" s="460"/>
      <c r="O60" s="461"/>
      <c r="P60" s="2758"/>
      <c r="Q60" s="2659"/>
      <c r="R60" s="2659"/>
      <c r="S60" s="2659"/>
      <c r="T60" s="2659"/>
      <c r="U60" s="2659"/>
      <c r="V60" s="2659"/>
      <c r="W60" s="2659"/>
      <c r="X60" s="2659"/>
      <c r="Y60" s="2659"/>
      <c r="Z60" s="2659"/>
      <c r="AA60" s="2659"/>
      <c r="AB60" s="2659"/>
      <c r="AC60" s="2659"/>
    </row>
    <row r="61" spans="1:29" s="107" customFormat="1" ht="15.75" thickBot="1">
      <c r="A61" s="463" t="s">
        <v>1716</v>
      </c>
      <c r="B61" s="464"/>
      <c r="C61" s="465"/>
      <c r="D61" s="466"/>
      <c r="E61" s="466"/>
      <c r="F61" s="466"/>
      <c r="G61" s="466"/>
      <c r="H61" s="466"/>
      <c r="I61" s="466"/>
      <c r="J61" s="466"/>
      <c r="K61" s="466"/>
      <c r="L61" s="466"/>
      <c r="M61" s="467"/>
      <c r="N61" s="466"/>
      <c r="O61" s="467"/>
      <c r="P61" s="2758"/>
      <c r="Q61" s="2737"/>
      <c r="R61" s="2659"/>
      <c r="S61" s="2659"/>
      <c r="T61" s="2659"/>
      <c r="U61" s="2659"/>
      <c r="V61" s="2659"/>
      <c r="W61" s="2659"/>
      <c r="X61" s="2659"/>
      <c r="Y61" s="2659"/>
      <c r="Z61" s="2659"/>
      <c r="AA61" s="2659"/>
      <c r="AB61" s="2659"/>
      <c r="AC61" s="2659"/>
    </row>
    <row r="62" spans="1:29" s="107" customFormat="1" ht="15">
      <c r="A62" s="469" t="s">
        <v>1681</v>
      </c>
      <c r="B62" s="458"/>
      <c r="C62" s="470" t="s">
        <v>1776</v>
      </c>
      <c r="D62" s="471"/>
      <c r="E62" s="471"/>
      <c r="F62" s="471"/>
      <c r="G62" s="471"/>
      <c r="H62" s="471"/>
      <c r="I62" s="471"/>
      <c r="J62" s="471"/>
      <c r="K62" s="471"/>
      <c r="L62" s="472"/>
      <c r="M62" s="473"/>
      <c r="N62" s="2750"/>
      <c r="O62" s="2750"/>
      <c r="P62" s="2759"/>
      <c r="Q62" s="2737"/>
      <c r="R62" s="2659"/>
      <c r="S62" s="2659"/>
      <c r="T62" s="2659"/>
      <c r="U62" s="2659"/>
      <c r="V62" s="2659"/>
      <c r="W62" s="2659"/>
      <c r="X62" s="2659"/>
      <c r="Y62" s="2659"/>
      <c r="Z62" s="2659"/>
      <c r="AA62" s="2659"/>
      <c r="AB62" s="2659"/>
      <c r="AC62" s="2659"/>
    </row>
    <row r="63" spans="1:29" s="107" customFormat="1" ht="15.75" thickBot="1">
      <c r="A63" s="469"/>
      <c r="B63" s="458"/>
      <c r="C63" s="459">
        <v>100</v>
      </c>
      <c r="D63" s="460"/>
      <c r="E63" s="460"/>
      <c r="F63" s="460"/>
      <c r="G63" s="460"/>
      <c r="H63" s="460"/>
      <c r="I63" s="460"/>
      <c r="J63" s="460"/>
      <c r="K63" s="460"/>
      <c r="L63" s="460"/>
      <c r="M63" s="462"/>
      <c r="N63" s="2750"/>
      <c r="O63" s="2750"/>
      <c r="P63" s="2758"/>
      <c r="Q63" s="2737"/>
      <c r="R63" s="2659"/>
      <c r="S63" s="2659"/>
      <c r="T63" s="2659"/>
      <c r="U63" s="2659"/>
      <c r="V63" s="2659"/>
      <c r="W63" s="2659"/>
      <c r="X63" s="2659"/>
      <c r="Y63" s="2659"/>
      <c r="Z63" s="2659"/>
      <c r="AA63" s="2659"/>
      <c r="AB63" s="2659"/>
      <c r="AC63" s="2659"/>
    </row>
    <row r="64" spans="1:29">
      <c r="A64" s="475" t="s">
        <v>1719</v>
      </c>
      <c r="B64" s="476" t="s">
        <v>1685</v>
      </c>
      <c r="C64" s="477">
        <f>C9</f>
        <v>0</v>
      </c>
      <c r="D64" s="478"/>
      <c r="E64" s="478"/>
      <c r="F64" s="478"/>
      <c r="G64" s="478"/>
      <c r="H64" s="478"/>
      <c r="I64" s="478"/>
      <c r="J64" s="478"/>
      <c r="K64" s="479"/>
      <c r="L64" s="480"/>
      <c r="M64" s="481"/>
      <c r="N64" s="2751"/>
      <c r="O64" s="2751"/>
      <c r="P64" s="2760"/>
      <c r="Q64" s="2737"/>
      <c r="R64" s="2723"/>
      <c r="S64" s="2723"/>
      <c r="T64" s="2723"/>
      <c r="U64" s="2723"/>
      <c r="V64" s="2723"/>
      <c r="W64" s="2723"/>
      <c r="X64" s="2723"/>
      <c r="Y64" s="2723"/>
      <c r="Z64" s="2723"/>
      <c r="AA64" s="2723"/>
      <c r="AB64" s="2723"/>
      <c r="AC64" s="2723"/>
    </row>
    <row r="65" spans="1:29" ht="15.75" thickBot="1">
      <c r="A65" s="482"/>
      <c r="B65" s="483"/>
      <c r="C65" s="484">
        <v>100</v>
      </c>
      <c r="D65" s="484"/>
      <c r="E65" s="484"/>
      <c r="F65" s="484"/>
      <c r="G65" s="484"/>
      <c r="H65" s="484"/>
      <c r="I65" s="484"/>
      <c r="J65" s="484"/>
      <c r="K65" s="484"/>
      <c r="L65" s="484"/>
      <c r="M65" s="485"/>
      <c r="N65" s="2752"/>
      <c r="O65" s="2752"/>
      <c r="P65" s="2760"/>
      <c r="Q65" s="2737"/>
      <c r="R65" s="2723"/>
      <c r="S65" s="2723"/>
      <c r="T65" s="2723"/>
      <c r="U65" s="2723"/>
      <c r="V65" s="2723"/>
      <c r="W65" s="2723"/>
      <c r="X65" s="2723"/>
      <c r="Y65" s="2723"/>
      <c r="Z65" s="2723"/>
      <c r="AA65" s="2723"/>
      <c r="AB65" s="2723"/>
      <c r="AC65" s="2723"/>
    </row>
    <row r="66" spans="1:29" ht="27.75" thickTop="1">
      <c r="A66" s="482"/>
      <c r="B66" s="486" t="s">
        <v>1688</v>
      </c>
      <c r="C66" s="531"/>
      <c r="D66" s="531"/>
      <c r="E66" s="531"/>
      <c r="F66" s="531"/>
      <c r="G66" s="531"/>
      <c r="H66" s="531"/>
      <c r="I66" s="531"/>
      <c r="J66" s="531"/>
      <c r="K66" s="532"/>
      <c r="L66" s="533"/>
      <c r="M66" s="534"/>
      <c r="N66" s="2751"/>
      <c r="O66" s="2751"/>
      <c r="P66" s="2760"/>
      <c r="Q66" s="2737"/>
      <c r="R66" s="2723"/>
      <c r="S66" s="2723"/>
      <c r="T66" s="2723"/>
      <c r="U66" s="2723"/>
      <c r="V66" s="2723"/>
      <c r="W66" s="2723"/>
      <c r="X66" s="2723"/>
      <c r="Y66" s="2723"/>
      <c r="Z66" s="2723"/>
      <c r="AA66" s="2723"/>
      <c r="AB66" s="2723"/>
      <c r="AC66" s="2723"/>
    </row>
    <row r="67" spans="1:29" ht="15.75" thickBot="1">
      <c r="A67" s="482"/>
      <c r="B67" s="491"/>
      <c r="C67" s="484"/>
      <c r="D67" s="484"/>
      <c r="E67" s="484"/>
      <c r="F67" s="484"/>
      <c r="G67" s="484"/>
      <c r="H67" s="484"/>
      <c r="I67" s="484"/>
      <c r="J67" s="484"/>
      <c r="K67" s="484"/>
      <c r="L67" s="484"/>
      <c r="M67" s="485"/>
      <c r="N67" s="2752"/>
      <c r="O67" s="2752"/>
      <c r="P67" s="2760"/>
      <c r="Q67" s="2737"/>
      <c r="R67" s="2723"/>
      <c r="S67" s="2723"/>
      <c r="T67" s="2723"/>
      <c r="U67" s="2723"/>
      <c r="V67" s="2723"/>
      <c r="W67" s="2723"/>
      <c r="X67" s="2723"/>
      <c r="Y67" s="2723"/>
      <c r="Z67" s="2723"/>
      <c r="AA67" s="2723"/>
      <c r="AB67" s="2723"/>
      <c r="AC67" s="2723"/>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2"/>
      <c r="B69" s="496"/>
      <c r="C69" s="497">
        <v>0</v>
      </c>
      <c r="D69" s="497">
        <v>3</v>
      </c>
      <c r="E69" s="497"/>
      <c r="F69" s="497"/>
      <c r="G69" s="497"/>
      <c r="H69" s="497"/>
      <c r="I69" s="497"/>
      <c r="J69" s="497"/>
      <c r="K69" s="498"/>
      <c r="L69" s="499"/>
      <c r="M69" s="500"/>
      <c r="N69" s="2751"/>
      <c r="O69" s="2751"/>
      <c r="P69" s="2760"/>
      <c r="Q69" s="2737"/>
      <c r="R69" s="2723"/>
      <c r="S69" s="2723"/>
      <c r="T69" s="2723"/>
      <c r="U69" s="2723"/>
      <c r="V69" s="2723"/>
      <c r="W69" s="2723"/>
      <c r="X69" s="2723"/>
      <c r="Y69" s="2723"/>
      <c r="Z69" s="2723"/>
      <c r="AA69" s="2723"/>
      <c r="AB69" s="2723"/>
      <c r="AC69" s="2723"/>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7"/>
      <c r="R70" s="2723"/>
      <c r="S70" s="2723"/>
      <c r="T70" s="2723"/>
      <c r="U70" s="2723"/>
      <c r="V70" s="2723"/>
      <c r="W70" s="2723"/>
      <c r="X70" s="2723"/>
      <c r="Y70" s="2723"/>
      <c r="Z70" s="2723"/>
      <c r="AA70" s="2723"/>
      <c r="AB70" s="2723"/>
      <c r="AC70" s="2723"/>
    </row>
    <row r="71" spans="1:29" s="421" customFormat="1" ht="15.75"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5.75"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5.75"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5.75"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5.75"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5.75"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c r="A77" s="475" t="s">
        <v>1690</v>
      </c>
      <c r="B77" s="476" t="s">
        <v>1821</v>
      </c>
      <c r="C77" s="521" t="s">
        <v>1721</v>
      </c>
      <c r="D77" s="521" t="s">
        <v>1722</v>
      </c>
      <c r="E77" s="521" t="s">
        <v>1723</v>
      </c>
      <c r="F77" s="521" t="s">
        <v>1724</v>
      </c>
      <c r="G77" s="521" t="s">
        <v>1725</v>
      </c>
      <c r="H77" s="477"/>
      <c r="I77" s="477"/>
      <c r="J77" s="477"/>
      <c r="K77" s="522"/>
      <c r="L77" s="523"/>
      <c r="M77" s="524"/>
      <c r="N77" s="2751"/>
      <c r="O77" s="2751"/>
      <c r="P77" s="2764"/>
      <c r="Q77" s="2737"/>
      <c r="R77" s="2723"/>
      <c r="S77" s="2723"/>
      <c r="T77" s="2723"/>
      <c r="U77" s="2723"/>
      <c r="V77" s="2723"/>
      <c r="W77" s="2723"/>
      <c r="X77" s="2723"/>
      <c r="Y77" s="2723"/>
      <c r="Z77" s="2723"/>
      <c r="AA77" s="2723"/>
      <c r="AB77" s="2723"/>
      <c r="AC77" s="2723"/>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7"/>
      <c r="R78" s="2723"/>
      <c r="S78" s="2723"/>
      <c r="T78" s="2723"/>
      <c r="U78" s="2723"/>
      <c r="V78" s="2723"/>
      <c r="W78" s="2723"/>
      <c r="X78" s="2723"/>
      <c r="Y78" s="2723"/>
      <c r="Z78" s="2723"/>
      <c r="AA78" s="2723"/>
      <c r="AB78" s="2723"/>
      <c r="AC78" s="2723"/>
    </row>
    <row r="79" spans="1:29" ht="15.75" thickTop="1">
      <c r="A79" s="482"/>
      <c r="B79" s="486" t="s">
        <v>1726</v>
      </c>
      <c r="C79" s="526" t="s">
        <v>1721</v>
      </c>
      <c r="D79" s="526" t="s">
        <v>1722</v>
      </c>
      <c r="E79" s="526" t="s">
        <v>1723</v>
      </c>
      <c r="F79" s="526" t="s">
        <v>1724</v>
      </c>
      <c r="G79" s="526" t="s">
        <v>1725</v>
      </c>
      <c r="H79" s="487"/>
      <c r="I79" s="487"/>
      <c r="J79" s="487"/>
      <c r="K79" s="488"/>
      <c r="L79" s="489"/>
      <c r="M79" s="490"/>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7"/>
      <c r="R80" s="2723"/>
      <c r="S80" s="2723"/>
      <c r="T80" s="2723"/>
      <c r="U80" s="2723"/>
      <c r="V80" s="2723"/>
      <c r="W80" s="2723"/>
      <c r="X80" s="2723"/>
      <c r="Y80" s="2723"/>
      <c r="Z80" s="2723"/>
      <c r="AA80" s="2723"/>
      <c r="AB80" s="2723"/>
      <c r="AC80" s="2723"/>
    </row>
    <row r="81" spans="1:29" ht="15.75" thickTop="1">
      <c r="A81" s="482"/>
      <c r="B81" s="486" t="s">
        <v>1727</v>
      </c>
      <c r="C81" s="526" t="s">
        <v>1721</v>
      </c>
      <c r="D81" s="526" t="s">
        <v>1722</v>
      </c>
      <c r="E81" s="526" t="s">
        <v>1723</v>
      </c>
      <c r="F81" s="526" t="s">
        <v>1724</v>
      </c>
      <c r="G81" s="526" t="s">
        <v>1725</v>
      </c>
      <c r="H81" s="487"/>
      <c r="I81" s="487"/>
      <c r="J81" s="487"/>
      <c r="K81" s="488"/>
      <c r="L81" s="489"/>
      <c r="M81" s="490"/>
      <c r="N81" s="2751"/>
      <c r="O81" s="2751"/>
      <c r="P81" s="2760"/>
      <c r="Q81" s="2737"/>
      <c r="R81" s="2723"/>
      <c r="S81" s="2723"/>
      <c r="T81" s="2723"/>
      <c r="U81" s="2723"/>
      <c r="V81" s="2723"/>
      <c r="W81" s="2723"/>
      <c r="X81" s="2723"/>
      <c r="Y81" s="2723"/>
      <c r="Z81" s="2723"/>
      <c r="AA81" s="2723"/>
      <c r="AB81" s="2723"/>
      <c r="AC81" s="2723"/>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7"/>
      <c r="R82" s="2723"/>
      <c r="S82" s="2723"/>
      <c r="T82" s="2723"/>
      <c r="U82" s="2723"/>
      <c r="V82" s="2723"/>
      <c r="W82" s="2723"/>
      <c r="X82" s="2723"/>
      <c r="Y82" s="2723"/>
      <c r="Z82" s="2723"/>
      <c r="AA82" s="2723"/>
      <c r="AB82" s="2723"/>
      <c r="AC82" s="2723"/>
    </row>
    <row r="83" spans="1:29" ht="15.75" thickTop="1">
      <c r="A83" s="482"/>
      <c r="B83" s="494" t="s">
        <v>1813</v>
      </c>
      <c r="C83" s="607" t="s">
        <v>1799</v>
      </c>
      <c r="D83" s="607" t="s">
        <v>1800</v>
      </c>
      <c r="E83" s="607" t="s">
        <v>1801</v>
      </c>
      <c r="F83" s="607" t="s">
        <v>1802</v>
      </c>
      <c r="G83" s="607" t="s">
        <v>1803</v>
      </c>
      <c r="H83" s="487"/>
      <c r="I83" s="487"/>
      <c r="J83" s="487"/>
      <c r="K83" s="487"/>
      <c r="L83" s="487"/>
      <c r="M83" s="1127"/>
      <c r="N83" s="2752"/>
      <c r="O83" s="2752"/>
      <c r="P83" s="2760"/>
      <c r="Q83" s="2737"/>
      <c r="R83" s="2723"/>
      <c r="S83" s="2723"/>
      <c r="T83" s="2723"/>
      <c r="U83" s="2723"/>
      <c r="V83" s="2723"/>
      <c r="W83" s="2723"/>
      <c r="X83" s="2723"/>
      <c r="Y83" s="2723"/>
      <c r="Z83" s="2723"/>
      <c r="AA83" s="2723"/>
      <c r="AB83" s="2723"/>
      <c r="AC83" s="2723"/>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7"/>
      <c r="R84" s="2723"/>
      <c r="S84" s="2723"/>
      <c r="T84" s="2723"/>
      <c r="U84" s="2723"/>
      <c r="V84" s="2723"/>
      <c r="W84" s="2723"/>
      <c r="X84" s="2723"/>
      <c r="Y84" s="2723"/>
      <c r="Z84" s="2723"/>
      <c r="AA84" s="2723"/>
      <c r="AB84" s="2723"/>
      <c r="AC84" s="2723"/>
    </row>
    <row r="85" spans="1:29" ht="15.75" thickTop="1">
      <c r="A85" s="482"/>
      <c r="B85" s="486" t="s">
        <v>1822</v>
      </c>
      <c r="C85" s="526" t="s">
        <v>1721</v>
      </c>
      <c r="D85" s="526" t="s">
        <v>1722</v>
      </c>
      <c r="E85" s="526" t="s">
        <v>1723</v>
      </c>
      <c r="F85" s="526" t="s">
        <v>1724</v>
      </c>
      <c r="G85" s="526" t="s">
        <v>1725</v>
      </c>
      <c r="H85" s="487"/>
      <c r="I85" s="487"/>
      <c r="J85" s="487"/>
      <c r="K85" s="488"/>
      <c r="L85" s="489"/>
      <c r="M85" s="490"/>
      <c r="N85" s="2751"/>
      <c r="O85" s="2751"/>
      <c r="P85" s="2760"/>
      <c r="Q85" s="2737"/>
      <c r="R85" s="2723"/>
      <c r="S85" s="2723"/>
      <c r="T85" s="2723"/>
      <c r="U85" s="2723"/>
      <c r="V85" s="2723"/>
      <c r="W85" s="2723"/>
      <c r="X85" s="2723"/>
      <c r="Y85" s="2723"/>
      <c r="Z85" s="2723"/>
      <c r="AA85" s="2723"/>
      <c r="AB85" s="2723"/>
      <c r="AC85" s="2723"/>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7"/>
      <c r="R86" s="2723"/>
      <c r="S86" s="2723"/>
      <c r="T86" s="2723"/>
      <c r="U86" s="2723"/>
      <c r="V86" s="2723"/>
      <c r="W86" s="2723"/>
      <c r="X86" s="2723"/>
      <c r="Y86" s="2723"/>
      <c r="Z86" s="2723"/>
      <c r="AA86" s="2723"/>
      <c r="AB86" s="2723"/>
      <c r="AC86" s="2723"/>
    </row>
    <row r="87" spans="1:29" s="107" customFormat="1" ht="27.75" thickTop="1">
      <c r="A87" s="527"/>
      <c r="B87" s="486" t="s">
        <v>1823</v>
      </c>
      <c r="C87" s="502"/>
      <c r="D87" s="502"/>
      <c r="E87" s="502"/>
      <c r="F87" s="502"/>
      <c r="G87" s="502"/>
      <c r="H87" s="502"/>
      <c r="I87" s="502"/>
      <c r="J87" s="502"/>
      <c r="K87" s="502"/>
      <c r="L87" s="528"/>
      <c r="M87" s="529"/>
      <c r="N87" s="2750"/>
      <c r="O87" s="2750"/>
      <c r="P87" s="2760"/>
      <c r="Q87" s="2737"/>
      <c r="R87" s="2659"/>
      <c r="S87" s="2659"/>
      <c r="T87" s="2659"/>
      <c r="U87" s="2659"/>
      <c r="V87" s="2659"/>
      <c r="W87" s="2659"/>
      <c r="X87" s="2659"/>
      <c r="Y87" s="2659"/>
      <c r="Z87" s="2659"/>
      <c r="AA87" s="2659"/>
      <c r="AB87" s="2659"/>
      <c r="AC87" s="2659"/>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7"/>
      <c r="R88" s="2659"/>
      <c r="S88" s="2659"/>
      <c r="T88" s="2659"/>
      <c r="U88" s="2659"/>
      <c r="V88" s="2659"/>
      <c r="W88" s="2659"/>
      <c r="X88" s="2659"/>
      <c r="Y88" s="2659"/>
      <c r="Z88" s="2659"/>
      <c r="AA88" s="2659"/>
      <c r="AB88" s="2659"/>
      <c r="AC88" s="2659"/>
    </row>
    <row r="89" spans="1:29" s="107" customFormat="1" ht="15.75" thickTop="1">
      <c r="A89" s="527"/>
      <c r="B89" s="486" t="str">
        <f>B27</f>
        <v>楼层</v>
      </c>
      <c r="C89" s="502"/>
      <c r="D89" s="502"/>
      <c r="E89" s="502"/>
      <c r="F89" s="1925"/>
      <c r="G89" s="502"/>
      <c r="H89" s="502"/>
      <c r="I89" s="502"/>
      <c r="J89" s="502"/>
      <c r="K89" s="502"/>
      <c r="L89" s="502"/>
      <c r="M89" s="529"/>
      <c r="N89" s="2750"/>
      <c r="O89" s="2750"/>
      <c r="P89" s="2760"/>
      <c r="Q89" s="2737"/>
      <c r="R89" s="2659"/>
      <c r="S89" s="2659"/>
      <c r="T89" s="2659"/>
      <c r="U89" s="2659"/>
      <c r="V89" s="2659"/>
      <c r="W89" s="2659"/>
      <c r="X89" s="2659"/>
      <c r="Y89" s="2659"/>
      <c r="Z89" s="2659"/>
      <c r="AA89" s="2659"/>
      <c r="AB89" s="2659"/>
      <c r="AC89" s="2659"/>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2"/>
      <c r="O90" s="2752"/>
      <c r="P90" s="2760"/>
      <c r="Q90" s="2737"/>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2"/>
      <c r="B93" s="486">
        <f>B29</f>
        <v>111</v>
      </c>
      <c r="C93" s="502"/>
      <c r="D93" s="502"/>
      <c r="E93" s="502"/>
      <c r="F93" s="502"/>
      <c r="G93" s="502"/>
      <c r="H93" s="502"/>
      <c r="I93" s="502"/>
      <c r="J93" s="502"/>
      <c r="K93" s="502"/>
      <c r="L93" s="528"/>
      <c r="M93" s="529"/>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508"/>
      <c r="D94" s="484"/>
      <c r="E94" s="484"/>
      <c r="F94" s="484"/>
      <c r="G94" s="484"/>
      <c r="H94" s="484"/>
      <c r="I94" s="484"/>
      <c r="J94" s="484"/>
      <c r="K94" s="484"/>
      <c r="L94" s="484"/>
      <c r="M94" s="485"/>
      <c r="N94" s="2752"/>
      <c r="O94" s="2752"/>
      <c r="P94" s="2760"/>
      <c r="Q94" s="2737"/>
      <c r="R94" s="2723"/>
      <c r="S94" s="2723"/>
      <c r="T94" s="2723"/>
      <c r="U94" s="2723"/>
      <c r="V94" s="2723"/>
      <c r="W94" s="2723"/>
      <c r="X94" s="2723"/>
      <c r="Y94" s="2723"/>
      <c r="Z94" s="2723"/>
      <c r="AA94" s="2723"/>
      <c r="AB94" s="2723"/>
      <c r="AC94" s="2723"/>
    </row>
    <row r="95" spans="1:29" ht="15.75" thickTop="1">
      <c r="A95" s="482"/>
      <c r="B95" s="486">
        <f>B30</f>
        <v>111</v>
      </c>
      <c r="C95" s="502"/>
      <c r="D95" s="502"/>
      <c r="E95" s="502"/>
      <c r="F95" s="502"/>
      <c r="G95" s="531"/>
      <c r="H95" s="531"/>
      <c r="I95" s="531"/>
      <c r="J95" s="531"/>
      <c r="K95" s="532"/>
      <c r="L95" s="533"/>
      <c r="M95" s="534"/>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508"/>
      <c r="D96" s="508"/>
      <c r="E96" s="508"/>
      <c r="F96" s="508"/>
      <c r="G96" s="484"/>
      <c r="H96" s="484"/>
      <c r="I96" s="484"/>
      <c r="J96" s="484"/>
      <c r="K96" s="484"/>
      <c r="L96" s="484"/>
      <c r="M96" s="485"/>
      <c r="N96" s="2752"/>
      <c r="O96" s="2752"/>
      <c r="P96" s="2760"/>
      <c r="Q96" s="2737"/>
      <c r="R96" s="2723"/>
      <c r="S96" s="2723"/>
      <c r="T96" s="2723"/>
      <c r="U96" s="2723"/>
      <c r="V96" s="2723"/>
      <c r="W96" s="2723"/>
      <c r="X96" s="2723"/>
      <c r="Y96" s="2723"/>
      <c r="Z96" s="2723"/>
      <c r="AA96" s="2723"/>
      <c r="AB96" s="2723"/>
      <c r="AC96" s="2723"/>
    </row>
    <row r="97" spans="1:29" ht="15.75" thickTop="1">
      <c r="A97" s="482"/>
      <c r="B97" s="486">
        <f>B31</f>
        <v>111</v>
      </c>
      <c r="C97" s="502"/>
      <c r="D97" s="502"/>
      <c r="E97" s="502"/>
      <c r="F97" s="502"/>
      <c r="G97" s="531"/>
      <c r="H97" s="531"/>
      <c r="I97" s="531"/>
      <c r="J97" s="531"/>
      <c r="K97" s="532"/>
      <c r="L97" s="533"/>
      <c r="M97" s="534"/>
      <c r="N97" s="2751"/>
      <c r="O97" s="2751"/>
      <c r="P97" s="2760"/>
      <c r="Q97" s="2737"/>
      <c r="R97" s="2723"/>
      <c r="S97" s="2723"/>
      <c r="T97" s="2723"/>
      <c r="U97" s="2723"/>
      <c r="V97" s="2723"/>
      <c r="W97" s="2723"/>
      <c r="X97" s="2723"/>
      <c r="Y97" s="2723"/>
      <c r="Z97" s="2723"/>
      <c r="AA97" s="2723"/>
      <c r="AB97" s="2723"/>
      <c r="AC97" s="2723"/>
    </row>
    <row r="98" spans="1:29" ht="15.75" thickBot="1">
      <c r="A98" s="482"/>
      <c r="B98" s="491"/>
      <c r="C98" s="508"/>
      <c r="D98" s="484"/>
      <c r="E98" s="484"/>
      <c r="F98" s="484"/>
      <c r="G98" s="484"/>
      <c r="H98" s="484"/>
      <c r="I98" s="484"/>
      <c r="J98" s="484"/>
      <c r="K98" s="484"/>
      <c r="L98" s="484"/>
      <c r="M98" s="485"/>
      <c r="N98" s="2752"/>
      <c r="O98" s="2752"/>
      <c r="P98" s="2760"/>
      <c r="Q98" s="2737"/>
      <c r="R98" s="2723"/>
      <c r="S98" s="2723"/>
      <c r="T98" s="2723"/>
      <c r="U98" s="2723"/>
      <c r="V98" s="2723"/>
      <c r="W98" s="2723"/>
      <c r="X98" s="2723"/>
      <c r="Y98" s="2723"/>
      <c r="Z98" s="2723"/>
      <c r="AA98" s="2723"/>
      <c r="AB98" s="2723"/>
      <c r="AC98" s="2723"/>
    </row>
    <row r="99" spans="1:29" ht="15.75" thickTop="1">
      <c r="A99" s="482"/>
      <c r="B99" s="494">
        <f>B32</f>
        <v>111</v>
      </c>
      <c r="C99" s="471"/>
      <c r="D99" s="471"/>
      <c r="E99" s="471"/>
      <c r="F99" s="471"/>
      <c r="G99" s="535"/>
      <c r="H99" s="535"/>
      <c r="I99" s="535"/>
      <c r="J99" s="535"/>
      <c r="K99" s="536"/>
      <c r="L99" s="537"/>
      <c r="M99" s="538"/>
      <c r="N99" s="2751"/>
      <c r="O99" s="2751"/>
      <c r="P99" s="2760"/>
      <c r="Q99" s="2737"/>
      <c r="R99" s="2723"/>
      <c r="S99" s="2723"/>
      <c r="T99" s="2723"/>
      <c r="U99" s="2723"/>
      <c r="V99" s="2723"/>
      <c r="W99" s="2723"/>
      <c r="X99" s="2723"/>
      <c r="Y99" s="2723"/>
      <c r="Z99" s="2723"/>
      <c r="AA99" s="2723"/>
      <c r="AB99" s="2723"/>
      <c r="AC99" s="2723"/>
    </row>
    <row r="100" spans="1:29" ht="15.75" thickBot="1">
      <c r="A100" s="1926"/>
      <c r="B100" s="517"/>
      <c r="C100" s="518"/>
      <c r="D100" s="518"/>
      <c r="E100" s="518"/>
      <c r="F100" s="518"/>
      <c r="G100" s="539"/>
      <c r="H100" s="539"/>
      <c r="I100" s="539"/>
      <c r="J100" s="539"/>
      <c r="K100" s="539"/>
      <c r="L100" s="539"/>
      <c r="M100" s="540"/>
      <c r="N100" s="2752"/>
      <c r="O100" s="2752"/>
      <c r="P100" s="2760"/>
      <c r="Q100" s="2737"/>
      <c r="R100" s="2723"/>
      <c r="S100" s="2723"/>
      <c r="T100" s="2723"/>
      <c r="U100" s="2723"/>
      <c r="V100" s="2723"/>
      <c r="W100" s="2723"/>
      <c r="X100" s="2723"/>
      <c r="Y100" s="2723"/>
      <c r="Z100" s="2723"/>
      <c r="AA100" s="2723"/>
      <c r="AB100" s="2723"/>
      <c r="AC100" s="2723"/>
    </row>
    <row r="101" spans="1:29">
      <c r="A101" s="475" t="s">
        <v>1694</v>
      </c>
      <c r="B101" s="476" t="s">
        <v>1736</v>
      </c>
      <c r="C101" s="478"/>
      <c r="D101" s="478"/>
      <c r="E101" s="478"/>
      <c r="F101" s="478"/>
      <c r="G101" s="478"/>
      <c r="H101" s="478"/>
      <c r="I101" s="478"/>
      <c r="J101" s="478"/>
      <c r="K101" s="479"/>
      <c r="L101" s="480"/>
      <c r="M101" s="481"/>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1" customFormat="1">
      <c r="A104" s="541"/>
      <c r="B104" s="542"/>
      <c r="C104" s="543"/>
      <c r="D104" s="543"/>
      <c r="E104" s="543"/>
      <c r="F104" s="543"/>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5.75" thickBot="1">
      <c r="A105" s="501"/>
      <c r="B105" s="491"/>
      <c r="C105" s="508"/>
      <c r="D105" s="484"/>
      <c r="E105" s="484"/>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1738</v>
      </c>
      <c r="C106" s="502"/>
      <c r="D106" s="502"/>
      <c r="E106" s="531"/>
      <c r="F106" s="531"/>
      <c r="G106" s="531"/>
      <c r="H106" s="531"/>
      <c r="I106" s="531"/>
      <c r="J106" s="531"/>
      <c r="K106" s="532"/>
      <c r="L106" s="533"/>
      <c r="M106" s="534"/>
      <c r="N106" s="2751"/>
      <c r="O106" s="2751"/>
      <c r="P106" s="2760"/>
      <c r="Q106" s="2737"/>
      <c r="R106" s="2723"/>
      <c r="S106" s="2723"/>
      <c r="T106" s="2723"/>
      <c r="U106" s="2723"/>
      <c r="V106" s="2723"/>
      <c r="W106" s="2723"/>
      <c r="X106" s="2723"/>
      <c r="Y106" s="2723"/>
      <c r="Z106" s="2723"/>
      <c r="AA106" s="2723"/>
      <c r="AB106" s="2723"/>
      <c r="AC106" s="2723"/>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7"/>
      <c r="B108" s="486" t="s">
        <v>1740</v>
      </c>
      <c r="C108" s="502"/>
      <c r="D108" s="502"/>
      <c r="E108" s="502"/>
      <c r="F108" s="531"/>
      <c r="G108" s="531"/>
      <c r="H108" s="531"/>
      <c r="I108" s="531"/>
      <c r="J108" s="531"/>
      <c r="K108" s="532"/>
      <c r="L108" s="533"/>
      <c r="M108" s="534"/>
      <c r="N108" s="2751"/>
      <c r="O108" s="2751"/>
      <c r="P108" s="2760"/>
      <c r="Q108" s="2737"/>
      <c r="R108" s="2723"/>
      <c r="S108" s="2723"/>
      <c r="T108" s="2723"/>
      <c r="U108" s="2723"/>
      <c r="V108" s="2723"/>
      <c r="W108" s="2723"/>
      <c r="X108" s="2723"/>
      <c r="Y108" s="2723"/>
      <c r="Z108" s="2723"/>
      <c r="AA108" s="2723"/>
      <c r="AB108" s="2723"/>
      <c r="AC108" s="2723"/>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7"/>
      <c r="R110" s="2723"/>
      <c r="S110" s="2723"/>
      <c r="T110" s="2723"/>
      <c r="U110" s="2723"/>
      <c r="V110" s="2723"/>
      <c r="W110" s="2723"/>
      <c r="X110" s="2723"/>
      <c r="Y110" s="2723"/>
      <c r="Z110" s="2723"/>
      <c r="AA110" s="2723"/>
      <c r="AB110" s="2723"/>
      <c r="AC110" s="2723"/>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7"/>
      <c r="R112" s="2723"/>
      <c r="S112" s="2723"/>
      <c r="T112" s="2723"/>
      <c r="U112" s="2723"/>
      <c r="V112" s="2723"/>
      <c r="W112" s="2723"/>
      <c r="X112" s="2723"/>
      <c r="Y112" s="2723"/>
      <c r="Z112" s="2723"/>
      <c r="AA112" s="2723"/>
      <c r="AB112" s="2723"/>
      <c r="AC112" s="2723"/>
    </row>
    <row r="113" spans="1:29" s="421" customFormat="1" ht="15" thickTop="1">
      <c r="A113" s="541"/>
      <c r="B113" s="486" t="s">
        <v>1824</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1741</v>
      </c>
      <c r="C115" s="502"/>
      <c r="D115" s="502"/>
      <c r="E115" s="531"/>
      <c r="F115" s="531"/>
      <c r="G115" s="531"/>
      <c r="H115" s="531"/>
      <c r="I115" s="531"/>
      <c r="J115" s="531"/>
      <c r="K115" s="532"/>
      <c r="L115" s="533"/>
      <c r="M115" s="534"/>
      <c r="N115" s="2751"/>
      <c r="O115" s="2751"/>
      <c r="P115" s="2760"/>
      <c r="Q115" s="2737"/>
      <c r="R115" s="2723"/>
      <c r="S115" s="2723"/>
      <c r="T115" s="2723"/>
      <c r="U115" s="2723"/>
      <c r="V115" s="2723"/>
      <c r="W115" s="2723"/>
      <c r="X115" s="2723"/>
      <c r="Y115" s="2723"/>
      <c r="Z115" s="2723"/>
      <c r="AA115" s="2723"/>
      <c r="AB115" s="2723"/>
      <c r="AC115" s="2723"/>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7"/>
      <c r="B117" s="486" t="s">
        <v>1742</v>
      </c>
      <c r="C117" s="502"/>
      <c r="D117" s="502"/>
      <c r="E117" s="502"/>
      <c r="F117" s="502"/>
      <c r="G117" s="502"/>
      <c r="H117" s="531"/>
      <c r="I117" s="531"/>
      <c r="J117" s="531"/>
      <c r="K117" s="532"/>
      <c r="L117" s="533"/>
      <c r="M117" s="534"/>
      <c r="N117" s="2751"/>
      <c r="O117" s="2751"/>
      <c r="P117" s="2760"/>
      <c r="Q117" s="2737"/>
      <c r="R117" s="2723"/>
      <c r="S117" s="2723"/>
      <c r="T117" s="2723"/>
      <c r="U117" s="2723"/>
      <c r="V117" s="2723"/>
      <c r="W117" s="2723"/>
      <c r="X117" s="2723"/>
      <c r="Y117" s="2723"/>
      <c r="Z117" s="2723"/>
      <c r="AA117" s="2723"/>
      <c r="AB117" s="2723"/>
      <c r="AC117" s="2723"/>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7"/>
      <c r="R118" s="2723"/>
      <c r="S118" s="2723"/>
      <c r="T118" s="2723"/>
      <c r="U118" s="2723"/>
      <c r="V118" s="2723"/>
      <c r="W118" s="2723"/>
      <c r="X118" s="2723"/>
      <c r="Y118" s="2723"/>
      <c r="Z118" s="2723"/>
      <c r="AA118" s="2723"/>
      <c r="AB118" s="2723"/>
      <c r="AC118" s="2723"/>
    </row>
    <row r="119" spans="1:29" ht="15" thickTop="1">
      <c r="A119" s="547"/>
      <c r="B119" s="583" t="s">
        <v>1825</v>
      </c>
      <c r="C119" s="531"/>
      <c r="D119" s="531"/>
      <c r="E119" s="531"/>
      <c r="F119" s="531"/>
      <c r="G119" s="531"/>
      <c r="H119" s="531"/>
      <c r="I119" s="531"/>
      <c r="J119" s="531"/>
      <c r="K119" s="531"/>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7"/>
      <c r="R120" s="2723"/>
      <c r="S120" s="2723"/>
      <c r="T120" s="2723"/>
      <c r="U120" s="2723"/>
      <c r="V120" s="2723"/>
      <c r="W120" s="2723"/>
      <c r="X120" s="2723"/>
      <c r="Y120" s="2723"/>
      <c r="Z120" s="2723"/>
      <c r="AA120" s="2723"/>
      <c r="AB120" s="2723"/>
      <c r="AC120" s="2723"/>
    </row>
    <row r="121" spans="1:29" s="421" customFormat="1" ht="15" thickTop="1">
      <c r="A121" s="541"/>
      <c r="B121" s="486" t="s">
        <v>1808</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5.75"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1744</v>
      </c>
      <c r="C123" s="502"/>
      <c r="D123" s="502"/>
      <c r="E123" s="502"/>
      <c r="F123" s="531"/>
      <c r="G123" s="531"/>
      <c r="H123" s="531"/>
      <c r="I123" s="531"/>
      <c r="J123" s="531"/>
      <c r="K123" s="532"/>
      <c r="L123" s="533"/>
      <c r="M123" s="534"/>
      <c r="N123" s="2751"/>
      <c r="O123" s="2751"/>
      <c r="P123" s="2760"/>
      <c r="Q123" s="2737"/>
      <c r="R123" s="2723"/>
      <c r="S123" s="2723"/>
      <c r="T123" s="2723"/>
      <c r="U123" s="2723"/>
      <c r="V123" s="2723"/>
      <c r="W123" s="2723"/>
      <c r="X123" s="2723"/>
      <c r="Y123" s="2723"/>
      <c r="Z123" s="2723"/>
      <c r="AA123" s="2723"/>
      <c r="AB123" s="2723"/>
      <c r="AC123" s="2723"/>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1"/>
      <c r="O125" s="2751"/>
      <c r="P125" s="2761"/>
      <c r="Q125" s="2737"/>
      <c r="R125" s="2723"/>
      <c r="S125" s="2723"/>
      <c r="T125" s="2723"/>
      <c r="U125" s="2723"/>
      <c r="V125" s="2723"/>
      <c r="W125" s="2723"/>
      <c r="X125" s="2723"/>
      <c r="Y125" s="2723"/>
      <c r="Z125" s="2723"/>
      <c r="AA125" s="2723"/>
      <c r="AB125" s="2723"/>
      <c r="AC125" s="2723"/>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2"/>
      <c r="O126" s="2752"/>
      <c r="P126" s="2760"/>
      <c r="Q126" s="2737"/>
      <c r="R126" s="2723"/>
      <c r="S126" s="2723"/>
      <c r="T126" s="2723"/>
      <c r="U126" s="2723"/>
      <c r="V126" s="2723"/>
      <c r="W126" s="2723"/>
      <c r="X126" s="2723"/>
      <c r="Y126" s="2723"/>
      <c r="Z126" s="2723"/>
      <c r="AA126" s="2723"/>
      <c r="AB126" s="2723"/>
      <c r="AC126" s="2723"/>
    </row>
    <row r="127" spans="1:29" s="421" customFormat="1" ht="15" thickTop="1">
      <c r="A127" s="541"/>
      <c r="B127" s="486">
        <f>B45</f>
        <v>111</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5.75"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5" thickTop="1">
      <c r="A129" s="547"/>
      <c r="B129" s="486">
        <f>B46</f>
        <v>111</v>
      </c>
      <c r="C129" s="502"/>
      <c r="D129" s="502"/>
      <c r="E129" s="502"/>
      <c r="F129" s="502"/>
      <c r="G129" s="531"/>
      <c r="H129" s="531"/>
      <c r="I129" s="531"/>
      <c r="J129" s="531"/>
      <c r="K129" s="532"/>
      <c r="L129" s="533"/>
      <c r="M129" s="534"/>
      <c r="N129" s="2751"/>
      <c r="O129" s="2751"/>
      <c r="P129" s="2760"/>
      <c r="Q129" s="2737"/>
      <c r="R129" s="2723"/>
      <c r="S129" s="2723"/>
      <c r="T129" s="2723"/>
      <c r="U129" s="2723"/>
      <c r="V129" s="2723"/>
      <c r="W129" s="2723"/>
      <c r="X129" s="2723"/>
      <c r="Y129" s="2723"/>
      <c r="Z129" s="2723"/>
      <c r="AA129" s="2723"/>
      <c r="AB129" s="2723"/>
      <c r="AC129" s="2723"/>
    </row>
    <row r="130" spans="1:29" ht="15.75" thickBot="1">
      <c r="A130" s="482"/>
      <c r="B130" s="491"/>
      <c r="C130" s="508"/>
      <c r="D130" s="508"/>
      <c r="E130" s="508"/>
      <c r="F130" s="508"/>
      <c r="G130" s="484"/>
      <c r="H130" s="484"/>
      <c r="I130" s="484"/>
      <c r="J130" s="484"/>
      <c r="K130" s="484"/>
      <c r="L130" s="484"/>
      <c r="M130" s="485"/>
      <c r="N130" s="2752"/>
      <c r="O130" s="2752"/>
      <c r="P130" s="2760"/>
      <c r="Q130" s="2737"/>
      <c r="R130" s="2723"/>
      <c r="S130" s="2723"/>
      <c r="T130" s="2723"/>
      <c r="U130" s="2723"/>
      <c r="V130" s="2723"/>
      <c r="W130" s="2723"/>
      <c r="X130" s="2723"/>
      <c r="Y130" s="2723"/>
      <c r="Z130" s="2723"/>
      <c r="AA130" s="2723"/>
      <c r="AB130" s="2723"/>
      <c r="AC130" s="2723"/>
    </row>
    <row r="131" spans="1:29" ht="15" thickTop="1">
      <c r="A131" s="547"/>
      <c r="B131" s="494">
        <f>B47</f>
        <v>111</v>
      </c>
      <c r="C131" s="471"/>
      <c r="D131" s="471"/>
      <c r="E131" s="471"/>
      <c r="F131" s="471"/>
      <c r="G131" s="535"/>
      <c r="H131" s="535"/>
      <c r="I131" s="535"/>
      <c r="J131" s="535"/>
      <c r="K131" s="471"/>
      <c r="L131" s="472"/>
      <c r="M131" s="538"/>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7"/>
      <c r="C132" s="518"/>
      <c r="D132" s="518"/>
      <c r="E132" s="518"/>
      <c r="F132" s="518"/>
      <c r="G132" s="539"/>
      <c r="H132" s="539"/>
      <c r="I132" s="539"/>
      <c r="J132" s="539"/>
      <c r="K132" s="539"/>
      <c r="L132" s="539"/>
      <c r="M132" s="540"/>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8327.76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47" t="s">
        <v>1770</v>
      </c>
      <c r="D4" s="3748"/>
      <c r="E4" s="3749" t="s">
        <v>1771</v>
      </c>
      <c r="F4" s="3750"/>
      <c r="G4" s="3747" t="s">
        <v>1772</v>
      </c>
      <c r="H4" s="3748"/>
      <c r="I4" s="3747" t="s">
        <v>1773</v>
      </c>
      <c r="J4" s="3748"/>
      <c r="K4" s="558" t="s">
        <v>1774</v>
      </c>
      <c r="L4" s="911"/>
      <c r="M4" s="912"/>
      <c r="N4" s="912"/>
      <c r="O4" s="912"/>
      <c r="P4" s="3751" t="s">
        <v>1775</v>
      </c>
      <c r="Q4" s="3752"/>
      <c r="R4" s="3757" t="s">
        <v>1771</v>
      </c>
      <c r="S4" s="3758"/>
      <c r="T4" s="3757" t="s">
        <v>1772</v>
      </c>
      <c r="U4" s="3758"/>
      <c r="V4" s="3763" t="s">
        <v>1773</v>
      </c>
      <c r="W4" s="3763"/>
      <c r="X4" s="1353"/>
      <c r="Y4" s="3757" t="s">
        <v>1775</v>
      </c>
      <c r="Z4" s="3758"/>
      <c r="AA4" s="3744" t="s">
        <v>1771</v>
      </c>
      <c r="AB4" s="3745" t="s">
        <v>1772</v>
      </c>
      <c r="AC4" s="3744" t="s">
        <v>1773</v>
      </c>
    </row>
    <row r="5" spans="1:29" ht="15">
      <c r="A5" s="357"/>
      <c r="B5" s="358"/>
      <c r="C5" s="3766" t="s">
        <v>1673</v>
      </c>
      <c r="D5" s="3767"/>
      <c r="E5" s="3773" t="s">
        <v>1674</v>
      </c>
      <c r="F5" s="3774"/>
      <c r="G5" s="3766" t="s">
        <v>1675</v>
      </c>
      <c r="H5" s="3767"/>
      <c r="I5" s="3766" t="s">
        <v>1676</v>
      </c>
      <c r="J5" s="3767"/>
      <c r="K5" s="558"/>
      <c r="L5" s="911"/>
      <c r="M5" s="912"/>
      <c r="N5" s="912"/>
      <c r="O5" s="912"/>
      <c r="P5" s="3753"/>
      <c r="Q5" s="3754"/>
      <c r="R5" s="3759"/>
      <c r="S5" s="3760"/>
      <c r="T5" s="3759"/>
      <c r="U5" s="3760"/>
      <c r="V5" s="3763"/>
      <c r="W5" s="3763"/>
      <c r="X5" s="1353"/>
      <c r="Y5" s="3759"/>
      <c r="Z5" s="3760"/>
      <c r="AA5" s="3745"/>
      <c r="AB5" s="3745"/>
      <c r="AC5" s="3745"/>
    </row>
    <row r="6" spans="1:29" ht="15.75" thickBot="1">
      <c r="A6" s="359"/>
      <c r="B6" s="360"/>
      <c r="C6" s="3764" t="s">
        <v>1677</v>
      </c>
      <c r="D6" s="3765"/>
      <c r="E6" s="3771" t="s">
        <v>1677</v>
      </c>
      <c r="F6" s="3772"/>
      <c r="G6" s="3764" t="s">
        <v>1677</v>
      </c>
      <c r="H6" s="3765"/>
      <c r="I6" s="3764" t="s">
        <v>1677</v>
      </c>
      <c r="J6" s="3765"/>
      <c r="K6" s="558" t="s">
        <v>1678</v>
      </c>
      <c r="L6" s="911"/>
      <c r="M6" s="912"/>
      <c r="N6" s="912"/>
      <c r="O6" s="912"/>
      <c r="P6" s="3755"/>
      <c r="Q6" s="3756"/>
      <c r="R6" s="3759"/>
      <c r="S6" s="3760"/>
      <c r="T6" s="3761"/>
      <c r="U6" s="3762"/>
      <c r="V6" s="3763"/>
      <c r="W6" s="3763"/>
      <c r="X6" s="1353"/>
      <c r="Y6" s="3761"/>
      <c r="Z6" s="3762"/>
      <c r="AA6" s="3746"/>
      <c r="AB6" s="3746"/>
      <c r="AC6" s="3746"/>
    </row>
    <row r="7" spans="1:29" s="107" customFormat="1" ht="15.75" thickBot="1">
      <c r="A7" s="361" t="s">
        <v>1679</v>
      </c>
      <c r="B7" s="362"/>
      <c r="C7" s="363">
        <f>'数据-取费表'!B2</f>
        <v>45062</v>
      </c>
      <c r="D7" s="364">
        <v>100</v>
      </c>
      <c r="E7" s="365"/>
      <c r="F7" s="366">
        <f>SUMIF(52:52,YEAR(E7)&amp;"-"&amp;MONTH(E7),53:53)</f>
        <v>0</v>
      </c>
      <c r="G7" s="365"/>
      <c r="H7" s="364">
        <f>SUMIF(52:52,YEAR(G7)&amp;"-"&amp;MONTH(G7),53:53)</f>
        <v>0</v>
      </c>
      <c r="I7" s="365"/>
      <c r="J7" s="364">
        <f>SUMIF(52:52,YEAR(I7)&amp;"-"&amp;MONTH(I7),53:53)</f>
        <v>0</v>
      </c>
      <c r="K7" s="559"/>
      <c r="L7" s="913"/>
      <c r="M7" s="914"/>
      <c r="N7" s="914"/>
      <c r="O7" s="914"/>
      <c r="P7" s="3768" t="s">
        <v>1680</v>
      </c>
      <c r="Q7" s="3770"/>
      <c r="R7" s="699" t="s">
        <v>14</v>
      </c>
      <c r="S7" s="700">
        <f t="shared" ref="S7:S15" si="0">F7</f>
        <v>0</v>
      </c>
      <c r="T7" s="699" t="s">
        <v>14</v>
      </c>
      <c r="U7" s="700">
        <f t="shared" ref="U7:U15" si="1">H7</f>
        <v>0</v>
      </c>
      <c r="V7" s="699" t="s">
        <v>14</v>
      </c>
      <c r="W7" s="700">
        <f t="shared" ref="W7:W15" si="2">J7</f>
        <v>0</v>
      </c>
      <c r="X7" s="701"/>
      <c r="Y7" s="3768" t="s">
        <v>1680</v>
      </c>
      <c r="Z7" s="376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68" t="s">
        <v>1683</v>
      </c>
      <c r="Q8" s="3769"/>
      <c r="R8" s="699" t="s">
        <v>14</v>
      </c>
      <c r="S8" s="700">
        <f t="shared" si="0"/>
        <v>100</v>
      </c>
      <c r="T8" s="699" t="s">
        <v>14</v>
      </c>
      <c r="U8" s="700">
        <f t="shared" si="1"/>
        <v>100</v>
      </c>
      <c r="V8" s="699" t="s">
        <v>14</v>
      </c>
      <c r="W8" s="700">
        <f t="shared" si="2"/>
        <v>100</v>
      </c>
      <c r="X8" s="701"/>
      <c r="Y8" s="3768" t="s">
        <v>1683</v>
      </c>
      <c r="Z8" s="3769"/>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32" t="s">
        <v>1686</v>
      </c>
      <c r="Q9" s="1341" t="str">
        <f t="shared" ref="Q9:Q15" si="6">B9</f>
        <v>用途</v>
      </c>
      <c r="R9" s="699" t="s">
        <v>14</v>
      </c>
      <c r="S9" s="700">
        <f t="shared" si="0"/>
        <v>100</v>
      </c>
      <c r="T9" s="699" t="s">
        <v>14</v>
      </c>
      <c r="U9" s="700">
        <f t="shared" si="1"/>
        <v>100</v>
      </c>
      <c r="V9" s="699" t="s">
        <v>14</v>
      </c>
      <c r="W9" s="700">
        <f t="shared" si="2"/>
        <v>100</v>
      </c>
      <c r="X9" s="701"/>
      <c r="Y9" s="3626" t="s">
        <v>1687</v>
      </c>
      <c r="Z9" s="51" t="str">
        <f t="shared" ref="Z9:Z15" si="7">Q9</f>
        <v>用途</v>
      </c>
      <c r="AA9" s="702">
        <f t="shared" si="3"/>
        <v>1</v>
      </c>
      <c r="AB9" s="702">
        <f t="shared" si="4"/>
        <v>1</v>
      </c>
      <c r="AC9" s="702">
        <f t="shared" si="5"/>
        <v>1</v>
      </c>
    </row>
    <row r="10" spans="1:29" s="377" customFormat="1" ht="27">
      <c r="A10" s="373"/>
      <c r="B10" s="374" t="s">
        <v>1688</v>
      </c>
      <c r="C10" s="3432"/>
      <c r="D10" s="126">
        <v>100</v>
      </c>
      <c r="E10" s="3432"/>
      <c r="F10" s="126">
        <f>SUMIF(59:59,E10,60:60)-SUMIF(59:59,C10,60:60)+100</f>
        <v>100</v>
      </c>
      <c r="G10" s="3433"/>
      <c r="H10" s="126">
        <f>SUMIF(59:59,G10,60:60)-SUMIF(59:59,C10,60:60)+100</f>
        <v>100</v>
      </c>
      <c r="I10" s="3432"/>
      <c r="J10" s="126">
        <f>SUMIF(59:59,I10,60:60)-SUMIF(59:59,C10,60:60)+100</f>
        <v>100</v>
      </c>
      <c r="K10" s="559"/>
      <c r="L10" s="916"/>
      <c r="M10" s="917"/>
      <c r="N10" s="917"/>
      <c r="O10" s="918"/>
      <c r="P10" s="3732"/>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32"/>
      <c r="Q11" s="1341" t="str">
        <f t="shared" si="6"/>
        <v>容积率</v>
      </c>
      <c r="R11" s="699" t="s">
        <v>14</v>
      </c>
      <c r="S11" s="700">
        <f t="shared" si="0"/>
        <v>100</v>
      </c>
      <c r="T11" s="699" t="s">
        <v>14</v>
      </c>
      <c r="U11" s="700">
        <f t="shared" si="1"/>
        <v>100</v>
      </c>
      <c r="V11" s="699" t="s">
        <v>14</v>
      </c>
      <c r="W11" s="700">
        <f t="shared" si="2"/>
        <v>100</v>
      </c>
      <c r="X11" s="701"/>
      <c r="Y11" s="3626"/>
      <c r="Z11" s="51"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32"/>
      <c r="Q12" s="1341">
        <f t="shared" si="6"/>
        <v>111</v>
      </c>
      <c r="R12" s="699" t="s">
        <v>14</v>
      </c>
      <c r="S12" s="700">
        <f t="shared" si="0"/>
        <v>100</v>
      </c>
      <c r="T12" s="699" t="s">
        <v>14</v>
      </c>
      <c r="U12" s="700">
        <f t="shared" si="1"/>
        <v>100</v>
      </c>
      <c r="V12" s="699" t="s">
        <v>14</v>
      </c>
      <c r="W12" s="700">
        <f t="shared" si="2"/>
        <v>100</v>
      </c>
      <c r="X12" s="701"/>
      <c r="Y12" s="3626"/>
      <c r="Z12" s="51">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32"/>
      <c r="Q13" s="1341">
        <f t="shared" si="6"/>
        <v>111</v>
      </c>
      <c r="R13" s="699" t="s">
        <v>14</v>
      </c>
      <c r="S13" s="700">
        <f t="shared" si="0"/>
        <v>100</v>
      </c>
      <c r="T13" s="699" t="s">
        <v>14</v>
      </c>
      <c r="U13" s="700">
        <f t="shared" si="1"/>
        <v>100</v>
      </c>
      <c r="V13" s="699" t="s">
        <v>14</v>
      </c>
      <c r="W13" s="700">
        <f t="shared" si="2"/>
        <v>100</v>
      </c>
      <c r="X13" s="701"/>
      <c r="Y13" s="3626"/>
      <c r="Z13" s="51">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32"/>
      <c r="Q14" s="1341">
        <f t="shared" si="6"/>
        <v>111</v>
      </c>
      <c r="R14" s="699" t="s">
        <v>14</v>
      </c>
      <c r="S14" s="700">
        <f t="shared" si="0"/>
        <v>100</v>
      </c>
      <c r="T14" s="699" t="s">
        <v>14</v>
      </c>
      <c r="U14" s="700">
        <f t="shared" si="1"/>
        <v>100</v>
      </c>
      <c r="V14" s="699" t="s">
        <v>14</v>
      </c>
      <c r="W14" s="700">
        <f t="shared" si="2"/>
        <v>100</v>
      </c>
      <c r="X14" s="701"/>
      <c r="Y14" s="3626"/>
      <c r="Z14" s="51">
        <f t="shared" si="7"/>
        <v>111</v>
      </c>
      <c r="AA14" s="702">
        <f t="shared" si="3"/>
        <v>1</v>
      </c>
      <c r="AB14" s="702">
        <f t="shared" si="4"/>
        <v>1</v>
      </c>
      <c r="AC14" s="702">
        <f t="shared" si="5"/>
        <v>1</v>
      </c>
    </row>
    <row r="15" spans="1:29" ht="57">
      <c r="A15" s="390" t="s">
        <v>1690</v>
      </c>
      <c r="B15" s="60"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4" t="s">
        <v>1691</v>
      </c>
      <c r="Q15" s="1350" t="str">
        <f t="shared" si="6"/>
        <v>产业集聚程度</v>
      </c>
      <c r="R15" s="703" t="s">
        <v>14</v>
      </c>
      <c r="S15" s="704">
        <f t="shared" si="0"/>
        <v>100</v>
      </c>
      <c r="T15" s="703" t="s">
        <v>14</v>
      </c>
      <c r="U15" s="704">
        <f t="shared" si="1"/>
        <v>100</v>
      </c>
      <c r="V15" s="703" t="s">
        <v>14</v>
      </c>
      <c r="W15" s="704">
        <f t="shared" si="2"/>
        <v>100</v>
      </c>
      <c r="X15" s="1353"/>
      <c r="Y15" s="3734"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5"/>
      <c r="Q16" s="1350"/>
      <c r="R16" s="703"/>
      <c r="S16" s="704"/>
      <c r="T16" s="703"/>
      <c r="U16" s="704"/>
      <c r="V16" s="703"/>
      <c r="W16" s="704"/>
      <c r="X16" s="1353"/>
      <c r="Y16" s="3735"/>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5"/>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5"/>
      <c r="Q18" s="1350"/>
      <c r="R18" s="703"/>
      <c r="S18" s="704"/>
      <c r="T18" s="703"/>
      <c r="U18" s="704"/>
      <c r="V18" s="703"/>
      <c r="W18" s="704"/>
      <c r="X18" s="1353"/>
      <c r="Y18" s="3735"/>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5"/>
      <c r="Q19" s="1350" t="str">
        <f>B19</f>
        <v>公共配套设施</v>
      </c>
      <c r="R19" s="703" t="s">
        <v>14</v>
      </c>
      <c r="S19" s="704">
        <f>F19</f>
        <v>100</v>
      </c>
      <c r="T19" s="703" t="s">
        <v>14</v>
      </c>
      <c r="U19" s="704">
        <f>H19</f>
        <v>100</v>
      </c>
      <c r="V19" s="703" t="s">
        <v>14</v>
      </c>
      <c r="W19" s="704">
        <f>J19</f>
        <v>100</v>
      </c>
      <c r="X19" s="1353"/>
      <c r="Y19" s="373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5"/>
      <c r="Q20" s="1350"/>
      <c r="R20" s="703"/>
      <c r="S20" s="704"/>
      <c r="T20" s="703"/>
      <c r="U20" s="704"/>
      <c r="V20" s="703"/>
      <c r="W20" s="704"/>
      <c r="X20" s="1353"/>
      <c r="Y20" s="3735"/>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5"/>
      <c r="Q21" s="1350" t="str">
        <f>B21</f>
        <v>基础设施水平</v>
      </c>
      <c r="R21" s="703" t="s">
        <v>14</v>
      </c>
      <c r="S21" s="704">
        <f>F21</f>
        <v>100</v>
      </c>
      <c r="T21" s="703" t="s">
        <v>14</v>
      </c>
      <c r="U21" s="704">
        <f>H21</f>
        <v>100</v>
      </c>
      <c r="V21" s="703" t="s">
        <v>14</v>
      </c>
      <c r="W21" s="704">
        <f>J21</f>
        <v>100</v>
      </c>
      <c r="X21" s="1353"/>
      <c r="Y21" s="373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5"/>
      <c r="Q22" s="1350"/>
      <c r="R22" s="703"/>
      <c r="S22" s="704"/>
      <c r="T22" s="703"/>
      <c r="U22" s="704"/>
      <c r="V22" s="703"/>
      <c r="W22" s="704"/>
      <c r="X22" s="1353"/>
      <c r="Y22" s="3735"/>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5"/>
      <c r="Q23" s="1350" t="str">
        <f>B23</f>
        <v>环境质量</v>
      </c>
      <c r="R23" s="703" t="s">
        <v>14</v>
      </c>
      <c r="S23" s="704">
        <f>F23</f>
        <v>100</v>
      </c>
      <c r="T23" s="703" t="s">
        <v>14</v>
      </c>
      <c r="U23" s="704">
        <f>H23</f>
        <v>100</v>
      </c>
      <c r="V23" s="703" t="s">
        <v>14</v>
      </c>
      <c r="W23" s="704">
        <f>J23</f>
        <v>100</v>
      </c>
      <c r="X23" s="1353"/>
      <c r="Y23" s="3735"/>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5"/>
      <c r="Q24" s="1350"/>
      <c r="R24" s="703"/>
      <c r="S24" s="704"/>
      <c r="T24" s="703"/>
      <c r="U24" s="704"/>
      <c r="V24" s="703"/>
      <c r="W24" s="704"/>
      <c r="X24" s="1353"/>
      <c r="Y24" s="3735"/>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5"/>
      <c r="Q25" s="1350">
        <f>B25</f>
        <v>111</v>
      </c>
      <c r="R25" s="703" t="s">
        <v>14</v>
      </c>
      <c r="S25" s="704">
        <f>F25</f>
        <v>100</v>
      </c>
      <c r="T25" s="703" t="s">
        <v>14</v>
      </c>
      <c r="U25" s="704">
        <f>H25</f>
        <v>100</v>
      </c>
      <c r="V25" s="703" t="s">
        <v>14</v>
      </c>
      <c r="W25" s="704">
        <f>J25</f>
        <v>100</v>
      </c>
      <c r="X25" s="1353"/>
      <c r="Y25" s="3735"/>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5"/>
      <c r="Q26" s="1350">
        <f t="shared" ref="Q26:Q40" si="11">B26</f>
        <v>111</v>
      </c>
      <c r="R26" s="703" t="s">
        <v>14</v>
      </c>
      <c r="S26" s="704">
        <f>F26</f>
        <v>100</v>
      </c>
      <c r="T26" s="703" t="s">
        <v>14</v>
      </c>
      <c r="U26" s="704">
        <f>H26</f>
        <v>100</v>
      </c>
      <c r="V26" s="703" t="s">
        <v>14</v>
      </c>
      <c r="W26" s="704">
        <f>J26</f>
        <v>100</v>
      </c>
      <c r="X26" s="1353"/>
      <c r="Y26" s="3735"/>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5"/>
      <c r="Q27" s="1341">
        <f t="shared" si="11"/>
        <v>111</v>
      </c>
      <c r="R27" s="699" t="s">
        <v>14</v>
      </c>
      <c r="S27" s="700">
        <f>F27</f>
        <v>100</v>
      </c>
      <c r="T27" s="699" t="s">
        <v>14</v>
      </c>
      <c r="U27" s="700">
        <f>H27</f>
        <v>100</v>
      </c>
      <c r="V27" s="699" t="s">
        <v>14</v>
      </c>
      <c r="W27" s="700">
        <f>J27</f>
        <v>100</v>
      </c>
      <c r="X27" s="701"/>
      <c r="Y27" s="3735"/>
      <c r="Z27" s="51">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5"/>
      <c r="Q28" s="1350">
        <f t="shared" si="11"/>
        <v>111</v>
      </c>
      <c r="R28" s="703" t="s">
        <v>14</v>
      </c>
      <c r="S28" s="704">
        <f t="shared" ref="S28:S40" si="12">F28</f>
        <v>100</v>
      </c>
      <c r="T28" s="703" t="s">
        <v>14</v>
      </c>
      <c r="U28" s="704">
        <f t="shared" ref="U28:U40" si="13">H28</f>
        <v>100</v>
      </c>
      <c r="V28" s="703" t="s">
        <v>14</v>
      </c>
      <c r="W28" s="704">
        <f t="shared" ref="W28:W40" si="14">J28</f>
        <v>100</v>
      </c>
      <c r="X28" s="1353"/>
      <c r="Y28" s="3735"/>
      <c r="Z28" s="1354">
        <f t="shared" ref="Z28:Z40" si="15">Q28</f>
        <v>111</v>
      </c>
      <c r="AA28" s="1351">
        <f t="shared" si="3"/>
        <v>1</v>
      </c>
      <c r="AB28" s="1351">
        <f t="shared" si="4"/>
        <v>1</v>
      </c>
      <c r="AC28" s="1351">
        <f t="shared" si="5"/>
        <v>1</v>
      </c>
    </row>
    <row r="29" spans="1:29" ht="29.25">
      <c r="A29" s="416" t="s">
        <v>1694</v>
      </c>
      <c r="B29" s="62"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790" t="s">
        <v>1696</v>
      </c>
      <c r="Q29" s="1350" t="str">
        <f t="shared" si="11"/>
        <v>建筑类型</v>
      </c>
      <c r="R29" s="703" t="s">
        <v>14</v>
      </c>
      <c r="S29" s="704">
        <f t="shared" si="12"/>
        <v>100</v>
      </c>
      <c r="T29" s="703" t="s">
        <v>14</v>
      </c>
      <c r="U29" s="704">
        <f t="shared" si="13"/>
        <v>100</v>
      </c>
      <c r="V29" s="703" t="s">
        <v>14</v>
      </c>
      <c r="W29" s="704">
        <f t="shared" si="14"/>
        <v>100</v>
      </c>
      <c r="X29" s="1353"/>
      <c r="Y29" s="3739"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9"/>
      <c r="Q30" s="705" t="str">
        <f t="shared" si="11"/>
        <v>项目建筑规模</v>
      </c>
      <c r="R30" s="706" t="s">
        <v>14</v>
      </c>
      <c r="S30" s="707" t="e">
        <f t="shared" si="12"/>
        <v>#N/A</v>
      </c>
      <c r="T30" s="706" t="s">
        <v>14</v>
      </c>
      <c r="U30" s="707" t="e">
        <f t="shared" si="13"/>
        <v>#N/A</v>
      </c>
      <c r="V30" s="706" t="s">
        <v>14</v>
      </c>
      <c r="W30" s="707" t="e">
        <f t="shared" si="14"/>
        <v>#N/A</v>
      </c>
      <c r="X30" s="708"/>
      <c r="Y30" s="3739"/>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9"/>
      <c r="Q31" s="1350" t="str">
        <f t="shared" si="11"/>
        <v>建筑结构</v>
      </c>
      <c r="R31" s="703" t="s">
        <v>14</v>
      </c>
      <c r="S31" s="704">
        <f t="shared" si="12"/>
        <v>100</v>
      </c>
      <c r="T31" s="703" t="s">
        <v>14</v>
      </c>
      <c r="U31" s="704">
        <f t="shared" si="13"/>
        <v>100</v>
      </c>
      <c r="V31" s="703" t="s">
        <v>14</v>
      </c>
      <c r="W31" s="704">
        <f t="shared" si="14"/>
        <v>100</v>
      </c>
      <c r="X31" s="1353"/>
      <c r="Y31" s="3739"/>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9"/>
      <c r="Q32" s="1350" t="str">
        <f t="shared" si="11"/>
        <v>公共部分装修</v>
      </c>
      <c r="R32" s="703" t="s">
        <v>14</v>
      </c>
      <c r="S32" s="704">
        <f t="shared" si="12"/>
        <v>100</v>
      </c>
      <c r="T32" s="703" t="s">
        <v>14</v>
      </c>
      <c r="U32" s="704">
        <f t="shared" si="13"/>
        <v>100</v>
      </c>
      <c r="V32" s="703" t="s">
        <v>14</v>
      </c>
      <c r="W32" s="704">
        <f t="shared" si="14"/>
        <v>100</v>
      </c>
      <c r="X32" s="1353"/>
      <c r="Y32" s="3739"/>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9"/>
      <c r="Q33" s="1350" t="str">
        <f t="shared" si="11"/>
        <v>成新度</v>
      </c>
      <c r="R33" s="703" t="s">
        <v>14</v>
      </c>
      <c r="S33" s="704" t="e">
        <f t="shared" si="12"/>
        <v>#N/A</v>
      </c>
      <c r="T33" s="703" t="s">
        <v>14</v>
      </c>
      <c r="U33" s="704" t="e">
        <f t="shared" si="13"/>
        <v>#N/A</v>
      </c>
      <c r="V33" s="703" t="s">
        <v>14</v>
      </c>
      <c r="W33" s="704" t="e">
        <f t="shared" si="14"/>
        <v>#N/A</v>
      </c>
      <c r="X33" s="1353"/>
      <c r="Y33" s="3739"/>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9"/>
      <c r="Q34" s="1341" t="str">
        <f t="shared" si="11"/>
        <v>物业管理</v>
      </c>
      <c r="R34" s="699" t="s">
        <v>14</v>
      </c>
      <c r="S34" s="700">
        <f t="shared" si="12"/>
        <v>100</v>
      </c>
      <c r="T34" s="699" t="s">
        <v>14</v>
      </c>
      <c r="U34" s="700">
        <f t="shared" si="13"/>
        <v>100</v>
      </c>
      <c r="V34" s="699" t="s">
        <v>14</v>
      </c>
      <c r="W34" s="700">
        <f t="shared" si="14"/>
        <v>100</v>
      </c>
      <c r="X34" s="701"/>
      <c r="Y34" s="3739"/>
      <c r="Z34" s="51"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9" t="s">
        <v>1696</v>
      </c>
      <c r="Q35" s="1350" t="str">
        <f t="shared" si="11"/>
        <v>市政基础设施</v>
      </c>
      <c r="R35" s="703" t="s">
        <v>14</v>
      </c>
      <c r="S35" s="704">
        <f t="shared" si="12"/>
        <v>100</v>
      </c>
      <c r="T35" s="703" t="s">
        <v>14</v>
      </c>
      <c r="U35" s="704">
        <f t="shared" si="13"/>
        <v>100</v>
      </c>
      <c r="V35" s="703" t="s">
        <v>14</v>
      </c>
      <c r="W35" s="704">
        <f t="shared" si="14"/>
        <v>100</v>
      </c>
      <c r="X35" s="1353"/>
      <c r="Y35" s="3739"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9"/>
      <c r="Q36" s="1350" t="str">
        <f t="shared" si="11"/>
        <v>内部装修</v>
      </c>
      <c r="R36" s="703" t="s">
        <v>14</v>
      </c>
      <c r="S36" s="704">
        <f t="shared" si="12"/>
        <v>100</v>
      </c>
      <c r="T36" s="703" t="s">
        <v>14</v>
      </c>
      <c r="U36" s="704">
        <f t="shared" si="13"/>
        <v>100</v>
      </c>
      <c r="V36" s="703" t="s">
        <v>14</v>
      </c>
      <c r="W36" s="704">
        <f t="shared" si="14"/>
        <v>100</v>
      </c>
      <c r="X36" s="1353"/>
      <c r="Y36" s="3739"/>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9"/>
      <c r="Q37" s="1350" t="str">
        <f t="shared" si="11"/>
        <v>内部装修状况</v>
      </c>
      <c r="R37" s="703" t="s">
        <v>14</v>
      </c>
      <c r="S37" s="704">
        <f t="shared" si="12"/>
        <v>100</v>
      </c>
      <c r="T37" s="703" t="s">
        <v>14</v>
      </c>
      <c r="U37" s="704">
        <f t="shared" si="13"/>
        <v>100</v>
      </c>
      <c r="V37" s="703" t="s">
        <v>14</v>
      </c>
      <c r="W37" s="704">
        <f t="shared" si="14"/>
        <v>100</v>
      </c>
      <c r="X37" s="1353"/>
      <c r="Y37" s="3739"/>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9"/>
      <c r="Q38" s="705">
        <f t="shared" si="11"/>
        <v>111</v>
      </c>
      <c r="R38" s="706" t="s">
        <v>14</v>
      </c>
      <c r="S38" s="707">
        <f t="shared" si="12"/>
        <v>100</v>
      </c>
      <c r="T38" s="706" t="s">
        <v>14</v>
      </c>
      <c r="U38" s="707">
        <f t="shared" si="13"/>
        <v>100</v>
      </c>
      <c r="V38" s="706" t="s">
        <v>14</v>
      </c>
      <c r="W38" s="707">
        <f t="shared" si="14"/>
        <v>100</v>
      </c>
      <c r="X38" s="708"/>
      <c r="Y38" s="3739"/>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9"/>
      <c r="Q39" s="1350">
        <f t="shared" si="11"/>
        <v>111</v>
      </c>
      <c r="R39" s="703" t="s">
        <v>14</v>
      </c>
      <c r="S39" s="704">
        <f t="shared" si="12"/>
        <v>100</v>
      </c>
      <c r="T39" s="703" t="s">
        <v>14</v>
      </c>
      <c r="U39" s="704">
        <f t="shared" si="13"/>
        <v>100</v>
      </c>
      <c r="V39" s="703" t="s">
        <v>14</v>
      </c>
      <c r="W39" s="704">
        <f t="shared" si="14"/>
        <v>100</v>
      </c>
      <c r="X39" s="1353"/>
      <c r="Y39" s="3739"/>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0"/>
      <c r="Q40" s="1350">
        <f t="shared" si="11"/>
        <v>111</v>
      </c>
      <c r="R40" s="703" t="s">
        <v>14</v>
      </c>
      <c r="S40" s="704">
        <f t="shared" si="12"/>
        <v>100</v>
      </c>
      <c r="T40" s="703" t="s">
        <v>14</v>
      </c>
      <c r="U40" s="704">
        <f t="shared" si="13"/>
        <v>100</v>
      </c>
      <c r="V40" s="703" t="s">
        <v>14</v>
      </c>
      <c r="W40" s="704">
        <f t="shared" si="14"/>
        <v>100</v>
      </c>
      <c r="X40" s="1353"/>
      <c r="Y40" s="3740"/>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32" t="str">
        <f>A41</f>
        <v>成交单价（元/平方米）</v>
      </c>
      <c r="Q41" s="3732"/>
      <c r="R41" s="3733">
        <f>E41</f>
        <v>0</v>
      </c>
      <c r="S41" s="3733"/>
      <c r="T41" s="3733">
        <f>G41</f>
        <v>0</v>
      </c>
      <c r="U41" s="3733"/>
      <c r="V41" s="3733">
        <f>I41</f>
        <v>0</v>
      </c>
      <c r="W41" s="3733"/>
      <c r="X41" s="688"/>
      <c r="Y41" s="710"/>
      <c r="Z41" s="688"/>
      <c r="AA41" s="688"/>
      <c r="AB41" s="688"/>
      <c r="AC41" s="688"/>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4"/>
      <c r="M42" s="925"/>
      <c r="N42" s="912"/>
      <c r="O42" s="925"/>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887"/>
      <c r="M46" s="925"/>
      <c r="N46" s="925"/>
      <c r="O46" s="925"/>
    </row>
    <row r="47" spans="1:29"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887"/>
      <c r="M47" s="925"/>
      <c r="N47" s="925"/>
      <c r="O47" s="925"/>
    </row>
    <row r="48" spans="1:29"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928"/>
      <c r="M48" s="926"/>
      <c r="N48" s="926"/>
      <c r="O48" s="926"/>
    </row>
    <row r="49" spans="1:17" s="450"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8"/>
      <c r="O54" s="2769"/>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1"/>
      <c r="Q57" s="452"/>
    </row>
    <row r="58" spans="1:17" ht="15.75" thickBot="1">
      <c r="A58" s="482"/>
      <c r="B58" s="483"/>
      <c r="C58" s="484">
        <v>100</v>
      </c>
      <c r="D58" s="484"/>
      <c r="E58" s="484"/>
      <c r="F58" s="484"/>
      <c r="G58" s="484"/>
      <c r="H58" s="484"/>
      <c r="I58" s="484"/>
      <c r="J58" s="484"/>
      <c r="K58" s="484"/>
      <c r="L58" s="484"/>
      <c r="M58" s="485"/>
      <c r="N58" s="932"/>
      <c r="O58" s="932"/>
      <c r="P58" s="41"/>
      <c r="Q58" s="452"/>
    </row>
    <row r="59" spans="1:17" ht="27.75" thickTop="1">
      <c r="A59" s="482"/>
      <c r="B59" s="486" t="s">
        <v>1688</v>
      </c>
      <c r="C59" s="531"/>
      <c r="D59" s="531"/>
      <c r="E59" s="531"/>
      <c r="F59" s="531"/>
      <c r="G59" s="531"/>
      <c r="H59" s="531"/>
      <c r="I59" s="531"/>
      <c r="J59" s="531"/>
      <c r="K59" s="532"/>
      <c r="L59" s="533"/>
      <c r="M59" s="534"/>
      <c r="N59" s="931"/>
      <c r="O59" s="931"/>
      <c r="P59" s="41"/>
      <c r="Q59" s="452"/>
    </row>
    <row r="60" spans="1:17" ht="15.75" thickBot="1">
      <c r="A60" s="482"/>
      <c r="B60" s="491"/>
      <c r="C60" s="484"/>
      <c r="D60" s="484"/>
      <c r="E60" s="484"/>
      <c r="F60" s="484"/>
      <c r="G60" s="484"/>
      <c r="H60" s="484"/>
      <c r="I60" s="484"/>
      <c r="J60" s="484"/>
      <c r="K60" s="484"/>
      <c r="L60" s="484"/>
      <c r="M60" s="485"/>
      <c r="N60" s="932"/>
      <c r="O60" s="932"/>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1"/>
      <c r="Q61" s="452"/>
    </row>
    <row r="62" spans="1:17" ht="15">
      <c r="A62" s="482"/>
      <c r="B62" s="496"/>
      <c r="C62" s="497">
        <v>0</v>
      </c>
      <c r="D62" s="497">
        <v>2</v>
      </c>
      <c r="E62" s="497"/>
      <c r="F62" s="497"/>
      <c r="G62" s="497"/>
      <c r="H62" s="497"/>
      <c r="I62" s="497"/>
      <c r="J62" s="497"/>
      <c r="K62" s="498"/>
      <c r="L62" s="499"/>
      <c r="M62" s="500"/>
      <c r="N62" s="931"/>
      <c r="O62" s="931"/>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1"/>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1"/>
      <c r="Q79" s="452"/>
    </row>
    <row r="80" spans="1:17" s="107" customFormat="1" ht="15.75" thickTop="1">
      <c r="A80" s="527"/>
      <c r="B80" s="486">
        <f>B25</f>
        <v>111</v>
      </c>
      <c r="C80" s="502"/>
      <c r="D80" s="502"/>
      <c r="E80" s="502"/>
      <c r="F80" s="502"/>
      <c r="G80" s="502"/>
      <c r="H80" s="502"/>
      <c r="I80" s="502"/>
      <c r="J80" s="502"/>
      <c r="K80" s="502"/>
      <c r="L80" s="528"/>
      <c r="M80" s="529"/>
      <c r="N80" s="930"/>
      <c r="O80" s="930"/>
      <c r="P80" s="41"/>
      <c r="Q80" s="452"/>
    </row>
    <row r="81" spans="1:17" s="107" customFormat="1" ht="15.75" thickBot="1">
      <c r="A81" s="527"/>
      <c r="B81" s="491"/>
      <c r="C81" s="508"/>
      <c r="D81" s="484"/>
      <c r="E81" s="484"/>
      <c r="F81" s="484"/>
      <c r="G81" s="484"/>
      <c r="H81" s="484"/>
      <c r="I81" s="484"/>
      <c r="J81" s="484"/>
      <c r="K81" s="484"/>
      <c r="L81" s="484"/>
      <c r="M81" s="485"/>
      <c r="N81" s="932"/>
      <c r="O81" s="932"/>
      <c r="P81" s="41"/>
      <c r="Q81" s="452"/>
    </row>
    <row r="82" spans="1:17" s="107" customFormat="1" ht="15.75" thickTop="1">
      <c r="A82" s="527"/>
      <c r="B82" s="486">
        <f>B26</f>
        <v>111</v>
      </c>
      <c r="C82" s="502"/>
      <c r="D82" s="502"/>
      <c r="E82" s="502"/>
      <c r="F82" s="502"/>
      <c r="G82" s="502"/>
      <c r="H82" s="502"/>
      <c r="I82" s="502"/>
      <c r="J82" s="502"/>
      <c r="K82" s="502"/>
      <c r="L82" s="528"/>
      <c r="M82" s="529"/>
      <c r="N82" s="930"/>
      <c r="O82" s="930"/>
      <c r="P82" s="41"/>
      <c r="Q82" s="452"/>
    </row>
    <row r="83" spans="1:17" s="107" customFormat="1" ht="15.75" thickBot="1">
      <c r="A83" s="527"/>
      <c r="B83" s="491"/>
      <c r="C83" s="508"/>
      <c r="D83" s="484"/>
      <c r="E83" s="484"/>
      <c r="F83" s="484"/>
      <c r="G83" s="484"/>
      <c r="H83" s="484"/>
      <c r="I83" s="484"/>
      <c r="J83" s="484"/>
      <c r="K83" s="484"/>
      <c r="L83" s="484"/>
      <c r="M83" s="485"/>
      <c r="N83" s="932"/>
      <c r="O83" s="932"/>
      <c r="P83" s="41"/>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1"/>
      <c r="Q86" s="452"/>
    </row>
    <row r="87" spans="1:17" ht="15.75" thickBot="1">
      <c r="A87" s="1926"/>
      <c r="B87" s="517"/>
      <c r="C87" s="518"/>
      <c r="D87" s="518"/>
      <c r="E87" s="518"/>
      <c r="F87" s="518"/>
      <c r="G87" s="539"/>
      <c r="H87" s="539"/>
      <c r="I87" s="539"/>
      <c r="J87" s="539"/>
      <c r="K87" s="539"/>
      <c r="L87" s="539"/>
      <c r="M87" s="540"/>
      <c r="N87" s="932"/>
      <c r="O87" s="932"/>
      <c r="P87" s="41"/>
      <c r="Q87" s="452"/>
    </row>
    <row r="88" spans="1:17">
      <c r="A88" s="475" t="s">
        <v>1694</v>
      </c>
      <c r="B88" s="476" t="s">
        <v>1736</v>
      </c>
      <c r="C88" s="478"/>
      <c r="D88" s="478"/>
      <c r="E88" s="478"/>
      <c r="F88" s="478"/>
      <c r="G88" s="478"/>
      <c r="H88" s="478"/>
      <c r="I88" s="478"/>
      <c r="J88" s="478"/>
      <c r="K88" s="479"/>
      <c r="L88" s="480"/>
      <c r="M88" s="481"/>
      <c r="N88" s="931"/>
      <c r="O88" s="931"/>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1"/>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1"/>
      <c r="Q94" s="452"/>
    </row>
    <row r="95" spans="1:17" ht="15" thickTop="1">
      <c r="A95" s="547"/>
      <c r="B95" s="486" t="s">
        <v>1740</v>
      </c>
      <c r="C95" s="502"/>
      <c r="D95" s="502"/>
      <c r="E95" s="502"/>
      <c r="F95" s="531"/>
      <c r="G95" s="531"/>
      <c r="H95" s="531"/>
      <c r="I95" s="531"/>
      <c r="J95" s="531"/>
      <c r="K95" s="532"/>
      <c r="L95" s="533"/>
      <c r="M95" s="534"/>
      <c r="N95" s="931"/>
      <c r="O95" s="931"/>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1"/>
      <c r="Q97" s="452"/>
    </row>
    <row r="98" spans="1:17">
      <c r="A98" s="547"/>
      <c r="B98" s="494"/>
      <c r="C98" s="551">
        <v>0.5</v>
      </c>
      <c r="D98" s="551">
        <v>0.6</v>
      </c>
      <c r="E98" s="551">
        <v>0.7</v>
      </c>
      <c r="F98" s="551">
        <v>0.8</v>
      </c>
      <c r="G98" s="551">
        <v>0.9</v>
      </c>
      <c r="H98" s="551">
        <v>1.0001</v>
      </c>
      <c r="I98" s="570"/>
      <c r="J98" s="570"/>
      <c r="K98" s="571"/>
      <c r="L98" s="572"/>
      <c r="M98" s="573"/>
      <c r="N98" s="931"/>
      <c r="O98" s="931"/>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1"/>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1"/>
      <c r="Q103" s="452"/>
    </row>
    <row r="104" spans="1:17" ht="15" thickTop="1">
      <c r="A104" s="547"/>
      <c r="B104" s="486" t="s">
        <v>1744</v>
      </c>
      <c r="C104" s="502"/>
      <c r="D104" s="502"/>
      <c r="E104" s="502"/>
      <c r="F104" s="502"/>
      <c r="G104" s="502"/>
      <c r="H104" s="531"/>
      <c r="I104" s="531"/>
      <c r="J104" s="531"/>
      <c r="K104" s="532"/>
      <c r="L104" s="533"/>
      <c r="M104" s="534"/>
      <c r="N104" s="931"/>
      <c r="O104" s="931"/>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1"/>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1"/>
      <c r="Q110" s="452"/>
    </row>
    <row r="111" spans="1:17" ht="15.75" thickBot="1">
      <c r="A111" s="482"/>
      <c r="B111" s="491"/>
      <c r="C111" s="508"/>
      <c r="D111" s="484"/>
      <c r="E111" s="484"/>
      <c r="F111" s="484"/>
      <c r="G111" s="508"/>
      <c r="H111" s="510"/>
      <c r="I111" s="510"/>
      <c r="J111" s="510"/>
      <c r="K111" s="510"/>
      <c r="L111" s="510"/>
      <c r="M111" s="511"/>
      <c r="N111" s="932"/>
      <c r="O111" s="932"/>
      <c r="P111" s="41"/>
      <c r="Q111" s="452"/>
    </row>
    <row r="112" spans="1:17" ht="15" thickTop="1">
      <c r="A112" s="547"/>
      <c r="B112" s="494">
        <f>B40</f>
        <v>111</v>
      </c>
      <c r="C112" s="471"/>
      <c r="D112" s="471"/>
      <c r="E112" s="471"/>
      <c r="F112" s="471"/>
      <c r="G112" s="535"/>
      <c r="H112" s="535"/>
      <c r="I112" s="535"/>
      <c r="J112" s="535"/>
      <c r="K112" s="471"/>
      <c r="L112" s="472"/>
      <c r="M112" s="538"/>
      <c r="N112" s="931"/>
      <c r="O112" s="931"/>
      <c r="P112" s="41"/>
      <c r="Q112" s="452"/>
    </row>
    <row r="113" spans="1:17" ht="15.75" thickBot="1">
      <c r="A113" s="1926"/>
      <c r="B113" s="517"/>
      <c r="C113" s="518"/>
      <c r="D113" s="518"/>
      <c r="E113" s="518"/>
      <c r="F113" s="518"/>
      <c r="G113" s="539"/>
      <c r="H113" s="539"/>
      <c r="I113" s="539"/>
      <c r="J113" s="539"/>
      <c r="K113" s="539"/>
      <c r="L113" s="539"/>
      <c r="M113" s="540"/>
      <c r="N113" s="932"/>
      <c r="O113" s="932"/>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4" t="s">
        <v>1769</v>
      </c>
      <c r="B4" s="355"/>
      <c r="C4" s="3747" t="s">
        <v>1770</v>
      </c>
      <c r="D4" s="3748"/>
      <c r="E4" s="3749" t="s">
        <v>1771</v>
      </c>
      <c r="F4" s="3750"/>
      <c r="G4" s="3747" t="s">
        <v>1772</v>
      </c>
      <c r="H4" s="3748"/>
      <c r="I4" s="3747" t="s">
        <v>1773</v>
      </c>
      <c r="J4" s="3748"/>
      <c r="K4" s="558" t="s">
        <v>1774</v>
      </c>
      <c r="L4" s="2713"/>
      <c r="M4" s="2714"/>
      <c r="N4" s="2714"/>
      <c r="O4" s="2714"/>
      <c r="P4" s="3751" t="s">
        <v>1775</v>
      </c>
      <c r="Q4" s="3752"/>
      <c r="R4" s="3757" t="s">
        <v>1771</v>
      </c>
      <c r="S4" s="3758"/>
      <c r="T4" s="3757" t="s">
        <v>1772</v>
      </c>
      <c r="U4" s="3758"/>
      <c r="V4" s="3763" t="s">
        <v>1773</v>
      </c>
      <c r="W4" s="3763"/>
      <c r="X4" s="1353"/>
      <c r="Y4" s="3757" t="s">
        <v>1775</v>
      </c>
      <c r="Z4" s="3758"/>
      <c r="AA4" s="3744" t="s">
        <v>1771</v>
      </c>
      <c r="AB4" s="3745" t="s">
        <v>1772</v>
      </c>
      <c r="AC4" s="3744" t="s">
        <v>1773</v>
      </c>
    </row>
    <row r="5" spans="1:29" ht="15">
      <c r="A5" s="357"/>
      <c r="B5" s="358"/>
      <c r="C5" s="3766" t="s">
        <v>1673</v>
      </c>
      <c r="D5" s="3767"/>
      <c r="E5" s="3773" t="s">
        <v>1674</v>
      </c>
      <c r="F5" s="3774"/>
      <c r="G5" s="3766" t="s">
        <v>1675</v>
      </c>
      <c r="H5" s="3767"/>
      <c r="I5" s="3766" t="s">
        <v>1676</v>
      </c>
      <c r="J5" s="3767"/>
      <c r="K5" s="558"/>
      <c r="L5" s="2713"/>
      <c r="M5" s="2714"/>
      <c r="N5" s="2714"/>
      <c r="O5" s="2714"/>
      <c r="P5" s="3753"/>
      <c r="Q5" s="3754"/>
      <c r="R5" s="3759"/>
      <c r="S5" s="3760"/>
      <c r="T5" s="3759"/>
      <c r="U5" s="3760"/>
      <c r="V5" s="3763"/>
      <c r="W5" s="3763"/>
      <c r="X5" s="1353"/>
      <c r="Y5" s="3759"/>
      <c r="Z5" s="3760"/>
      <c r="AA5" s="3745"/>
      <c r="AB5" s="3745"/>
      <c r="AC5" s="3745"/>
    </row>
    <row r="6" spans="1:29" ht="15.75" thickBot="1">
      <c r="A6" s="359"/>
      <c r="B6" s="360"/>
      <c r="C6" s="3764" t="s">
        <v>1677</v>
      </c>
      <c r="D6" s="3765"/>
      <c r="E6" s="3771" t="s">
        <v>1677</v>
      </c>
      <c r="F6" s="3772"/>
      <c r="G6" s="3764" t="s">
        <v>1677</v>
      </c>
      <c r="H6" s="3765"/>
      <c r="I6" s="3764" t="s">
        <v>1677</v>
      </c>
      <c r="J6" s="3765"/>
      <c r="K6" s="558" t="s">
        <v>1678</v>
      </c>
      <c r="L6" s="2713"/>
      <c r="M6" s="2714"/>
      <c r="N6" s="2714"/>
      <c r="O6" s="2714"/>
      <c r="P6" s="3755"/>
      <c r="Q6" s="3756"/>
      <c r="R6" s="3759"/>
      <c r="S6" s="3760"/>
      <c r="T6" s="3761"/>
      <c r="U6" s="3762"/>
      <c r="V6" s="3763"/>
      <c r="W6" s="3763"/>
      <c r="X6" s="1353"/>
      <c r="Y6" s="3761"/>
      <c r="Z6" s="3762"/>
      <c r="AA6" s="3746"/>
      <c r="AB6" s="3746"/>
      <c r="AC6" s="3746"/>
    </row>
    <row r="7" spans="1:29" s="107" customFormat="1" ht="15.75" thickBot="1">
      <c r="A7" s="361" t="s">
        <v>1679</v>
      </c>
      <c r="B7" s="362"/>
      <c r="C7" s="363">
        <f>'数据-取费表'!B2</f>
        <v>45062</v>
      </c>
      <c r="D7" s="364">
        <v>100</v>
      </c>
      <c r="E7" s="365"/>
      <c r="F7" s="366">
        <f>SUMIF(48:48,YEAR(E7)&amp;"-"&amp;MONTH(E7),49:49)</f>
        <v>0</v>
      </c>
      <c r="G7" s="365"/>
      <c r="H7" s="364">
        <f>SUMIF(48:48,YEAR(G7)&amp;"-"&amp;MONTH(G7),49:49)</f>
        <v>0</v>
      </c>
      <c r="I7" s="365"/>
      <c r="J7" s="364">
        <f>SUMIF(48:48,YEAR(I7)&amp;"-"&amp;MONTH(I7),49:49)</f>
        <v>0</v>
      </c>
      <c r="K7" s="559"/>
      <c r="L7" s="2715"/>
      <c r="M7" s="2716"/>
      <c r="N7" s="2716"/>
      <c r="O7" s="2716"/>
      <c r="P7" s="3768" t="s">
        <v>1680</v>
      </c>
      <c r="Q7" s="3770"/>
      <c r="R7" s="699" t="s">
        <v>14</v>
      </c>
      <c r="S7" s="700">
        <f t="shared" ref="S7:S14" si="0">F7</f>
        <v>0</v>
      </c>
      <c r="T7" s="699" t="s">
        <v>14</v>
      </c>
      <c r="U7" s="700">
        <f t="shared" ref="U7:U14" si="1">H7</f>
        <v>0</v>
      </c>
      <c r="V7" s="699" t="s">
        <v>14</v>
      </c>
      <c r="W7" s="700">
        <f t="shared" ref="W7:W14" si="2">J7</f>
        <v>0</v>
      </c>
      <c r="X7" s="701"/>
      <c r="Y7" s="3768" t="s">
        <v>1680</v>
      </c>
      <c r="Z7" s="376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5"/>
      <c r="M8" s="2716"/>
      <c r="N8" s="2716"/>
      <c r="O8" s="2716"/>
      <c r="P8" s="3768" t="s">
        <v>1683</v>
      </c>
      <c r="Q8" s="3769"/>
      <c r="R8" s="699" t="s">
        <v>14</v>
      </c>
      <c r="S8" s="700">
        <f t="shared" si="0"/>
        <v>100</v>
      </c>
      <c r="T8" s="699" t="s">
        <v>14</v>
      </c>
      <c r="U8" s="700">
        <f t="shared" si="1"/>
        <v>100</v>
      </c>
      <c r="V8" s="699" t="s">
        <v>14</v>
      </c>
      <c r="W8" s="700">
        <f t="shared" si="2"/>
        <v>100</v>
      </c>
      <c r="X8" s="701"/>
      <c r="Y8" s="3768" t="s">
        <v>1683</v>
      </c>
      <c r="Z8" s="3769"/>
      <c r="AA8" s="702">
        <f t="shared" ref="AA8:AA36" si="3">D8/F8</f>
        <v>1</v>
      </c>
      <c r="AB8" s="702">
        <f t="shared" ref="AB8:AB36" si="4">D8/H8</f>
        <v>1</v>
      </c>
      <c r="AC8" s="702">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5"/>
      <c r="M9" s="2716"/>
      <c r="N9" s="2716"/>
      <c r="O9" s="2716"/>
      <c r="P9" s="3732" t="s">
        <v>1686</v>
      </c>
      <c r="Q9" s="1341" t="str">
        <f t="shared" ref="Q9:Q14" si="6">B9</f>
        <v>用途</v>
      </c>
      <c r="R9" s="699" t="s">
        <v>14</v>
      </c>
      <c r="S9" s="700">
        <f t="shared" si="0"/>
        <v>100</v>
      </c>
      <c r="T9" s="699" t="s">
        <v>14</v>
      </c>
      <c r="U9" s="700">
        <f t="shared" si="1"/>
        <v>100</v>
      </c>
      <c r="V9" s="699" t="s">
        <v>14</v>
      </c>
      <c r="W9" s="700">
        <f t="shared" si="2"/>
        <v>100</v>
      </c>
      <c r="X9" s="701"/>
      <c r="Y9" s="3626" t="s">
        <v>1687</v>
      </c>
      <c r="Z9" s="51" t="str">
        <f t="shared" ref="Z9:Z14" si="7">Q9</f>
        <v>用途</v>
      </c>
      <c r="AA9" s="702">
        <f t="shared" si="3"/>
        <v>1</v>
      </c>
      <c r="AB9" s="702">
        <f t="shared" si="4"/>
        <v>1</v>
      </c>
      <c r="AC9" s="702">
        <f t="shared" si="5"/>
        <v>1</v>
      </c>
    </row>
    <row r="10" spans="1:29" s="377" customFormat="1" ht="27">
      <c r="A10" s="588"/>
      <c r="B10" s="589" t="s">
        <v>1688</v>
      </c>
      <c r="C10" s="3432"/>
      <c r="D10" s="126">
        <v>100</v>
      </c>
      <c r="E10" s="3432"/>
      <c r="F10" s="126">
        <f>SUMIF(55:55,E10,56:56)-SUMIF(55:55,C10,56:56)+100</f>
        <v>100</v>
      </c>
      <c r="G10" s="3433"/>
      <c r="H10" s="126">
        <f>SUMIF(55:55,G10,56:56)-SUMIF(55:55,C10,56:56)+100</f>
        <v>100</v>
      </c>
      <c r="I10" s="3432"/>
      <c r="J10" s="126">
        <f>SUMIF(55:55,I10,56:56)-SUMIF(55:55,C10,56:56)+100</f>
        <v>100</v>
      </c>
      <c r="K10" s="559"/>
      <c r="L10" s="2717"/>
      <c r="M10" s="2718"/>
      <c r="N10" s="2718"/>
      <c r="O10" s="2718"/>
      <c r="P10" s="3732"/>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9"/>
      <c r="M11" s="2714"/>
      <c r="N11" s="2714"/>
      <c r="O11" s="2714"/>
      <c r="P11" s="3732"/>
      <c r="Q11" s="1341">
        <f t="shared" si="6"/>
        <v>111</v>
      </c>
      <c r="R11" s="699" t="s">
        <v>14</v>
      </c>
      <c r="S11" s="700">
        <f t="shared" si="0"/>
        <v>100</v>
      </c>
      <c r="T11" s="699" t="s">
        <v>14</v>
      </c>
      <c r="U11" s="700">
        <f t="shared" si="1"/>
        <v>100</v>
      </c>
      <c r="V11" s="699" t="s">
        <v>14</v>
      </c>
      <c r="W11" s="700">
        <f t="shared" si="2"/>
        <v>100</v>
      </c>
      <c r="X11" s="701"/>
      <c r="Y11" s="3626"/>
      <c r="Z11" s="51">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5"/>
      <c r="M12" s="2716"/>
      <c r="N12" s="2716"/>
      <c r="O12" s="2716"/>
      <c r="P12" s="3732"/>
      <c r="Q12" s="1341">
        <f t="shared" si="6"/>
        <v>111</v>
      </c>
      <c r="R12" s="699" t="s">
        <v>14</v>
      </c>
      <c r="S12" s="700">
        <f t="shared" si="0"/>
        <v>100</v>
      </c>
      <c r="T12" s="699" t="s">
        <v>14</v>
      </c>
      <c r="U12" s="700">
        <f t="shared" si="1"/>
        <v>100</v>
      </c>
      <c r="V12" s="699" t="s">
        <v>14</v>
      </c>
      <c r="W12" s="700">
        <f t="shared" si="2"/>
        <v>100</v>
      </c>
      <c r="X12" s="701"/>
      <c r="Y12" s="3626"/>
      <c r="Z12" s="51">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0"/>
      <c r="M13" s="2714"/>
      <c r="N13" s="2714"/>
      <c r="O13" s="2714"/>
      <c r="P13" s="3732"/>
      <c r="Q13" s="1341">
        <f t="shared" si="6"/>
        <v>111</v>
      </c>
      <c r="R13" s="699" t="s">
        <v>14</v>
      </c>
      <c r="S13" s="700">
        <f t="shared" si="0"/>
        <v>100</v>
      </c>
      <c r="T13" s="699" t="s">
        <v>14</v>
      </c>
      <c r="U13" s="700">
        <f t="shared" si="1"/>
        <v>100</v>
      </c>
      <c r="V13" s="699" t="s">
        <v>14</v>
      </c>
      <c r="W13" s="700">
        <f t="shared" si="2"/>
        <v>100</v>
      </c>
      <c r="X13" s="701"/>
      <c r="Y13" s="3626"/>
      <c r="Z13" s="51">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0"/>
      <c r="M14" s="2714"/>
      <c r="N14" s="2714"/>
      <c r="O14" s="2714"/>
      <c r="P14" s="3734" t="s">
        <v>1691</v>
      </c>
      <c r="Q14" s="1350" t="str">
        <f t="shared" si="6"/>
        <v>交通便捷度</v>
      </c>
      <c r="R14" s="703" t="s">
        <v>14</v>
      </c>
      <c r="S14" s="704">
        <f t="shared" si="0"/>
        <v>100</v>
      </c>
      <c r="T14" s="703" t="s">
        <v>14</v>
      </c>
      <c r="U14" s="704">
        <f t="shared" si="1"/>
        <v>100</v>
      </c>
      <c r="V14" s="703" t="s">
        <v>14</v>
      </c>
      <c r="W14" s="704">
        <f t="shared" si="2"/>
        <v>100</v>
      </c>
      <c r="X14" s="1353"/>
      <c r="Y14" s="3734"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20"/>
      <c r="M15" s="2714"/>
      <c r="N15" s="2714"/>
      <c r="O15" s="2714"/>
      <c r="P15" s="3735"/>
      <c r="Q15" s="1350"/>
      <c r="R15" s="703"/>
      <c r="S15" s="704"/>
      <c r="T15" s="703"/>
      <c r="U15" s="704"/>
      <c r="V15" s="703"/>
      <c r="W15" s="704"/>
      <c r="X15" s="1353"/>
      <c r="Y15" s="3735"/>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0"/>
      <c r="M16" s="2714"/>
      <c r="N16" s="2714"/>
      <c r="O16" s="2714"/>
      <c r="P16" s="3735"/>
      <c r="Q16" s="1350" t="str">
        <f>B16</f>
        <v>公共配套设施</v>
      </c>
      <c r="R16" s="703" t="s">
        <v>14</v>
      </c>
      <c r="S16" s="704">
        <f>F16</f>
        <v>100</v>
      </c>
      <c r="T16" s="703" t="s">
        <v>14</v>
      </c>
      <c r="U16" s="704">
        <f>H16</f>
        <v>100</v>
      </c>
      <c r="V16" s="703" t="s">
        <v>14</v>
      </c>
      <c r="W16" s="704">
        <f>J16</f>
        <v>100</v>
      </c>
      <c r="X16" s="1353"/>
      <c r="Y16" s="3735"/>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20"/>
      <c r="M17" s="2714"/>
      <c r="N17" s="2714"/>
      <c r="O17" s="2714"/>
      <c r="P17" s="3735"/>
      <c r="Q17" s="1350"/>
      <c r="R17" s="703"/>
      <c r="S17" s="704"/>
      <c r="T17" s="703"/>
      <c r="U17" s="704"/>
      <c r="V17" s="703"/>
      <c r="W17" s="704"/>
      <c r="X17" s="1353"/>
      <c r="Y17" s="3735"/>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0"/>
      <c r="M18" s="2714"/>
      <c r="N18" s="2714"/>
      <c r="O18" s="2714"/>
      <c r="P18" s="3735"/>
      <c r="Q18" s="1350" t="str">
        <f>B18</f>
        <v>基础设施水平</v>
      </c>
      <c r="R18" s="703" t="s">
        <v>14</v>
      </c>
      <c r="S18" s="704">
        <f>F18</f>
        <v>100</v>
      </c>
      <c r="T18" s="703" t="s">
        <v>14</v>
      </c>
      <c r="U18" s="704">
        <f>H18</f>
        <v>100</v>
      </c>
      <c r="V18" s="703" t="s">
        <v>14</v>
      </c>
      <c r="W18" s="704">
        <f>J18</f>
        <v>100</v>
      </c>
      <c r="X18" s="1353"/>
      <c r="Y18" s="3735"/>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20"/>
      <c r="M19" s="2714"/>
      <c r="N19" s="2714"/>
      <c r="O19" s="2714"/>
      <c r="P19" s="3735"/>
      <c r="Q19" s="1350"/>
      <c r="R19" s="703"/>
      <c r="S19" s="704"/>
      <c r="T19" s="703"/>
      <c r="U19" s="704"/>
      <c r="V19" s="703"/>
      <c r="W19" s="704"/>
      <c r="X19" s="1353"/>
      <c r="Y19" s="3735"/>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0"/>
      <c r="M20" s="2714"/>
      <c r="N20" s="2714"/>
      <c r="O20" s="2714"/>
      <c r="P20" s="3735"/>
      <c r="Q20" s="1350" t="str">
        <f>B20</f>
        <v>自然及人文环境</v>
      </c>
      <c r="R20" s="703" t="s">
        <v>14</v>
      </c>
      <c r="S20" s="704">
        <f>F20</f>
        <v>100</v>
      </c>
      <c r="T20" s="703" t="s">
        <v>14</v>
      </c>
      <c r="U20" s="704">
        <f>H20</f>
        <v>100</v>
      </c>
      <c r="V20" s="703" t="s">
        <v>14</v>
      </c>
      <c r="W20" s="704">
        <f>J20</f>
        <v>100</v>
      </c>
      <c r="X20" s="1353"/>
      <c r="Y20" s="3735"/>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20"/>
      <c r="M21" s="2714"/>
      <c r="N21" s="2714"/>
      <c r="O21" s="2714"/>
      <c r="P21" s="3735"/>
      <c r="Q21" s="1350"/>
      <c r="R21" s="703"/>
      <c r="S21" s="704"/>
      <c r="T21" s="703"/>
      <c r="U21" s="704"/>
      <c r="V21" s="703"/>
      <c r="W21" s="704"/>
      <c r="X21" s="1353"/>
      <c r="Y21" s="3735"/>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0"/>
      <c r="M22" s="2714"/>
      <c r="N22" s="2714"/>
      <c r="O22" s="2714"/>
      <c r="P22" s="3735"/>
      <c r="Q22" s="1350" t="str">
        <f>B22</f>
        <v>楼层</v>
      </c>
      <c r="R22" s="703" t="s">
        <v>14</v>
      </c>
      <c r="S22" s="704">
        <f>F22</f>
        <v>100</v>
      </c>
      <c r="T22" s="703" t="s">
        <v>14</v>
      </c>
      <c r="U22" s="704">
        <f>H22</f>
        <v>100</v>
      </c>
      <c r="V22" s="703" t="s">
        <v>14</v>
      </c>
      <c r="W22" s="704">
        <f>J22</f>
        <v>100</v>
      </c>
      <c r="X22" s="1353"/>
      <c r="Y22" s="3735"/>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0"/>
      <c r="M23" s="2714"/>
      <c r="N23" s="2714"/>
      <c r="O23" s="2714"/>
      <c r="P23" s="3735"/>
      <c r="Q23" s="1350">
        <f>B23</f>
        <v>111</v>
      </c>
      <c r="R23" s="703" t="s">
        <v>14</v>
      </c>
      <c r="S23" s="704">
        <f>F23</f>
        <v>100</v>
      </c>
      <c r="T23" s="703" t="s">
        <v>14</v>
      </c>
      <c r="U23" s="704">
        <f>H23</f>
        <v>100</v>
      </c>
      <c r="V23" s="703" t="s">
        <v>14</v>
      </c>
      <c r="W23" s="704">
        <f>J23</f>
        <v>100</v>
      </c>
      <c r="X23" s="1353"/>
      <c r="Y23" s="3735"/>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0"/>
      <c r="M24" s="2714"/>
      <c r="N24" s="2714"/>
      <c r="O24" s="2714"/>
      <c r="P24" s="3735"/>
      <c r="Q24" s="1350">
        <f t="shared" ref="Q24:Q36" si="11">B24</f>
        <v>111</v>
      </c>
      <c r="R24" s="703" t="s">
        <v>14</v>
      </c>
      <c r="S24" s="704">
        <f>F24</f>
        <v>100</v>
      </c>
      <c r="T24" s="703" t="s">
        <v>14</v>
      </c>
      <c r="U24" s="704">
        <f>H24</f>
        <v>100</v>
      </c>
      <c r="V24" s="703" t="s">
        <v>14</v>
      </c>
      <c r="W24" s="704">
        <f>J24</f>
        <v>100</v>
      </c>
      <c r="X24" s="1353"/>
      <c r="Y24" s="3735"/>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5"/>
      <c r="M25" s="2716"/>
      <c r="N25" s="2716"/>
      <c r="O25" s="2716"/>
      <c r="P25" s="3735"/>
      <c r="Q25" s="1341">
        <f t="shared" si="11"/>
        <v>111</v>
      </c>
      <c r="R25" s="699" t="s">
        <v>14</v>
      </c>
      <c r="S25" s="700">
        <f>F25</f>
        <v>100</v>
      </c>
      <c r="T25" s="699" t="s">
        <v>14</v>
      </c>
      <c r="U25" s="700">
        <f>H25</f>
        <v>100</v>
      </c>
      <c r="V25" s="699" t="s">
        <v>14</v>
      </c>
      <c r="W25" s="700">
        <f>J25</f>
        <v>100</v>
      </c>
      <c r="X25" s="701"/>
      <c r="Y25" s="3735"/>
      <c r="Z25" s="51">
        <f>Q25</f>
        <v>111</v>
      </c>
      <c r="AA25" s="1351">
        <f>D25/F25</f>
        <v>1</v>
      </c>
      <c r="AB25" s="1351">
        <f>D25/H25</f>
        <v>1</v>
      </c>
      <c r="AC25" s="1351">
        <f>D25/J25</f>
        <v>1</v>
      </c>
    </row>
    <row r="26" spans="1:29" ht="29.25">
      <c r="A26" s="599" t="s">
        <v>1694</v>
      </c>
      <c r="B26" s="61"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20"/>
      <c r="M26" s="2714"/>
      <c r="N26" s="2714"/>
      <c r="O26" s="2714"/>
      <c r="P26" s="379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9"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9"/>
      <c r="M27" s="2721"/>
      <c r="N27" s="2721"/>
      <c r="O27" s="2721"/>
      <c r="P27" s="3739"/>
      <c r="Q27" s="705" t="str">
        <f t="shared" si="11"/>
        <v>项目停车位配比</v>
      </c>
      <c r="R27" s="706" t="s">
        <v>14</v>
      </c>
      <c r="S27" s="707">
        <f t="shared" si="12"/>
        <v>100</v>
      </c>
      <c r="T27" s="706" t="s">
        <v>14</v>
      </c>
      <c r="U27" s="707">
        <f t="shared" si="13"/>
        <v>100</v>
      </c>
      <c r="V27" s="706" t="s">
        <v>14</v>
      </c>
      <c r="W27" s="707">
        <f t="shared" si="14"/>
        <v>100</v>
      </c>
      <c r="X27" s="708"/>
      <c r="Y27" s="3739"/>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0"/>
      <c r="M28" s="2714"/>
      <c r="N28" s="2714"/>
      <c r="O28" s="2714"/>
      <c r="P28" s="3739"/>
      <c r="Q28" s="1350" t="str">
        <f t="shared" si="11"/>
        <v>公共部分装修</v>
      </c>
      <c r="R28" s="703" t="s">
        <v>14</v>
      </c>
      <c r="S28" s="704">
        <f t="shared" si="12"/>
        <v>100</v>
      </c>
      <c r="T28" s="703" t="s">
        <v>14</v>
      </c>
      <c r="U28" s="704">
        <f t="shared" si="13"/>
        <v>100</v>
      </c>
      <c r="V28" s="703" t="s">
        <v>14</v>
      </c>
      <c r="W28" s="704">
        <f t="shared" si="14"/>
        <v>100</v>
      </c>
      <c r="X28" s="1353"/>
      <c r="Y28" s="3739"/>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0"/>
      <c r="M29" s="2714"/>
      <c r="N29" s="2714"/>
      <c r="O29" s="2714"/>
      <c r="P29" s="3739"/>
      <c r="Q29" s="1350" t="str">
        <f t="shared" si="11"/>
        <v>成新率</v>
      </c>
      <c r="R29" s="703" t="s">
        <v>14</v>
      </c>
      <c r="S29" s="704" t="e">
        <f t="shared" si="12"/>
        <v>#N/A</v>
      </c>
      <c r="T29" s="703" t="s">
        <v>14</v>
      </c>
      <c r="U29" s="704" t="e">
        <f t="shared" si="13"/>
        <v>#N/A</v>
      </c>
      <c r="V29" s="703" t="s">
        <v>14</v>
      </c>
      <c r="W29" s="704" t="e">
        <f t="shared" si="14"/>
        <v>#N/A</v>
      </c>
      <c r="X29" s="1353"/>
      <c r="Y29" s="3739"/>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0"/>
      <c r="M30" s="2714"/>
      <c r="N30" s="2714"/>
      <c r="O30" s="2714"/>
      <c r="P30" s="3739"/>
      <c r="Q30" s="1350" t="str">
        <f t="shared" si="11"/>
        <v>物业等级</v>
      </c>
      <c r="R30" s="703" t="s">
        <v>14</v>
      </c>
      <c r="S30" s="704">
        <f t="shared" si="12"/>
        <v>100</v>
      </c>
      <c r="T30" s="703" t="s">
        <v>14</v>
      </c>
      <c r="U30" s="704">
        <f t="shared" si="13"/>
        <v>100</v>
      </c>
      <c r="V30" s="703" t="s">
        <v>14</v>
      </c>
      <c r="W30" s="704">
        <f t="shared" si="14"/>
        <v>100</v>
      </c>
      <c r="X30" s="1353"/>
      <c r="Y30" s="3739"/>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5"/>
      <c r="M31" s="2716"/>
      <c r="N31" s="2716"/>
      <c r="O31" s="2716"/>
      <c r="P31" s="3739"/>
      <c r="Q31" s="1341" t="str">
        <f t="shared" si="11"/>
        <v>停车位面积</v>
      </c>
      <c r="R31" s="699" t="s">
        <v>14</v>
      </c>
      <c r="S31" s="700" t="e">
        <f t="shared" si="12"/>
        <v>#N/A</v>
      </c>
      <c r="T31" s="699" t="s">
        <v>14</v>
      </c>
      <c r="U31" s="700" t="e">
        <f t="shared" si="13"/>
        <v>#N/A</v>
      </c>
      <c r="V31" s="699" t="s">
        <v>14</v>
      </c>
      <c r="W31" s="700" t="e">
        <f t="shared" si="14"/>
        <v>#N/A</v>
      </c>
      <c r="X31" s="701"/>
      <c r="Y31" s="3739"/>
      <c r="Z31" s="51"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0"/>
      <c r="M32" s="2714"/>
      <c r="N32" s="2714"/>
      <c r="O32" s="2714"/>
      <c r="P32" s="3739" t="s">
        <v>1696</v>
      </c>
      <c r="Q32" s="1350" t="str">
        <f t="shared" si="11"/>
        <v>车位类型</v>
      </c>
      <c r="R32" s="703" t="s">
        <v>14</v>
      </c>
      <c r="S32" s="704">
        <f t="shared" si="12"/>
        <v>100</v>
      </c>
      <c r="T32" s="703" t="s">
        <v>14</v>
      </c>
      <c r="U32" s="704">
        <f t="shared" si="13"/>
        <v>100</v>
      </c>
      <c r="V32" s="703" t="s">
        <v>14</v>
      </c>
      <c r="W32" s="704">
        <f t="shared" si="14"/>
        <v>100</v>
      </c>
      <c r="X32" s="1353"/>
      <c r="Y32" s="3739"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0"/>
      <c r="M33" s="2714"/>
      <c r="N33" s="2714"/>
      <c r="O33" s="2714"/>
      <c r="P33" s="3739"/>
      <c r="Q33" s="1350" t="str">
        <f t="shared" si="11"/>
        <v>是否直接入户</v>
      </c>
      <c r="R33" s="703" t="s">
        <v>14</v>
      </c>
      <c r="S33" s="704">
        <f t="shared" si="12"/>
        <v>100</v>
      </c>
      <c r="T33" s="703" t="s">
        <v>14</v>
      </c>
      <c r="U33" s="704">
        <f t="shared" si="13"/>
        <v>100</v>
      </c>
      <c r="V33" s="703" t="s">
        <v>14</v>
      </c>
      <c r="W33" s="704">
        <f t="shared" si="14"/>
        <v>100</v>
      </c>
      <c r="X33" s="1353"/>
      <c r="Y33" s="3739"/>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0"/>
      <c r="M34" s="2714"/>
      <c r="N34" s="2714"/>
      <c r="O34" s="2714"/>
      <c r="P34" s="3739"/>
      <c r="Q34" s="1350">
        <f t="shared" si="11"/>
        <v>111</v>
      </c>
      <c r="R34" s="703" t="s">
        <v>14</v>
      </c>
      <c r="S34" s="704">
        <f t="shared" si="12"/>
        <v>100</v>
      </c>
      <c r="T34" s="703" t="s">
        <v>14</v>
      </c>
      <c r="U34" s="704">
        <f t="shared" si="13"/>
        <v>100</v>
      </c>
      <c r="V34" s="703" t="s">
        <v>14</v>
      </c>
      <c r="W34" s="704">
        <f t="shared" si="14"/>
        <v>100</v>
      </c>
      <c r="X34" s="1353"/>
      <c r="Y34" s="3739"/>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9"/>
      <c r="M35" s="2721"/>
      <c r="N35" s="2721"/>
      <c r="O35" s="2721"/>
      <c r="P35" s="3739"/>
      <c r="Q35" s="705">
        <f t="shared" si="11"/>
        <v>111</v>
      </c>
      <c r="R35" s="706" t="s">
        <v>14</v>
      </c>
      <c r="S35" s="707">
        <f t="shared" si="12"/>
        <v>100</v>
      </c>
      <c r="T35" s="706" t="s">
        <v>14</v>
      </c>
      <c r="U35" s="707">
        <f t="shared" si="13"/>
        <v>100</v>
      </c>
      <c r="V35" s="706" t="s">
        <v>14</v>
      </c>
      <c r="W35" s="707">
        <f t="shared" si="14"/>
        <v>100</v>
      </c>
      <c r="X35" s="708"/>
      <c r="Y35" s="3739"/>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0"/>
      <c r="M36" s="2714"/>
      <c r="N36" s="2714"/>
      <c r="O36" s="2714"/>
      <c r="P36" s="3739"/>
      <c r="Q36" s="1350">
        <f t="shared" si="11"/>
        <v>111</v>
      </c>
      <c r="R36" s="703" t="s">
        <v>14</v>
      </c>
      <c r="S36" s="704">
        <f t="shared" si="12"/>
        <v>100</v>
      </c>
      <c r="T36" s="703" t="s">
        <v>14</v>
      </c>
      <c r="U36" s="704">
        <f t="shared" si="13"/>
        <v>100</v>
      </c>
      <c r="V36" s="703" t="s">
        <v>14</v>
      </c>
      <c r="W36" s="704">
        <f t="shared" si="14"/>
        <v>100</v>
      </c>
      <c r="X36" s="1353"/>
      <c r="Y36" s="3739"/>
      <c r="Z36" s="1354">
        <f t="shared" si="15"/>
        <v>111</v>
      </c>
      <c r="AA36" s="1351">
        <f t="shared" si="3"/>
        <v>1</v>
      </c>
      <c r="AB36" s="1351">
        <f t="shared" si="4"/>
        <v>1</v>
      </c>
      <c r="AC36" s="1351">
        <f t="shared" si="5"/>
        <v>1</v>
      </c>
    </row>
    <row r="37" spans="1:29" ht="15">
      <c r="A37" s="429" t="s">
        <v>1844</v>
      </c>
      <c r="B37" s="1971" t="s">
        <v>3357</v>
      </c>
      <c r="C37" s="1152" t="s">
        <v>0</v>
      </c>
      <c r="D37" s="1153"/>
      <c r="E37" s="1154"/>
      <c r="F37" s="1155"/>
      <c r="G37" s="1156"/>
      <c r="H37" s="1157"/>
      <c r="I37" s="1154"/>
      <c r="J37" s="1157"/>
      <c r="K37" s="567"/>
      <c r="L37" s="2722"/>
      <c r="M37" s="2723"/>
      <c r="N37" s="2714"/>
      <c r="O37" s="2723"/>
      <c r="P37" s="3732" t="str">
        <f>A37</f>
        <v>成交单价</v>
      </c>
      <c r="Q37" s="3732"/>
      <c r="R37" s="3733">
        <f>E37</f>
        <v>0</v>
      </c>
      <c r="S37" s="3733"/>
      <c r="T37" s="3733">
        <f>G37</f>
        <v>0</v>
      </c>
      <c r="U37" s="3733"/>
      <c r="V37" s="3733">
        <f>I37</f>
        <v>0</v>
      </c>
      <c r="W37" s="3733"/>
      <c r="X37" s="688"/>
      <c r="Y37" s="710"/>
      <c r="Z37" s="688"/>
      <c r="AA37" s="688"/>
      <c r="AB37" s="688"/>
      <c r="AC37" s="688"/>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2"/>
      <c r="M39" s="2723"/>
      <c r="N39" s="2723"/>
      <c r="O39" s="2723"/>
      <c r="P39" s="3729" t="str">
        <f>A39</f>
        <v>估价对象XX用房的比较价值（楼面单价，元/平方米）</v>
      </c>
      <c r="Q39" s="3730"/>
      <c r="R39" s="3791" t="e">
        <f>IF(F1="售价",ROUND(IF(D38="简单平均",AVERAGE(R38:W38),R38*F38+T38*H38+V38*J38),0),ROUND(IF(D38="简单平均",AVERAGE(R38:V38),R38*F38+T38*H38+V38*J38),1))</f>
        <v>#DIV/0!</v>
      </c>
      <c r="S39" s="3791"/>
      <c r="T39" s="3791"/>
      <c r="U39" s="3791"/>
      <c r="V39" s="3791"/>
      <c r="W39" s="3791"/>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0" customFormat="1" ht="13.5" customHeight="1">
      <c r="A44" s="2726"/>
      <c r="B44" s="2726"/>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0"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6" customFormat="1" ht="15">
      <c r="A48" s="453" t="s">
        <v>1851</v>
      </c>
      <c r="B48" s="454"/>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7"/>
      <c r="Q48" s="2739"/>
      <c r="R48" s="2739"/>
      <c r="S48" s="2739"/>
      <c r="T48" s="2739"/>
      <c r="U48" s="2739"/>
      <c r="V48" s="2739"/>
      <c r="W48" s="2739"/>
      <c r="X48" s="2739"/>
      <c r="Y48" s="2739"/>
      <c r="Z48" s="2739"/>
      <c r="AA48" s="2739"/>
      <c r="AB48" s="2739"/>
      <c r="AC48" s="2739"/>
    </row>
    <row r="49" spans="1:29" s="107" customFormat="1" ht="15">
      <c r="A49" s="457"/>
      <c r="B49" s="458"/>
      <c r="C49" s="1175">
        <v>100</v>
      </c>
      <c r="D49" s="460"/>
      <c r="E49" s="460"/>
      <c r="F49" s="460"/>
      <c r="G49" s="460"/>
      <c r="H49" s="460"/>
      <c r="I49" s="460"/>
      <c r="J49" s="460"/>
      <c r="K49" s="460"/>
      <c r="L49" s="460"/>
      <c r="M49" s="461"/>
      <c r="N49" s="460"/>
      <c r="O49" s="461"/>
      <c r="P49" s="2758"/>
      <c r="Q49" s="2659"/>
      <c r="R49" s="2659"/>
      <c r="S49" s="2659"/>
      <c r="T49" s="2659"/>
      <c r="U49" s="2659"/>
      <c r="V49" s="2659"/>
      <c r="W49" s="2659"/>
      <c r="X49" s="2659"/>
      <c r="Y49" s="2659"/>
      <c r="Z49" s="2659"/>
      <c r="AA49" s="2659"/>
      <c r="AB49" s="2659"/>
      <c r="AC49" s="2659"/>
    </row>
    <row r="50" spans="1:29" s="107" customFormat="1" ht="15.75" thickBot="1">
      <c r="A50" s="463" t="s">
        <v>1716</v>
      </c>
      <c r="B50" s="464"/>
      <c r="C50" s="465"/>
      <c r="D50" s="466"/>
      <c r="E50" s="466"/>
      <c r="F50" s="466"/>
      <c r="G50" s="466"/>
      <c r="H50" s="466"/>
      <c r="I50" s="466"/>
      <c r="J50" s="466"/>
      <c r="K50" s="466"/>
      <c r="L50" s="466"/>
      <c r="M50" s="467"/>
      <c r="N50" s="466"/>
      <c r="O50" s="467"/>
      <c r="P50" s="2758"/>
      <c r="Q50" s="2737"/>
      <c r="R50" s="2659"/>
      <c r="S50" s="2659"/>
      <c r="T50" s="2659"/>
      <c r="U50" s="2659"/>
      <c r="V50" s="2659"/>
      <c r="W50" s="2659"/>
      <c r="X50" s="2659"/>
      <c r="Y50" s="2659"/>
      <c r="Z50" s="2659"/>
      <c r="AA50" s="2659"/>
      <c r="AB50" s="2659"/>
      <c r="AC50" s="2659"/>
    </row>
    <row r="51" spans="1:29" s="107" customFormat="1" ht="15">
      <c r="A51" s="469" t="s">
        <v>1681</v>
      </c>
      <c r="B51" s="458"/>
      <c r="C51" s="470" t="s">
        <v>1776</v>
      </c>
      <c r="D51" s="471"/>
      <c r="E51" s="471"/>
      <c r="F51" s="471"/>
      <c r="G51" s="471"/>
      <c r="H51" s="471"/>
      <c r="I51" s="471"/>
      <c r="J51" s="471"/>
      <c r="K51" s="471"/>
      <c r="L51" s="472"/>
      <c r="M51" s="473"/>
      <c r="N51" s="2750"/>
      <c r="O51" s="2750"/>
      <c r="P51" s="2759"/>
      <c r="Q51" s="2737"/>
      <c r="R51" s="2659"/>
      <c r="S51" s="2659"/>
      <c r="T51" s="2659"/>
      <c r="U51" s="2659"/>
      <c r="V51" s="2659"/>
      <c r="W51" s="2659"/>
      <c r="X51" s="2659"/>
      <c r="Y51" s="2659"/>
      <c r="Z51" s="2659"/>
      <c r="AA51" s="2659"/>
      <c r="AB51" s="2659"/>
      <c r="AC51" s="2659"/>
    </row>
    <row r="52" spans="1:29" s="107" customFormat="1" ht="15.75" thickBot="1">
      <c r="A52" s="469"/>
      <c r="B52" s="458"/>
      <c r="C52" s="586">
        <v>100</v>
      </c>
      <c r="D52" s="460"/>
      <c r="E52" s="460"/>
      <c r="F52" s="460"/>
      <c r="G52" s="460"/>
      <c r="H52" s="460"/>
      <c r="I52" s="460"/>
      <c r="J52" s="460"/>
      <c r="K52" s="460"/>
      <c r="L52" s="460"/>
      <c r="M52" s="462"/>
      <c r="N52" s="2750"/>
      <c r="O52" s="2750"/>
      <c r="P52" s="2758"/>
      <c r="Q52" s="2737"/>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1"/>
      <c r="O53" s="2751"/>
      <c r="P53" s="2760"/>
      <c r="Q53" s="2737"/>
      <c r="R53" s="2723"/>
      <c r="S53" s="2723"/>
      <c r="T53" s="2723"/>
      <c r="U53" s="2723"/>
      <c r="V53" s="2723"/>
      <c r="W53" s="2723"/>
      <c r="X53" s="2723"/>
      <c r="Y53" s="2723"/>
      <c r="Z53" s="2723"/>
      <c r="AA53" s="2723"/>
      <c r="AB53" s="2723"/>
      <c r="AC53" s="2723"/>
    </row>
    <row r="54" spans="1:29" ht="15.75" thickBot="1">
      <c r="A54" s="482"/>
      <c r="B54" s="483"/>
      <c r="C54" s="484">
        <v>100</v>
      </c>
      <c r="D54" s="484"/>
      <c r="E54" s="484"/>
      <c r="F54" s="484"/>
      <c r="G54" s="484"/>
      <c r="H54" s="484"/>
      <c r="I54" s="484"/>
      <c r="J54" s="484"/>
      <c r="K54" s="484"/>
      <c r="L54" s="484"/>
      <c r="M54" s="485"/>
      <c r="N54" s="2752"/>
      <c r="O54" s="2752"/>
      <c r="P54" s="2760"/>
      <c r="Q54" s="2737"/>
      <c r="R54" s="2723"/>
      <c r="S54" s="2723"/>
      <c r="T54" s="2723"/>
      <c r="U54" s="2723"/>
      <c r="V54" s="2723"/>
      <c r="W54" s="2723"/>
      <c r="X54" s="2723"/>
      <c r="Y54" s="2723"/>
      <c r="Z54" s="2723"/>
      <c r="AA54" s="2723"/>
      <c r="AB54" s="2723"/>
      <c r="AC54" s="2723"/>
    </row>
    <row r="55" spans="1:29" ht="27.75" thickTop="1">
      <c r="A55" s="482"/>
      <c r="B55" s="486" t="s">
        <v>1688</v>
      </c>
      <c r="C55" s="531"/>
      <c r="D55" s="531"/>
      <c r="E55" s="531"/>
      <c r="F55" s="531"/>
      <c r="G55" s="531"/>
      <c r="H55" s="531"/>
      <c r="I55" s="531"/>
      <c r="J55" s="531"/>
      <c r="K55" s="532"/>
      <c r="L55" s="533"/>
      <c r="M55" s="534"/>
      <c r="N55" s="2751"/>
      <c r="O55" s="2751"/>
      <c r="P55" s="2760"/>
      <c r="Q55" s="2737"/>
      <c r="R55" s="2723"/>
      <c r="S55" s="2723"/>
      <c r="T55" s="2723"/>
      <c r="U55" s="2723"/>
      <c r="V55" s="2723"/>
      <c r="W55" s="2723"/>
      <c r="X55" s="2723"/>
      <c r="Y55" s="2723"/>
      <c r="Z55" s="2723"/>
      <c r="AA55" s="2723"/>
      <c r="AB55" s="2723"/>
      <c r="AC55" s="2723"/>
    </row>
    <row r="56" spans="1:29" ht="15.75" thickBot="1">
      <c r="A56" s="482"/>
      <c r="B56" s="491"/>
      <c r="C56" s="484"/>
      <c r="D56" s="484"/>
      <c r="E56" s="484"/>
      <c r="F56" s="484"/>
      <c r="G56" s="484"/>
      <c r="H56" s="484"/>
      <c r="I56" s="484"/>
      <c r="J56" s="484"/>
      <c r="K56" s="484"/>
      <c r="L56" s="484"/>
      <c r="M56" s="485"/>
      <c r="N56" s="2752"/>
      <c r="O56" s="2752"/>
      <c r="P56" s="2760"/>
      <c r="Q56" s="2737"/>
      <c r="R56" s="2723"/>
      <c r="S56" s="2723"/>
      <c r="T56" s="2723"/>
      <c r="U56" s="2723"/>
      <c r="V56" s="2723"/>
      <c r="W56" s="2723"/>
      <c r="X56" s="2723"/>
      <c r="Y56" s="2723"/>
      <c r="Z56" s="2723"/>
      <c r="AA56" s="2723"/>
      <c r="AB56" s="2723"/>
      <c r="AC56" s="2723"/>
    </row>
    <row r="57" spans="1:29" ht="15.75" thickTop="1">
      <c r="A57" s="482"/>
      <c r="B57" s="607">
        <f>B11</f>
        <v>111</v>
      </c>
      <c r="C57" s="497"/>
      <c r="D57" s="497"/>
      <c r="E57" s="497"/>
      <c r="F57" s="497"/>
      <c r="G57" s="497"/>
      <c r="H57" s="497"/>
      <c r="I57" s="497"/>
      <c r="J57" s="497"/>
      <c r="K57" s="498"/>
      <c r="L57" s="499"/>
      <c r="M57" s="500"/>
      <c r="N57" s="2751"/>
      <c r="O57" s="2751"/>
      <c r="P57" s="2760"/>
      <c r="Q57" s="2737"/>
      <c r="R57" s="2723"/>
      <c r="S57" s="2723"/>
      <c r="T57" s="2723"/>
      <c r="U57" s="2723"/>
      <c r="V57" s="2723"/>
      <c r="W57" s="2723"/>
      <c r="X57" s="2723"/>
      <c r="Y57" s="2723"/>
      <c r="Z57" s="2723"/>
      <c r="AA57" s="2723"/>
      <c r="AB57" s="2723"/>
      <c r="AC57" s="2723"/>
    </row>
    <row r="58" spans="1:29" ht="15.75" thickBot="1">
      <c r="A58" s="482"/>
      <c r="B58" s="483"/>
      <c r="C58" s="508"/>
      <c r="D58" s="484"/>
      <c r="E58" s="484"/>
      <c r="F58" s="484"/>
      <c r="G58" s="484"/>
      <c r="H58" s="484"/>
      <c r="I58" s="484"/>
      <c r="J58" s="484"/>
      <c r="K58" s="484"/>
      <c r="L58" s="484"/>
      <c r="M58" s="485"/>
      <c r="N58" s="2752"/>
      <c r="O58" s="2752"/>
      <c r="P58" s="2760"/>
      <c r="Q58" s="2737"/>
      <c r="R58" s="2723"/>
      <c r="S58" s="2723"/>
      <c r="T58" s="2723"/>
      <c r="U58" s="2723"/>
      <c r="V58" s="2723"/>
      <c r="W58" s="2723"/>
      <c r="X58" s="2723"/>
      <c r="Y58" s="2723"/>
      <c r="Z58" s="2723"/>
      <c r="AA58" s="2723"/>
      <c r="AB58" s="2723"/>
      <c r="AC58" s="2723"/>
    </row>
    <row r="59" spans="1:29" s="421" customFormat="1" ht="15.75"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5.75"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5.75"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5.75"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1"/>
      <c r="O63" s="2751"/>
      <c r="P63" s="2764"/>
      <c r="Q63" s="2737"/>
      <c r="R63" s="2723"/>
      <c r="S63" s="2723"/>
      <c r="T63" s="2723"/>
      <c r="U63" s="2723"/>
      <c r="V63" s="2723"/>
      <c r="W63" s="2723"/>
      <c r="X63" s="2723"/>
      <c r="Y63" s="2723"/>
      <c r="Z63" s="2723"/>
      <c r="AA63" s="2723"/>
      <c r="AB63" s="2723"/>
      <c r="AC63" s="2723"/>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7"/>
      <c r="R64" s="2723"/>
      <c r="S64" s="2723"/>
      <c r="T64" s="2723"/>
      <c r="U64" s="2723"/>
      <c r="V64" s="2723"/>
      <c r="W64" s="2723"/>
      <c r="X64" s="2723"/>
      <c r="Y64" s="2723"/>
      <c r="Z64" s="2723"/>
      <c r="AA64" s="2723"/>
      <c r="AB64" s="2723"/>
      <c r="AC64" s="2723"/>
    </row>
    <row r="65" spans="1:29" ht="15.75" thickTop="1">
      <c r="A65" s="482"/>
      <c r="B65" s="486" t="s">
        <v>1727</v>
      </c>
      <c r="C65" s="526" t="s">
        <v>1721</v>
      </c>
      <c r="D65" s="526" t="s">
        <v>1722</v>
      </c>
      <c r="E65" s="526" t="s">
        <v>1723</v>
      </c>
      <c r="F65" s="526" t="s">
        <v>1724</v>
      </c>
      <c r="G65" s="526" t="s">
        <v>1725</v>
      </c>
      <c r="H65" s="487"/>
      <c r="I65" s="487"/>
      <c r="J65" s="487"/>
      <c r="K65" s="488"/>
      <c r="L65" s="489"/>
      <c r="M65" s="490"/>
      <c r="N65" s="2751"/>
      <c r="O65" s="2751"/>
      <c r="P65" s="2760"/>
      <c r="Q65" s="2737"/>
      <c r="R65" s="2723"/>
      <c r="S65" s="2723"/>
      <c r="T65" s="2723"/>
      <c r="U65" s="2723"/>
      <c r="V65" s="2723"/>
      <c r="W65" s="2723"/>
      <c r="X65" s="2723"/>
      <c r="Y65" s="2723"/>
      <c r="Z65" s="2723"/>
      <c r="AA65" s="2723"/>
      <c r="AB65" s="2723"/>
      <c r="AC65" s="2723"/>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7"/>
      <c r="R66" s="2723"/>
      <c r="S66" s="2723"/>
      <c r="T66" s="2723"/>
      <c r="U66" s="2723"/>
      <c r="V66" s="2723"/>
      <c r="W66" s="2723"/>
      <c r="X66" s="2723"/>
      <c r="Y66" s="2723"/>
      <c r="Z66" s="2723"/>
      <c r="AA66" s="2723"/>
      <c r="AB66" s="2723"/>
      <c r="AC66" s="2723"/>
    </row>
    <row r="67" spans="1:29" ht="15.75" thickTop="1">
      <c r="A67" s="482"/>
      <c r="B67" s="494" t="s">
        <v>1813</v>
      </c>
      <c r="C67" s="607" t="s">
        <v>1799</v>
      </c>
      <c r="D67" s="607" t="s">
        <v>1800</v>
      </c>
      <c r="E67" s="607" t="s">
        <v>1801</v>
      </c>
      <c r="F67" s="607" t="s">
        <v>1802</v>
      </c>
      <c r="G67" s="607" t="s">
        <v>1803</v>
      </c>
      <c r="H67" s="487"/>
      <c r="I67" s="487"/>
      <c r="J67" s="487"/>
      <c r="K67" s="487"/>
      <c r="L67" s="487"/>
      <c r="M67" s="1127"/>
      <c r="N67" s="2752"/>
      <c r="O67" s="2752"/>
      <c r="P67" s="2760"/>
      <c r="Q67" s="2737"/>
      <c r="R67" s="2723"/>
      <c r="S67" s="2723"/>
      <c r="T67" s="2723"/>
      <c r="U67" s="2723"/>
      <c r="V67" s="2723"/>
      <c r="W67" s="2723"/>
      <c r="X67" s="2723"/>
      <c r="Y67" s="2723"/>
      <c r="Z67" s="2723"/>
      <c r="AA67" s="2723"/>
      <c r="AB67" s="2723"/>
      <c r="AC67" s="2723"/>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7"/>
      <c r="R68" s="2723"/>
      <c r="S68" s="2723"/>
      <c r="T68" s="2723"/>
      <c r="U68" s="2723"/>
      <c r="V68" s="2723"/>
      <c r="W68" s="2723"/>
      <c r="X68" s="2723"/>
      <c r="Y68" s="2723"/>
      <c r="Z68" s="2723"/>
      <c r="AA68" s="2723"/>
      <c r="AB68" s="2723"/>
      <c r="AC68" s="2723"/>
    </row>
    <row r="69" spans="1:29" ht="15.75" thickTop="1">
      <c r="A69" s="482"/>
      <c r="B69" s="486" t="s">
        <v>1733</v>
      </c>
      <c r="C69" s="526" t="s">
        <v>1721</v>
      </c>
      <c r="D69" s="526" t="s">
        <v>1722</v>
      </c>
      <c r="E69" s="526" t="s">
        <v>1723</v>
      </c>
      <c r="F69" s="526" t="s">
        <v>1724</v>
      </c>
      <c r="G69" s="526" t="s">
        <v>1725</v>
      </c>
      <c r="H69" s="487"/>
      <c r="I69" s="487"/>
      <c r="J69" s="487"/>
      <c r="K69" s="488"/>
      <c r="L69" s="489"/>
      <c r="M69" s="490"/>
      <c r="N69" s="2751"/>
      <c r="O69" s="2751"/>
      <c r="P69" s="2760"/>
      <c r="Q69" s="2737"/>
      <c r="R69" s="2723"/>
      <c r="S69" s="2723"/>
      <c r="T69" s="2723"/>
      <c r="U69" s="2723"/>
      <c r="V69" s="2723"/>
      <c r="W69" s="2723"/>
      <c r="X69" s="2723"/>
      <c r="Y69" s="2723"/>
      <c r="Z69" s="2723"/>
      <c r="AA69" s="2723"/>
      <c r="AB69" s="2723"/>
      <c r="AC69" s="2723"/>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7"/>
      <c r="R70" s="2723"/>
      <c r="S70" s="2723"/>
      <c r="T70" s="2723"/>
      <c r="U70" s="2723"/>
      <c r="V70" s="2723"/>
      <c r="W70" s="2723"/>
      <c r="X70" s="2723"/>
      <c r="Y70" s="2723"/>
      <c r="Z70" s="2723"/>
      <c r="AA70" s="2723"/>
      <c r="AB70" s="2723"/>
      <c r="AC70" s="2723"/>
    </row>
    <row r="71" spans="1:29" ht="15.75" thickTop="1">
      <c r="A71" s="482"/>
      <c r="B71" s="486" t="s">
        <v>1852</v>
      </c>
      <c r="C71" s="502"/>
      <c r="D71" s="502"/>
      <c r="E71" s="502"/>
      <c r="F71" s="502"/>
      <c r="G71" s="502"/>
      <c r="H71" s="531"/>
      <c r="I71" s="531"/>
      <c r="J71" s="531"/>
      <c r="K71" s="532"/>
      <c r="L71" s="533"/>
      <c r="M71" s="534"/>
      <c r="N71" s="2751"/>
      <c r="O71" s="2751"/>
      <c r="P71" s="2760"/>
      <c r="Q71" s="2737"/>
      <c r="R71" s="2723"/>
      <c r="S71" s="2723"/>
      <c r="T71" s="2723"/>
      <c r="U71" s="2723"/>
      <c r="V71" s="2723"/>
      <c r="W71" s="2723"/>
      <c r="X71" s="2723"/>
      <c r="Y71" s="2723"/>
      <c r="Z71" s="2723"/>
      <c r="AA71" s="2723"/>
      <c r="AB71" s="2723"/>
      <c r="AC71" s="2723"/>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7"/>
      <c r="R72" s="2723"/>
      <c r="S72" s="2723"/>
      <c r="T72" s="2723"/>
      <c r="U72" s="2723"/>
      <c r="V72" s="2723"/>
      <c r="W72" s="2723"/>
      <c r="X72" s="2723"/>
      <c r="Y72" s="2723"/>
      <c r="Z72" s="2723"/>
      <c r="AA72" s="2723"/>
      <c r="AB72" s="2723"/>
      <c r="AC72" s="2723"/>
    </row>
    <row r="73" spans="1:29" s="107" customFormat="1" ht="15.75" thickTop="1">
      <c r="A73" s="527"/>
      <c r="B73" s="486">
        <f>B23</f>
        <v>111</v>
      </c>
      <c r="C73" s="497"/>
      <c r="D73" s="497"/>
      <c r="E73" s="497"/>
      <c r="F73" s="497"/>
      <c r="G73" s="502"/>
      <c r="H73" s="502"/>
      <c r="I73" s="502"/>
      <c r="J73" s="502"/>
      <c r="K73" s="502"/>
      <c r="L73" s="528"/>
      <c r="M73" s="529"/>
      <c r="N73" s="2750"/>
      <c r="O73" s="2750"/>
      <c r="P73" s="2760"/>
      <c r="Q73" s="2737"/>
      <c r="R73" s="2659"/>
      <c r="S73" s="2659"/>
      <c r="T73" s="2659"/>
      <c r="U73" s="2659"/>
      <c r="V73" s="2659"/>
      <c r="W73" s="2659"/>
      <c r="X73" s="2659"/>
      <c r="Y73" s="2659"/>
      <c r="Z73" s="2659"/>
      <c r="AA73" s="2659"/>
      <c r="AB73" s="2659"/>
      <c r="AC73" s="2659"/>
    </row>
    <row r="74" spans="1:29" s="107" customFormat="1" ht="15.75" thickBot="1">
      <c r="A74" s="527"/>
      <c r="B74" s="491"/>
      <c r="C74" s="508"/>
      <c r="D74" s="484"/>
      <c r="E74" s="484"/>
      <c r="F74" s="484"/>
      <c r="G74" s="484"/>
      <c r="H74" s="484"/>
      <c r="I74" s="484"/>
      <c r="J74" s="484"/>
      <c r="K74" s="484"/>
      <c r="L74" s="484"/>
      <c r="M74" s="485"/>
      <c r="N74" s="2752"/>
      <c r="O74" s="2752"/>
      <c r="P74" s="2760"/>
      <c r="Q74" s="2737"/>
      <c r="R74" s="2659"/>
      <c r="S74" s="2659"/>
      <c r="T74" s="2659"/>
      <c r="U74" s="2659"/>
      <c r="V74" s="2659"/>
      <c r="W74" s="2659"/>
      <c r="X74" s="2659"/>
      <c r="Y74" s="2659"/>
      <c r="Z74" s="2659"/>
      <c r="AA74" s="2659"/>
      <c r="AB74" s="2659"/>
      <c r="AC74" s="2659"/>
    </row>
    <row r="75" spans="1:29" s="107" customFormat="1" ht="15.75" thickTop="1">
      <c r="A75" s="527"/>
      <c r="B75" s="486">
        <f>B24</f>
        <v>111</v>
      </c>
      <c r="C75" s="497"/>
      <c r="D75" s="497"/>
      <c r="E75" s="497"/>
      <c r="F75" s="497"/>
      <c r="G75" s="502"/>
      <c r="H75" s="502"/>
      <c r="I75" s="502"/>
      <c r="J75" s="502"/>
      <c r="K75" s="502"/>
      <c r="L75" s="502"/>
      <c r="M75" s="529"/>
      <c r="N75" s="2750"/>
      <c r="O75" s="2750"/>
      <c r="P75" s="2760"/>
      <c r="Q75" s="2737"/>
      <c r="R75" s="2659"/>
      <c r="S75" s="2659"/>
      <c r="T75" s="2659"/>
      <c r="U75" s="2659"/>
      <c r="V75" s="2659"/>
      <c r="W75" s="2659"/>
      <c r="X75" s="2659"/>
      <c r="Y75" s="2659"/>
      <c r="Z75" s="2659"/>
      <c r="AA75" s="2659"/>
      <c r="AB75" s="2659"/>
      <c r="AC75" s="2659"/>
    </row>
    <row r="76" spans="1:29" s="107" customFormat="1" ht="15.75" thickBot="1">
      <c r="A76" s="527"/>
      <c r="B76" s="491"/>
      <c r="C76" s="508"/>
      <c r="D76" s="484"/>
      <c r="E76" s="484"/>
      <c r="F76" s="484"/>
      <c r="G76" s="484"/>
      <c r="H76" s="484"/>
      <c r="I76" s="484"/>
      <c r="J76" s="484"/>
      <c r="K76" s="484"/>
      <c r="L76" s="484"/>
      <c r="M76" s="485"/>
      <c r="N76" s="2752"/>
      <c r="O76" s="2752"/>
      <c r="P76" s="2760"/>
      <c r="Q76" s="2737"/>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5.75"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7.75" thickTop="1">
      <c r="A79" s="475" t="s">
        <v>1694</v>
      </c>
      <c r="B79" s="476" t="s">
        <v>1853</v>
      </c>
      <c r="C79" s="477" t="str">
        <f>C26</f>
        <v>车库</v>
      </c>
      <c r="D79" s="478"/>
      <c r="E79" s="478"/>
      <c r="F79" s="478"/>
      <c r="G79" s="478"/>
      <c r="H79" s="478"/>
      <c r="I79" s="478"/>
      <c r="J79" s="478"/>
      <c r="K79" s="479"/>
      <c r="L79" s="480"/>
      <c r="M79" s="481"/>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2"/>
      <c r="B81" s="486"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1" customFormat="1" ht="15.75"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1740</v>
      </c>
      <c r="C83" s="502"/>
      <c r="D83" s="502"/>
      <c r="E83" s="531"/>
      <c r="F83" s="531"/>
      <c r="G83" s="531"/>
      <c r="H83" s="531"/>
      <c r="I83" s="531"/>
      <c r="J83" s="531"/>
      <c r="K83" s="532"/>
      <c r="L83" s="533"/>
      <c r="M83" s="534"/>
      <c r="N83" s="2751"/>
      <c r="O83" s="2751"/>
      <c r="P83" s="2760"/>
      <c r="Q83" s="2737"/>
      <c r="R83" s="2723"/>
      <c r="S83" s="2723"/>
      <c r="T83" s="2723"/>
      <c r="U83" s="2723"/>
      <c r="V83" s="2723"/>
      <c r="W83" s="2723"/>
      <c r="X83" s="2723"/>
      <c r="Y83" s="2723"/>
      <c r="Z83" s="2723"/>
      <c r="AA83" s="2723"/>
      <c r="AB83" s="2723"/>
      <c r="AC83" s="2723"/>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7"/>
      <c r="R85" s="2723"/>
      <c r="S85" s="2723"/>
      <c r="T85" s="2723"/>
      <c r="U85" s="2723"/>
      <c r="V85" s="2723"/>
      <c r="W85" s="2723"/>
      <c r="X85" s="2723"/>
      <c r="Y85" s="2723"/>
      <c r="Z85" s="2723"/>
      <c r="AA85" s="2723"/>
      <c r="AB85" s="2723"/>
      <c r="AC85" s="2723"/>
    </row>
    <row r="86" spans="1:29">
      <c r="A86" s="547"/>
      <c r="B86" s="494"/>
      <c r="C86" s="551">
        <v>0.5</v>
      </c>
      <c r="D86" s="551">
        <v>0.6</v>
      </c>
      <c r="E86" s="551">
        <v>0.7</v>
      </c>
      <c r="F86" s="551">
        <v>0.8</v>
      </c>
      <c r="G86" s="551">
        <v>0.9</v>
      </c>
      <c r="H86" s="551">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7"/>
      <c r="B88" s="494" t="s">
        <v>1856</v>
      </c>
      <c r="C88" s="478"/>
      <c r="D88" s="478"/>
      <c r="E88" s="478"/>
      <c r="F88" s="478"/>
      <c r="G88" s="478"/>
      <c r="H88" s="478"/>
      <c r="I88" s="478"/>
      <c r="J88" s="478"/>
      <c r="K88" s="479"/>
      <c r="L88" s="480"/>
      <c r="M88" s="481"/>
      <c r="N88" s="2751"/>
      <c r="O88" s="2751"/>
      <c r="P88" s="2760"/>
      <c r="Q88" s="2737"/>
      <c r="R88" s="2723"/>
      <c r="S88" s="2723"/>
      <c r="T88" s="2723"/>
      <c r="U88" s="2723"/>
      <c r="V88" s="2723"/>
      <c r="W88" s="2723"/>
      <c r="X88" s="2723"/>
      <c r="Y88" s="2723"/>
      <c r="Z88" s="2723"/>
      <c r="AA88" s="2723"/>
      <c r="AB88" s="2723"/>
      <c r="AC88" s="2723"/>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7"/>
      <c r="R89" s="2723"/>
      <c r="S89" s="2723"/>
      <c r="T89" s="2723"/>
      <c r="U89" s="2723"/>
      <c r="V89" s="2723"/>
      <c r="W89" s="2723"/>
      <c r="X89" s="2723"/>
      <c r="Y89" s="2723"/>
      <c r="Z89" s="2723"/>
      <c r="AA89" s="2723"/>
      <c r="AB89" s="2723"/>
      <c r="AC89" s="2723"/>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1858</v>
      </c>
      <c r="C93" s="502"/>
      <c r="D93" s="502"/>
      <c r="E93" s="531"/>
      <c r="F93" s="531"/>
      <c r="G93" s="531"/>
      <c r="H93" s="531"/>
      <c r="I93" s="531"/>
      <c r="J93" s="531"/>
      <c r="K93" s="532"/>
      <c r="L93" s="533"/>
      <c r="M93" s="534"/>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7"/>
      <c r="B95" s="486" t="s">
        <v>1859</v>
      </c>
      <c r="C95" s="478"/>
      <c r="D95" s="478"/>
      <c r="E95" s="478"/>
      <c r="F95" s="478"/>
      <c r="G95" s="478"/>
      <c r="H95" s="478"/>
      <c r="I95" s="478"/>
      <c r="J95" s="478"/>
      <c r="K95" s="479"/>
      <c r="L95" s="480"/>
      <c r="M95" s="481"/>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7"/>
      <c r="R96" s="2723"/>
      <c r="S96" s="2723"/>
      <c r="T96" s="2723"/>
      <c r="U96" s="2723"/>
      <c r="V96" s="2723"/>
      <c r="W96" s="2723"/>
      <c r="X96" s="2723"/>
      <c r="Y96" s="2723"/>
      <c r="Z96" s="2723"/>
      <c r="AA96" s="2723"/>
      <c r="AB96" s="2723"/>
      <c r="AC96" s="2723"/>
    </row>
    <row r="97" spans="1:29" ht="15" thickTop="1">
      <c r="A97" s="547"/>
      <c r="B97" s="583">
        <f>B34</f>
        <v>111</v>
      </c>
      <c r="C97" s="497"/>
      <c r="D97" s="497"/>
      <c r="E97" s="497"/>
      <c r="F97" s="497"/>
      <c r="G97" s="502"/>
      <c r="H97" s="503"/>
      <c r="I97" s="503"/>
      <c r="J97" s="503"/>
      <c r="K97" s="503"/>
      <c r="L97" s="504"/>
      <c r="M97" s="505"/>
      <c r="N97" s="2752"/>
      <c r="O97" s="2752"/>
      <c r="P97" s="2765"/>
      <c r="Q97" s="2766"/>
      <c r="R97" s="2723"/>
      <c r="S97" s="2723"/>
      <c r="T97" s="2723"/>
      <c r="U97" s="2723"/>
      <c r="V97" s="2723"/>
      <c r="W97" s="2723"/>
      <c r="X97" s="2723"/>
      <c r="Y97" s="2723"/>
      <c r="Z97" s="2723"/>
      <c r="AA97" s="2723"/>
      <c r="AB97" s="2723"/>
      <c r="AC97" s="2723"/>
    </row>
    <row r="98" spans="1:29" ht="15.75" thickBot="1">
      <c r="A98" s="482"/>
      <c r="B98" s="491"/>
      <c r="C98" s="508"/>
      <c r="D98" s="484"/>
      <c r="E98" s="484"/>
      <c r="F98" s="484"/>
      <c r="G98" s="508"/>
      <c r="H98" s="510"/>
      <c r="I98" s="510"/>
      <c r="J98" s="510"/>
      <c r="K98" s="510"/>
      <c r="L98" s="510"/>
      <c r="M98" s="511"/>
      <c r="N98" s="2752"/>
      <c r="O98" s="2752"/>
      <c r="P98" s="2760"/>
      <c r="Q98" s="2737"/>
      <c r="R98" s="2723"/>
      <c r="S98" s="2723"/>
      <c r="T98" s="2723"/>
      <c r="U98" s="2723"/>
      <c r="V98" s="2723"/>
      <c r="W98" s="2723"/>
      <c r="X98" s="2723"/>
      <c r="Y98" s="2723"/>
      <c r="Z98" s="2723"/>
      <c r="AA98" s="2723"/>
      <c r="AB98" s="2723"/>
      <c r="AC98" s="2723"/>
    </row>
    <row r="99" spans="1:29" s="421" customFormat="1" ht="15"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5.75"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5" thickTop="1">
      <c r="A101" s="547"/>
      <c r="B101" s="486">
        <f>B36</f>
        <v>111</v>
      </c>
      <c r="C101" s="502"/>
      <c r="D101" s="502"/>
      <c r="E101" s="502"/>
      <c r="F101" s="502"/>
      <c r="G101" s="502"/>
      <c r="H101" s="503"/>
      <c r="I101" s="503"/>
      <c r="J101" s="503"/>
      <c r="K101" s="503"/>
      <c r="L101" s="504"/>
      <c r="M101" s="505"/>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508"/>
      <c r="D102" s="508"/>
      <c r="E102" s="508"/>
      <c r="F102" s="508"/>
      <c r="G102" s="508"/>
      <c r="H102" s="510"/>
      <c r="I102" s="510"/>
      <c r="J102" s="510"/>
      <c r="K102" s="510"/>
      <c r="L102" s="510"/>
      <c r="M102" s="511"/>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47" t="s">
        <v>1770</v>
      </c>
      <c r="D4" s="3748"/>
      <c r="E4" s="3749" t="s">
        <v>1771</v>
      </c>
      <c r="F4" s="3750"/>
      <c r="G4" s="3747" t="s">
        <v>1772</v>
      </c>
      <c r="H4" s="3748"/>
      <c r="I4" s="3747" t="s">
        <v>1773</v>
      </c>
      <c r="J4" s="3748"/>
      <c r="K4" s="558" t="s">
        <v>1774</v>
      </c>
      <c r="L4" s="2713"/>
      <c r="M4" s="2714"/>
      <c r="N4" s="2714"/>
      <c r="O4" s="2714"/>
      <c r="P4" s="3751" t="s">
        <v>1775</v>
      </c>
      <c r="Q4" s="3752"/>
      <c r="R4" s="3757" t="s">
        <v>1771</v>
      </c>
      <c r="S4" s="3758"/>
      <c r="T4" s="3757" t="s">
        <v>1772</v>
      </c>
      <c r="U4" s="3758"/>
      <c r="V4" s="3763" t="s">
        <v>1773</v>
      </c>
      <c r="W4" s="3763"/>
      <c r="X4" s="1353"/>
      <c r="Y4" s="3757" t="s">
        <v>1775</v>
      </c>
      <c r="Z4" s="3758"/>
      <c r="AA4" s="3744" t="s">
        <v>1771</v>
      </c>
      <c r="AB4" s="3745" t="s">
        <v>1772</v>
      </c>
      <c r="AC4" s="3744" t="s">
        <v>1773</v>
      </c>
    </row>
    <row r="5" spans="1:29" ht="15">
      <c r="A5" s="357"/>
      <c r="B5" s="358"/>
      <c r="C5" s="3766" t="s">
        <v>1673</v>
      </c>
      <c r="D5" s="3767"/>
      <c r="E5" s="3773" t="s">
        <v>1674</v>
      </c>
      <c r="F5" s="3774"/>
      <c r="G5" s="3766" t="s">
        <v>1675</v>
      </c>
      <c r="H5" s="3767"/>
      <c r="I5" s="3766" t="s">
        <v>1676</v>
      </c>
      <c r="J5" s="3767"/>
      <c r="K5" s="558"/>
      <c r="L5" s="2713"/>
      <c r="M5" s="2714"/>
      <c r="N5" s="2714"/>
      <c r="O5" s="2714"/>
      <c r="P5" s="3753"/>
      <c r="Q5" s="3754"/>
      <c r="R5" s="3759"/>
      <c r="S5" s="3760"/>
      <c r="T5" s="3759"/>
      <c r="U5" s="3760"/>
      <c r="V5" s="3763"/>
      <c r="W5" s="3763"/>
      <c r="X5" s="1353"/>
      <c r="Y5" s="3759"/>
      <c r="Z5" s="3760"/>
      <c r="AA5" s="3745"/>
      <c r="AB5" s="3745"/>
      <c r="AC5" s="3745"/>
    </row>
    <row r="6" spans="1:29" ht="15.75" thickBot="1">
      <c r="A6" s="359"/>
      <c r="B6" s="360"/>
      <c r="C6" s="3764" t="s">
        <v>1677</v>
      </c>
      <c r="D6" s="3765"/>
      <c r="E6" s="3771" t="s">
        <v>1677</v>
      </c>
      <c r="F6" s="3772"/>
      <c r="G6" s="3764" t="s">
        <v>1677</v>
      </c>
      <c r="H6" s="3765"/>
      <c r="I6" s="3764" t="s">
        <v>1677</v>
      </c>
      <c r="J6" s="3765"/>
      <c r="K6" s="558" t="s">
        <v>1678</v>
      </c>
      <c r="L6" s="2713"/>
      <c r="M6" s="2714"/>
      <c r="N6" s="2714"/>
      <c r="O6" s="2714"/>
      <c r="P6" s="3755"/>
      <c r="Q6" s="3756"/>
      <c r="R6" s="3759"/>
      <c r="S6" s="3760"/>
      <c r="T6" s="3761"/>
      <c r="U6" s="3762"/>
      <c r="V6" s="3763"/>
      <c r="W6" s="3763"/>
      <c r="X6" s="1353"/>
      <c r="Y6" s="3761"/>
      <c r="Z6" s="3762"/>
      <c r="AA6" s="3746"/>
      <c r="AB6" s="3746"/>
      <c r="AC6" s="3746"/>
    </row>
    <row r="7" spans="1:29" s="107" customFormat="1" ht="15.75" thickBot="1">
      <c r="A7" s="361" t="s">
        <v>1679</v>
      </c>
      <c r="B7" s="362"/>
      <c r="C7" s="363">
        <f>'数据-取费表'!B2</f>
        <v>45062</v>
      </c>
      <c r="D7" s="364">
        <v>100</v>
      </c>
      <c r="E7" s="365"/>
      <c r="F7" s="366">
        <f>SUMIF(46:46,YEAR(E7)&amp;"-"&amp;MONTH(E7),47:47)</f>
        <v>0</v>
      </c>
      <c r="G7" s="1972"/>
      <c r="H7" s="364">
        <f>SUMIF(46:46,YEAR(G7)&amp;"-"&amp;MONTH(G7),47:47)</f>
        <v>0</v>
      </c>
      <c r="I7" s="365"/>
      <c r="J7" s="364">
        <f>SUMIF(46:46,YEAR(I7)&amp;"-"&amp;MONTH(I7),47:47)</f>
        <v>0</v>
      </c>
      <c r="K7" s="559"/>
      <c r="L7" s="2715"/>
      <c r="M7" s="2716"/>
      <c r="N7" s="2716"/>
      <c r="O7" s="2716"/>
      <c r="P7" s="3768" t="s">
        <v>1680</v>
      </c>
      <c r="Q7" s="3770"/>
      <c r="R7" s="699" t="s">
        <v>14</v>
      </c>
      <c r="S7" s="700">
        <f t="shared" ref="S7:S14" si="0">F7</f>
        <v>0</v>
      </c>
      <c r="T7" s="699" t="s">
        <v>14</v>
      </c>
      <c r="U7" s="700">
        <f t="shared" ref="U7:U14" si="1">H7</f>
        <v>0</v>
      </c>
      <c r="V7" s="699" t="s">
        <v>14</v>
      </c>
      <c r="W7" s="700">
        <f t="shared" ref="W7:W14" si="2">J7</f>
        <v>0</v>
      </c>
      <c r="X7" s="701"/>
      <c r="Y7" s="3768" t="s">
        <v>1680</v>
      </c>
      <c r="Z7" s="376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5"/>
      <c r="M8" s="2716"/>
      <c r="N8" s="2716"/>
      <c r="O8" s="2716"/>
      <c r="P8" s="3768" t="s">
        <v>1683</v>
      </c>
      <c r="Q8" s="3769"/>
      <c r="R8" s="699" t="s">
        <v>14</v>
      </c>
      <c r="S8" s="700">
        <f t="shared" si="0"/>
        <v>100</v>
      </c>
      <c r="T8" s="699" t="s">
        <v>14</v>
      </c>
      <c r="U8" s="700">
        <f t="shared" si="1"/>
        <v>100</v>
      </c>
      <c r="V8" s="699" t="s">
        <v>14</v>
      </c>
      <c r="W8" s="700">
        <f t="shared" si="2"/>
        <v>100</v>
      </c>
      <c r="X8" s="701"/>
      <c r="Y8" s="3768" t="s">
        <v>1683</v>
      </c>
      <c r="Z8" s="3769"/>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5"/>
      <c r="M9" s="2716"/>
      <c r="N9" s="2716"/>
      <c r="O9" s="2770"/>
      <c r="P9" s="3732" t="s">
        <v>1686</v>
      </c>
      <c r="Q9" s="1341" t="str">
        <f t="shared" ref="Q9:Q14" si="6">B9</f>
        <v>用途</v>
      </c>
      <c r="R9" s="699" t="s">
        <v>14</v>
      </c>
      <c r="S9" s="700">
        <f t="shared" si="0"/>
        <v>100</v>
      </c>
      <c r="T9" s="699" t="s">
        <v>14</v>
      </c>
      <c r="U9" s="700">
        <f t="shared" si="1"/>
        <v>100</v>
      </c>
      <c r="V9" s="699" t="s">
        <v>14</v>
      </c>
      <c r="W9" s="700">
        <f t="shared" si="2"/>
        <v>100</v>
      </c>
      <c r="X9" s="701"/>
      <c r="Y9" s="3626" t="s">
        <v>1687</v>
      </c>
      <c r="Z9" s="51" t="str">
        <f t="shared" ref="Z9:Z14" si="7">Q9</f>
        <v>用途</v>
      </c>
      <c r="AA9" s="702">
        <f t="shared" si="3"/>
        <v>1</v>
      </c>
      <c r="AB9" s="702">
        <f t="shared" si="4"/>
        <v>1</v>
      </c>
      <c r="AC9" s="702">
        <f t="shared" si="5"/>
        <v>1</v>
      </c>
    </row>
    <row r="10" spans="1:29" s="377" customFormat="1" ht="27">
      <c r="A10" s="373"/>
      <c r="B10" s="374" t="s">
        <v>1688</v>
      </c>
      <c r="C10" s="3432"/>
      <c r="D10" s="126">
        <v>100</v>
      </c>
      <c r="E10" s="3432"/>
      <c r="F10" s="375">
        <f>SUMIF(53:53,E10,54:54)-SUMIF(53:53,C10,54:54)+100</f>
        <v>100</v>
      </c>
      <c r="G10" s="3432"/>
      <c r="H10" s="126">
        <f>SUMIF(53:53,G10,54:54)-SUMIF(53:53,C10,54:54)+100</f>
        <v>100</v>
      </c>
      <c r="I10" s="3432"/>
      <c r="J10" s="126">
        <f>SUMIF(53:53,I10,54:54)-SUMIF(53:53,C10,54:54)+100</f>
        <v>100</v>
      </c>
      <c r="K10" s="559"/>
      <c r="L10" s="2717"/>
      <c r="M10" s="2718"/>
      <c r="N10" s="2718"/>
      <c r="O10" s="2771"/>
      <c r="P10" s="3732"/>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9"/>
      <c r="M11" s="2714"/>
      <c r="N11" s="2714"/>
      <c r="O11" s="2772"/>
      <c r="P11" s="3732"/>
      <c r="Q11" s="1341">
        <f t="shared" si="6"/>
        <v>111</v>
      </c>
      <c r="R11" s="699" t="s">
        <v>14</v>
      </c>
      <c r="S11" s="700">
        <f t="shared" si="0"/>
        <v>100</v>
      </c>
      <c r="T11" s="699" t="s">
        <v>14</v>
      </c>
      <c r="U11" s="700">
        <f t="shared" si="1"/>
        <v>100</v>
      </c>
      <c r="V11" s="699" t="s">
        <v>14</v>
      </c>
      <c r="W11" s="700">
        <f t="shared" si="2"/>
        <v>100</v>
      </c>
      <c r="X11" s="701"/>
      <c r="Y11" s="3626"/>
      <c r="Z11" s="51">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5"/>
      <c r="M12" s="2716"/>
      <c r="N12" s="2716"/>
      <c r="O12" s="2770"/>
      <c r="P12" s="3732"/>
      <c r="Q12" s="1341">
        <f t="shared" si="6"/>
        <v>111</v>
      </c>
      <c r="R12" s="699" t="s">
        <v>14</v>
      </c>
      <c r="S12" s="700">
        <f t="shared" si="0"/>
        <v>100</v>
      </c>
      <c r="T12" s="699" t="s">
        <v>14</v>
      </c>
      <c r="U12" s="700">
        <f t="shared" si="1"/>
        <v>100</v>
      </c>
      <c r="V12" s="699" t="s">
        <v>14</v>
      </c>
      <c r="W12" s="700">
        <f t="shared" si="2"/>
        <v>100</v>
      </c>
      <c r="X12" s="701"/>
      <c r="Y12" s="3626"/>
      <c r="Z12" s="51">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20"/>
      <c r="M13" s="2714"/>
      <c r="N13" s="2714"/>
      <c r="O13" s="2772"/>
      <c r="P13" s="3732"/>
      <c r="Q13" s="1341">
        <f t="shared" si="6"/>
        <v>111</v>
      </c>
      <c r="R13" s="699" t="s">
        <v>14</v>
      </c>
      <c r="S13" s="700">
        <f t="shared" si="0"/>
        <v>100</v>
      </c>
      <c r="T13" s="699" t="s">
        <v>14</v>
      </c>
      <c r="U13" s="700">
        <f t="shared" si="1"/>
        <v>100</v>
      </c>
      <c r="V13" s="699" t="s">
        <v>14</v>
      </c>
      <c r="W13" s="700">
        <f t="shared" si="2"/>
        <v>100</v>
      </c>
      <c r="X13" s="701"/>
      <c r="Y13" s="3626"/>
      <c r="Z13" s="51">
        <f t="shared" si="7"/>
        <v>111</v>
      </c>
      <c r="AA13" s="702">
        <f t="shared" si="3"/>
        <v>1</v>
      </c>
      <c r="AB13" s="702">
        <f t="shared" si="4"/>
        <v>1</v>
      </c>
      <c r="AC13" s="702">
        <f t="shared" si="5"/>
        <v>1</v>
      </c>
    </row>
    <row r="14" spans="1:29" ht="85.5">
      <c r="A14" s="390" t="s">
        <v>1690</v>
      </c>
      <c r="B14" s="60"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0"/>
      <c r="M14" s="2714"/>
      <c r="N14" s="2714"/>
      <c r="O14" s="2772"/>
      <c r="P14" s="3734" t="s">
        <v>1691</v>
      </c>
      <c r="Q14" s="1350" t="str">
        <f t="shared" si="6"/>
        <v>交通便捷度</v>
      </c>
      <c r="R14" s="703" t="s">
        <v>14</v>
      </c>
      <c r="S14" s="704">
        <f t="shared" si="0"/>
        <v>100</v>
      </c>
      <c r="T14" s="703" t="s">
        <v>14</v>
      </c>
      <c r="U14" s="704">
        <f t="shared" si="1"/>
        <v>100</v>
      </c>
      <c r="V14" s="703" t="s">
        <v>14</v>
      </c>
      <c r="W14" s="704">
        <f t="shared" si="2"/>
        <v>100</v>
      </c>
      <c r="X14" s="1353"/>
      <c r="Y14" s="3734"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20"/>
      <c r="M15" s="2714"/>
      <c r="N15" s="2714"/>
      <c r="O15" s="2772"/>
      <c r="P15" s="3735"/>
      <c r="Q15" s="1350"/>
      <c r="R15" s="703"/>
      <c r="S15" s="704"/>
      <c r="T15" s="703"/>
      <c r="U15" s="704"/>
      <c r="V15" s="703"/>
      <c r="W15" s="704"/>
      <c r="X15" s="1353"/>
      <c r="Y15" s="3735"/>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0"/>
      <c r="M16" s="2714"/>
      <c r="N16" s="2714"/>
      <c r="O16" s="2772"/>
      <c r="P16" s="3735"/>
      <c r="Q16" s="1350" t="str">
        <f>B16</f>
        <v>公共配套设施</v>
      </c>
      <c r="R16" s="703" t="s">
        <v>14</v>
      </c>
      <c r="S16" s="704">
        <f>F16</f>
        <v>100</v>
      </c>
      <c r="T16" s="703" t="s">
        <v>14</v>
      </c>
      <c r="U16" s="704">
        <f>H16</f>
        <v>100</v>
      </c>
      <c r="V16" s="703" t="s">
        <v>14</v>
      </c>
      <c r="W16" s="704">
        <f>J16</f>
        <v>100</v>
      </c>
      <c r="X16" s="1353"/>
      <c r="Y16" s="3735"/>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20"/>
      <c r="M17" s="2714"/>
      <c r="N17" s="2714"/>
      <c r="O17" s="2772"/>
      <c r="P17" s="3735"/>
      <c r="Q17" s="1350"/>
      <c r="R17" s="703"/>
      <c r="S17" s="704"/>
      <c r="T17" s="703"/>
      <c r="U17" s="704"/>
      <c r="V17" s="703"/>
      <c r="W17" s="704"/>
      <c r="X17" s="1353"/>
      <c r="Y17" s="3735"/>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0"/>
      <c r="M18" s="2714"/>
      <c r="N18" s="2714"/>
      <c r="O18" s="2772"/>
      <c r="P18" s="3735"/>
      <c r="Q18" s="1350" t="str">
        <f>B18</f>
        <v>基础设施水平</v>
      </c>
      <c r="R18" s="703" t="s">
        <v>14</v>
      </c>
      <c r="S18" s="704">
        <f>F18</f>
        <v>100</v>
      </c>
      <c r="T18" s="703" t="s">
        <v>14</v>
      </c>
      <c r="U18" s="704">
        <f>H18</f>
        <v>100</v>
      </c>
      <c r="V18" s="703" t="s">
        <v>14</v>
      </c>
      <c r="W18" s="704">
        <f>J18</f>
        <v>100</v>
      </c>
      <c r="X18" s="1353"/>
      <c r="Y18" s="3735"/>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20"/>
      <c r="M19" s="2714"/>
      <c r="N19" s="2714"/>
      <c r="O19" s="2772"/>
      <c r="P19" s="3735"/>
      <c r="Q19" s="1350"/>
      <c r="R19" s="703"/>
      <c r="S19" s="704"/>
      <c r="T19" s="703"/>
      <c r="U19" s="704"/>
      <c r="V19" s="703"/>
      <c r="W19" s="704"/>
      <c r="X19" s="1353"/>
      <c r="Y19" s="3735"/>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0"/>
      <c r="M20" s="2714"/>
      <c r="N20" s="2714"/>
      <c r="O20" s="2772"/>
      <c r="P20" s="3735"/>
      <c r="Q20" s="1350" t="str">
        <f>B20</f>
        <v>自然及人文环境</v>
      </c>
      <c r="R20" s="703" t="s">
        <v>14</v>
      </c>
      <c r="S20" s="704">
        <f>F20</f>
        <v>100</v>
      </c>
      <c r="T20" s="703" t="s">
        <v>14</v>
      </c>
      <c r="U20" s="704">
        <f>H20</f>
        <v>100</v>
      </c>
      <c r="V20" s="703" t="s">
        <v>14</v>
      </c>
      <c r="W20" s="704">
        <f>J20</f>
        <v>100</v>
      </c>
      <c r="X20" s="1353"/>
      <c r="Y20" s="3735"/>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20"/>
      <c r="M21" s="2714"/>
      <c r="N21" s="2714"/>
      <c r="O21" s="2772"/>
      <c r="P21" s="3735"/>
      <c r="Q21" s="1350"/>
      <c r="R21" s="703"/>
      <c r="S21" s="704"/>
      <c r="T21" s="703"/>
      <c r="U21" s="704"/>
      <c r="V21" s="703"/>
      <c r="W21" s="704"/>
      <c r="X21" s="1353"/>
      <c r="Y21" s="3735"/>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0"/>
      <c r="M22" s="2714"/>
      <c r="N22" s="2714"/>
      <c r="O22" s="2772"/>
      <c r="P22" s="3735"/>
      <c r="Q22" s="1350" t="str">
        <f>B22</f>
        <v>楼层</v>
      </c>
      <c r="R22" s="703" t="s">
        <v>14</v>
      </c>
      <c r="S22" s="704">
        <f>F22</f>
        <v>100</v>
      </c>
      <c r="T22" s="703" t="s">
        <v>14</v>
      </c>
      <c r="U22" s="704">
        <f>H22</f>
        <v>100</v>
      </c>
      <c r="V22" s="703" t="s">
        <v>14</v>
      </c>
      <c r="W22" s="704">
        <f>J22</f>
        <v>100</v>
      </c>
      <c r="X22" s="1353"/>
      <c r="Y22" s="3735"/>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20"/>
      <c r="M23" s="2714"/>
      <c r="N23" s="2714"/>
      <c r="O23" s="2772"/>
      <c r="P23" s="3735"/>
      <c r="Q23" s="1350">
        <f>B23</f>
        <v>111</v>
      </c>
      <c r="R23" s="703" t="s">
        <v>14</v>
      </c>
      <c r="S23" s="704">
        <f>F23</f>
        <v>100</v>
      </c>
      <c r="T23" s="703" t="s">
        <v>14</v>
      </c>
      <c r="U23" s="704">
        <f>H23</f>
        <v>100</v>
      </c>
      <c r="V23" s="703" t="s">
        <v>14</v>
      </c>
      <c r="W23" s="704">
        <f>J23</f>
        <v>100</v>
      </c>
      <c r="X23" s="1353"/>
      <c r="Y23" s="3735"/>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20"/>
      <c r="M24" s="2714"/>
      <c r="N24" s="2714"/>
      <c r="O24" s="2772"/>
      <c r="P24" s="3735"/>
      <c r="Q24" s="1350">
        <f t="shared" ref="Q24:Q34" si="11">B24</f>
        <v>111</v>
      </c>
      <c r="R24" s="703" t="s">
        <v>14</v>
      </c>
      <c r="S24" s="704">
        <f>F24</f>
        <v>100</v>
      </c>
      <c r="T24" s="703" t="s">
        <v>14</v>
      </c>
      <c r="U24" s="704">
        <f>H24</f>
        <v>100</v>
      </c>
      <c r="V24" s="703" t="s">
        <v>14</v>
      </c>
      <c r="W24" s="704">
        <f>J24</f>
        <v>100</v>
      </c>
      <c r="X24" s="1353"/>
      <c r="Y24" s="3735"/>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5"/>
      <c r="M25" s="2716"/>
      <c r="N25" s="2716"/>
      <c r="O25" s="2770"/>
      <c r="P25" s="3735"/>
      <c r="Q25" s="1341">
        <f t="shared" si="11"/>
        <v>111</v>
      </c>
      <c r="R25" s="699" t="s">
        <v>14</v>
      </c>
      <c r="S25" s="700">
        <f>F25</f>
        <v>100</v>
      </c>
      <c r="T25" s="699" t="s">
        <v>14</v>
      </c>
      <c r="U25" s="700">
        <f>H25</f>
        <v>100</v>
      </c>
      <c r="V25" s="699" t="s">
        <v>14</v>
      </c>
      <c r="W25" s="700">
        <f>J25</f>
        <v>100</v>
      </c>
      <c r="X25" s="701"/>
      <c r="Y25" s="3735"/>
      <c r="Z25" s="51">
        <f>Q25</f>
        <v>111</v>
      </c>
      <c r="AA25" s="1351">
        <f>D25/F25</f>
        <v>1</v>
      </c>
      <c r="AB25" s="1351">
        <f>D25/H25</f>
        <v>1</v>
      </c>
      <c r="AC25" s="1351">
        <f>D25/J25</f>
        <v>1</v>
      </c>
    </row>
    <row r="26" spans="1:29" ht="29.25">
      <c r="A26" s="416" t="s">
        <v>1694</v>
      </c>
      <c r="B26" s="62"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20"/>
      <c r="M26" s="2714"/>
      <c r="N26" s="2714"/>
      <c r="O26" s="2772"/>
      <c r="P26" s="379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9"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9"/>
      <c r="M27" s="2721"/>
      <c r="N27" s="2721"/>
      <c r="O27" s="2773"/>
      <c r="P27" s="3739"/>
      <c r="Q27" s="705" t="str">
        <f t="shared" si="11"/>
        <v>成新率</v>
      </c>
      <c r="R27" s="706" t="s">
        <v>14</v>
      </c>
      <c r="S27" s="707" t="e">
        <f t="shared" si="12"/>
        <v>#N/A</v>
      </c>
      <c r="T27" s="706" t="s">
        <v>14</v>
      </c>
      <c r="U27" s="707" t="e">
        <f t="shared" si="13"/>
        <v>#N/A</v>
      </c>
      <c r="V27" s="706" t="s">
        <v>14</v>
      </c>
      <c r="W27" s="707" t="e">
        <f t="shared" si="14"/>
        <v>#N/A</v>
      </c>
      <c r="X27" s="708"/>
      <c r="Y27" s="3739"/>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0"/>
      <c r="M28" s="2714"/>
      <c r="N28" s="2714"/>
      <c r="O28" s="2772"/>
      <c r="P28" s="3739"/>
      <c r="Q28" s="1350" t="str">
        <f t="shared" si="11"/>
        <v>物业等级</v>
      </c>
      <c r="R28" s="703" t="s">
        <v>14</v>
      </c>
      <c r="S28" s="704">
        <f t="shared" si="12"/>
        <v>100</v>
      </c>
      <c r="T28" s="703" t="s">
        <v>14</v>
      </c>
      <c r="U28" s="704">
        <f t="shared" si="13"/>
        <v>100</v>
      </c>
      <c r="V28" s="703" t="s">
        <v>14</v>
      </c>
      <c r="W28" s="704">
        <f t="shared" si="14"/>
        <v>100</v>
      </c>
      <c r="X28" s="1353"/>
      <c r="Y28" s="3739"/>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0"/>
      <c r="M29" s="2714"/>
      <c r="N29" s="2714"/>
      <c r="O29" s="2772"/>
      <c r="P29" s="3739"/>
      <c r="Q29" s="1350" t="str">
        <f t="shared" si="11"/>
        <v>有无电梯</v>
      </c>
      <c r="R29" s="703" t="s">
        <v>14</v>
      </c>
      <c r="S29" s="704">
        <f t="shared" si="12"/>
        <v>100</v>
      </c>
      <c r="T29" s="703" t="s">
        <v>14</v>
      </c>
      <c r="U29" s="704">
        <f t="shared" si="13"/>
        <v>100</v>
      </c>
      <c r="V29" s="703" t="s">
        <v>14</v>
      </c>
      <c r="W29" s="704">
        <f t="shared" si="14"/>
        <v>100</v>
      </c>
      <c r="X29" s="1353"/>
      <c r="Y29" s="3739"/>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0"/>
      <c r="M30" s="2714"/>
      <c r="N30" s="2714"/>
      <c r="O30" s="2772"/>
      <c r="P30" s="3739"/>
      <c r="Q30" s="1350" t="str">
        <f t="shared" si="11"/>
        <v>建筑面积</v>
      </c>
      <c r="R30" s="703" t="s">
        <v>14</v>
      </c>
      <c r="S30" s="704" t="e">
        <f t="shared" si="12"/>
        <v>#N/A</v>
      </c>
      <c r="T30" s="703" t="s">
        <v>14</v>
      </c>
      <c r="U30" s="704" t="e">
        <f t="shared" si="13"/>
        <v>#N/A</v>
      </c>
      <c r="V30" s="703" t="s">
        <v>14</v>
      </c>
      <c r="W30" s="704" t="e">
        <f t="shared" si="14"/>
        <v>#N/A</v>
      </c>
      <c r="X30" s="1353"/>
      <c r="Y30" s="3739"/>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5"/>
      <c r="M31" s="2716"/>
      <c r="N31" s="2716"/>
      <c r="O31" s="2770"/>
      <c r="P31" s="3739"/>
      <c r="Q31" s="1341" t="str">
        <f t="shared" si="11"/>
        <v>是否封闭</v>
      </c>
      <c r="R31" s="699" t="s">
        <v>14</v>
      </c>
      <c r="S31" s="700">
        <f t="shared" si="12"/>
        <v>100</v>
      </c>
      <c r="T31" s="699" t="s">
        <v>14</v>
      </c>
      <c r="U31" s="700">
        <f t="shared" si="13"/>
        <v>100</v>
      </c>
      <c r="V31" s="699" t="s">
        <v>14</v>
      </c>
      <c r="W31" s="700">
        <f t="shared" si="14"/>
        <v>100</v>
      </c>
      <c r="X31" s="701"/>
      <c r="Y31" s="3739"/>
      <c r="Z31" s="51"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20"/>
      <c r="M32" s="2714"/>
      <c r="N32" s="2714"/>
      <c r="O32" s="2772"/>
      <c r="P32" s="3739" t="s">
        <v>1696</v>
      </c>
      <c r="Q32" s="1350">
        <f t="shared" si="11"/>
        <v>111</v>
      </c>
      <c r="R32" s="703" t="s">
        <v>14</v>
      </c>
      <c r="S32" s="704">
        <f t="shared" si="12"/>
        <v>100</v>
      </c>
      <c r="T32" s="703" t="s">
        <v>14</v>
      </c>
      <c r="U32" s="704">
        <f t="shared" si="13"/>
        <v>100</v>
      </c>
      <c r="V32" s="703" t="s">
        <v>14</v>
      </c>
      <c r="W32" s="704">
        <f t="shared" si="14"/>
        <v>100</v>
      </c>
      <c r="X32" s="1353"/>
      <c r="Y32" s="3739"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20"/>
      <c r="M33" s="2714"/>
      <c r="N33" s="2714"/>
      <c r="O33" s="2772"/>
      <c r="P33" s="3739"/>
      <c r="Q33" s="1350">
        <f t="shared" si="11"/>
        <v>111</v>
      </c>
      <c r="R33" s="703" t="s">
        <v>14</v>
      </c>
      <c r="S33" s="704">
        <f t="shared" si="12"/>
        <v>100</v>
      </c>
      <c r="T33" s="703" t="s">
        <v>14</v>
      </c>
      <c r="U33" s="704">
        <f t="shared" si="13"/>
        <v>100</v>
      </c>
      <c r="V33" s="703" t="s">
        <v>14</v>
      </c>
      <c r="W33" s="704">
        <f t="shared" si="14"/>
        <v>100</v>
      </c>
      <c r="X33" s="1353"/>
      <c r="Y33" s="3739"/>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20"/>
      <c r="M34" s="2714"/>
      <c r="N34" s="2714"/>
      <c r="O34" s="2772"/>
      <c r="P34" s="3739"/>
      <c r="Q34" s="1350">
        <f t="shared" si="11"/>
        <v>111</v>
      </c>
      <c r="R34" s="703" t="s">
        <v>14</v>
      </c>
      <c r="S34" s="704">
        <f t="shared" si="12"/>
        <v>100</v>
      </c>
      <c r="T34" s="703" t="s">
        <v>14</v>
      </c>
      <c r="U34" s="704">
        <f t="shared" si="13"/>
        <v>100</v>
      </c>
      <c r="V34" s="703" t="s">
        <v>14</v>
      </c>
      <c r="W34" s="704">
        <f t="shared" si="14"/>
        <v>100</v>
      </c>
      <c r="X34" s="1353"/>
      <c r="Y34" s="3739"/>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22"/>
      <c r="M35" s="2723"/>
      <c r="N35" s="2714"/>
      <c r="O35" s="2723"/>
      <c r="P35" s="3732" t="str">
        <f>A35</f>
        <v>成交单价（元/平方米）</v>
      </c>
      <c r="Q35" s="3732"/>
      <c r="R35" s="3733">
        <f>E35</f>
        <v>0</v>
      </c>
      <c r="S35" s="3733"/>
      <c r="T35" s="3733">
        <f>G35</f>
        <v>0</v>
      </c>
      <c r="U35" s="3733"/>
      <c r="V35" s="3733">
        <f>I35</f>
        <v>0</v>
      </c>
      <c r="W35" s="3733"/>
      <c r="X35" s="688"/>
      <c r="Y35" s="710"/>
      <c r="Z35" s="688"/>
      <c r="AA35" s="688"/>
      <c r="AB35" s="688"/>
      <c r="AC35" s="688"/>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2"/>
      <c r="M37" s="2723"/>
      <c r="N37" s="2723"/>
      <c r="O37" s="2723"/>
      <c r="P37" s="3729" t="str">
        <f>A37</f>
        <v>估价对象XX用房的比较价值（楼面单价，元/平方米）</v>
      </c>
      <c r="Q37" s="3730"/>
      <c r="R37" s="3791" t="e">
        <f>IF(F1="售价",ROUND(IF(D36="简单平均",AVERAGE(R36:W36),R36*F36+T36*H36+V36*J36),0),ROUND(IF(D36="简单平均",AVERAGE(R36:V36),R36*F36+T36*H36+V36*J36),1))</f>
        <v>#DIV/0!</v>
      </c>
      <c r="S37" s="3791"/>
      <c r="T37" s="3791"/>
      <c r="U37" s="3791"/>
      <c r="V37" s="3791"/>
      <c r="W37" s="3791"/>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0" customFormat="1" ht="13.5" customHeight="1">
      <c r="A42" s="2726"/>
      <c r="B42" s="2726"/>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0"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6" customFormat="1" ht="15">
      <c r="A46" s="453" t="s">
        <v>1679</v>
      </c>
      <c r="B46" s="454"/>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4"/>
      <c r="Q46" s="2739"/>
      <c r="R46" s="2739"/>
      <c r="S46" s="2739"/>
      <c r="T46" s="2739"/>
      <c r="U46" s="2739"/>
      <c r="V46" s="2739"/>
      <c r="W46" s="2739"/>
      <c r="X46" s="2739"/>
      <c r="Y46" s="2739"/>
      <c r="Z46" s="2739"/>
      <c r="AA46" s="2739"/>
      <c r="AB46" s="2739"/>
      <c r="AC46" s="2739"/>
      <c r="AD46" s="2739"/>
    </row>
    <row r="47" spans="1:30" s="107" customFormat="1" ht="15">
      <c r="A47" s="457"/>
      <c r="B47" s="458"/>
      <c r="C47" s="1181">
        <v>100</v>
      </c>
      <c r="D47" s="460"/>
      <c r="E47" s="460"/>
      <c r="F47" s="460"/>
      <c r="G47" s="460"/>
      <c r="H47" s="460"/>
      <c r="I47" s="460"/>
      <c r="J47" s="460"/>
      <c r="K47" s="460"/>
      <c r="L47" s="460"/>
      <c r="M47" s="461"/>
      <c r="N47" s="460"/>
      <c r="O47" s="462"/>
      <c r="P47" s="2737"/>
      <c r="Q47" s="2659"/>
      <c r="R47" s="2659"/>
      <c r="S47" s="2659"/>
      <c r="T47" s="2659"/>
      <c r="U47" s="2659"/>
      <c r="V47" s="2659"/>
      <c r="W47" s="2659"/>
      <c r="X47" s="2659"/>
      <c r="Y47" s="2659"/>
      <c r="Z47" s="2659"/>
      <c r="AA47" s="2659"/>
      <c r="AB47" s="2659"/>
      <c r="AC47" s="2659"/>
      <c r="AD47" s="2659"/>
    </row>
    <row r="48" spans="1:30" s="107" customFormat="1" ht="15.75" thickBot="1">
      <c r="A48" s="463" t="s">
        <v>1716</v>
      </c>
      <c r="B48" s="464"/>
      <c r="C48" s="465"/>
      <c r="D48" s="466"/>
      <c r="E48" s="466"/>
      <c r="F48" s="466"/>
      <c r="G48" s="466"/>
      <c r="H48" s="466"/>
      <c r="I48" s="466"/>
      <c r="J48" s="466"/>
      <c r="K48" s="466"/>
      <c r="L48" s="466"/>
      <c r="M48" s="467"/>
      <c r="N48" s="466"/>
      <c r="O48" s="468"/>
      <c r="P48" s="2737"/>
      <c r="Q48" s="2737"/>
      <c r="R48" s="2659"/>
      <c r="S48" s="2659"/>
      <c r="T48" s="2659"/>
      <c r="U48" s="2659"/>
      <c r="V48" s="2659"/>
      <c r="W48" s="2659"/>
      <c r="X48" s="2659"/>
      <c r="Y48" s="2659"/>
      <c r="Z48" s="2659"/>
      <c r="AA48" s="2659"/>
      <c r="AB48" s="2659"/>
      <c r="AC48" s="2659"/>
      <c r="AD48" s="2659"/>
    </row>
    <row r="49" spans="1:30" s="107" customFormat="1" ht="15">
      <c r="A49" s="469" t="s">
        <v>1681</v>
      </c>
      <c r="B49" s="458"/>
      <c r="C49" s="470" t="s">
        <v>1776</v>
      </c>
      <c r="D49" s="471"/>
      <c r="E49" s="471"/>
      <c r="F49" s="471"/>
      <c r="G49" s="471"/>
      <c r="H49" s="471"/>
      <c r="I49" s="471"/>
      <c r="J49" s="471"/>
      <c r="K49" s="471"/>
      <c r="L49" s="472"/>
      <c r="M49" s="473"/>
      <c r="N49" s="2750"/>
      <c r="O49" s="2750"/>
      <c r="P49" s="2775"/>
      <c r="Q49" s="2737"/>
      <c r="R49" s="2659"/>
      <c r="S49" s="2659"/>
      <c r="T49" s="2659"/>
      <c r="U49" s="2659"/>
      <c r="V49" s="2659"/>
      <c r="W49" s="2659"/>
      <c r="X49" s="2659"/>
      <c r="Y49" s="2659"/>
      <c r="Z49" s="2659"/>
      <c r="AA49" s="2659"/>
      <c r="AB49" s="2659"/>
      <c r="AC49" s="2659"/>
      <c r="AD49" s="2659"/>
    </row>
    <row r="50" spans="1:30" s="107" customFormat="1" ht="15.75" thickBot="1">
      <c r="A50" s="469"/>
      <c r="B50" s="458"/>
      <c r="C50" s="586">
        <v>100</v>
      </c>
      <c r="D50" s="460"/>
      <c r="E50" s="460"/>
      <c r="F50" s="460"/>
      <c r="G50" s="460"/>
      <c r="H50" s="460"/>
      <c r="I50" s="460"/>
      <c r="J50" s="460"/>
      <c r="K50" s="460"/>
      <c r="L50" s="460"/>
      <c r="M50" s="462"/>
      <c r="N50" s="2750"/>
      <c r="O50" s="2750"/>
      <c r="P50" s="2737"/>
      <c r="Q50" s="2737"/>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1"/>
      <c r="O51" s="2751"/>
      <c r="P51" s="2776"/>
      <c r="Q51" s="2737"/>
      <c r="R51" s="2723"/>
      <c r="S51" s="2723"/>
      <c r="T51" s="2723"/>
      <c r="U51" s="2723"/>
      <c r="V51" s="2723"/>
      <c r="W51" s="2723"/>
      <c r="X51" s="2723"/>
      <c r="Y51" s="2723"/>
      <c r="Z51" s="2723"/>
      <c r="AA51" s="2723"/>
      <c r="AB51" s="2723"/>
      <c r="AC51" s="2723"/>
      <c r="AD51" s="2723"/>
    </row>
    <row r="52" spans="1:30" ht="15.75" thickBot="1">
      <c r="A52" s="482"/>
      <c r="B52" s="483"/>
      <c r="C52" s="484">
        <v>100</v>
      </c>
      <c r="D52" s="484"/>
      <c r="E52" s="484"/>
      <c r="F52" s="484"/>
      <c r="G52" s="484"/>
      <c r="H52" s="484"/>
      <c r="I52" s="484"/>
      <c r="J52" s="484"/>
      <c r="K52" s="484"/>
      <c r="L52" s="484"/>
      <c r="M52" s="485"/>
      <c r="N52" s="2752"/>
      <c r="O52" s="2752"/>
      <c r="P52" s="2776"/>
      <c r="Q52" s="2737"/>
      <c r="R52" s="2723"/>
      <c r="S52" s="2723"/>
      <c r="T52" s="2723"/>
      <c r="U52" s="2723"/>
      <c r="V52" s="2723"/>
      <c r="W52" s="2723"/>
      <c r="X52" s="2723"/>
      <c r="Y52" s="2723"/>
      <c r="Z52" s="2723"/>
      <c r="AA52" s="2723"/>
      <c r="AB52" s="2723"/>
      <c r="AC52" s="2723"/>
      <c r="AD52" s="2723"/>
    </row>
    <row r="53" spans="1:30" ht="27.75" thickTop="1">
      <c r="A53" s="482"/>
      <c r="B53" s="486" t="s">
        <v>1688</v>
      </c>
      <c r="C53" s="531"/>
      <c r="D53" s="531"/>
      <c r="E53" s="531"/>
      <c r="F53" s="531"/>
      <c r="G53" s="531"/>
      <c r="H53" s="531"/>
      <c r="I53" s="531"/>
      <c r="J53" s="531"/>
      <c r="K53" s="532"/>
      <c r="L53" s="533"/>
      <c r="M53" s="534"/>
      <c r="N53" s="2751"/>
      <c r="O53" s="2751"/>
      <c r="P53" s="2776"/>
      <c r="Q53" s="2737"/>
      <c r="R53" s="2723"/>
      <c r="S53" s="2723"/>
      <c r="T53" s="2723"/>
      <c r="U53" s="2723"/>
      <c r="V53" s="2723"/>
      <c r="W53" s="2723"/>
      <c r="X53" s="2723"/>
      <c r="Y53" s="2723"/>
      <c r="Z53" s="2723"/>
      <c r="AA53" s="2723"/>
      <c r="AB53" s="2723"/>
      <c r="AC53" s="2723"/>
      <c r="AD53" s="2723"/>
    </row>
    <row r="54" spans="1:30" ht="15.75" thickBot="1">
      <c r="A54" s="482"/>
      <c r="B54" s="491"/>
      <c r="C54" s="484"/>
      <c r="D54" s="484"/>
      <c r="E54" s="484"/>
      <c r="F54" s="484"/>
      <c r="G54" s="484"/>
      <c r="H54" s="484"/>
      <c r="I54" s="484"/>
      <c r="J54" s="484"/>
      <c r="K54" s="484"/>
      <c r="L54" s="484"/>
      <c r="M54" s="485"/>
      <c r="N54" s="2752"/>
      <c r="O54" s="2752"/>
      <c r="P54" s="2776"/>
      <c r="Q54" s="2737"/>
      <c r="R54" s="2723"/>
      <c r="S54" s="2723"/>
      <c r="T54" s="2723"/>
      <c r="U54" s="2723"/>
      <c r="V54" s="2723"/>
      <c r="W54" s="2723"/>
      <c r="X54" s="2723"/>
      <c r="Y54" s="2723"/>
      <c r="Z54" s="2723"/>
      <c r="AA54" s="2723"/>
      <c r="AB54" s="2723"/>
      <c r="AC54" s="2723"/>
      <c r="AD54" s="2723"/>
    </row>
    <row r="55" spans="1:30" ht="15.75" thickTop="1">
      <c r="A55" s="482"/>
      <c r="B55" s="607">
        <f>B11</f>
        <v>111</v>
      </c>
      <c r="C55" s="497"/>
      <c r="D55" s="497"/>
      <c r="E55" s="497"/>
      <c r="F55" s="497"/>
      <c r="G55" s="497"/>
      <c r="H55" s="497"/>
      <c r="I55" s="497"/>
      <c r="J55" s="497"/>
      <c r="K55" s="498"/>
      <c r="L55" s="499"/>
      <c r="M55" s="500"/>
      <c r="N55" s="2751"/>
      <c r="O55" s="2751"/>
      <c r="P55" s="2776"/>
      <c r="Q55" s="2737"/>
      <c r="R55" s="2723"/>
      <c r="S55" s="2723"/>
      <c r="T55" s="2723"/>
      <c r="U55" s="2723"/>
      <c r="V55" s="2723"/>
      <c r="W55" s="2723"/>
      <c r="X55" s="2723"/>
      <c r="Y55" s="2723"/>
      <c r="Z55" s="2723"/>
      <c r="AA55" s="2723"/>
      <c r="AB55" s="2723"/>
      <c r="AC55" s="2723"/>
      <c r="AD55" s="2723"/>
    </row>
    <row r="56" spans="1:30" ht="15.75" thickBot="1">
      <c r="A56" s="482"/>
      <c r="B56" s="483"/>
      <c r="C56" s="508"/>
      <c r="D56" s="484"/>
      <c r="E56" s="484"/>
      <c r="F56" s="484"/>
      <c r="G56" s="484"/>
      <c r="H56" s="484"/>
      <c r="I56" s="484"/>
      <c r="J56" s="484"/>
      <c r="K56" s="484"/>
      <c r="L56" s="484"/>
      <c r="M56" s="485"/>
      <c r="N56" s="2752"/>
      <c r="O56" s="2752"/>
      <c r="P56" s="2776"/>
      <c r="Q56" s="2737"/>
      <c r="R56" s="2723"/>
      <c r="S56" s="2723"/>
      <c r="T56" s="2723"/>
      <c r="U56" s="2723"/>
      <c r="V56" s="2723"/>
      <c r="W56" s="2723"/>
      <c r="X56" s="2723"/>
      <c r="Y56" s="2723"/>
      <c r="Z56" s="2723"/>
      <c r="AA56" s="2723"/>
      <c r="AB56" s="2723"/>
      <c r="AC56" s="2723"/>
      <c r="AD56" s="2723"/>
    </row>
    <row r="57" spans="1:30" s="421" customFormat="1" ht="15.75"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5.75"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5.75" thickTop="1">
      <c r="A59" s="501"/>
      <c r="B59" s="486">
        <f>B13</f>
        <v>111</v>
      </c>
      <c r="C59" s="497"/>
      <c r="D59" s="497"/>
      <c r="E59" s="497"/>
      <c r="F59" s="497"/>
      <c r="G59" s="502"/>
      <c r="H59" s="503"/>
      <c r="I59" s="503"/>
      <c r="J59" s="503"/>
      <c r="K59" s="503"/>
      <c r="L59" s="504"/>
      <c r="M59" s="505"/>
      <c r="N59" s="2753"/>
      <c r="O59" s="2753"/>
      <c r="P59" s="2721"/>
      <c r="Q59" s="2747"/>
      <c r="R59" s="2745"/>
      <c r="S59" s="2745"/>
      <c r="T59" s="2745"/>
      <c r="U59" s="2745"/>
      <c r="V59" s="2745"/>
      <c r="W59" s="2745"/>
      <c r="X59" s="2745"/>
      <c r="Y59" s="2745"/>
      <c r="Z59" s="2745"/>
      <c r="AA59" s="2745"/>
      <c r="AB59" s="2745"/>
      <c r="AC59" s="2745"/>
      <c r="AD59" s="2745"/>
    </row>
    <row r="60" spans="1:30" s="421" customFormat="1" ht="15.75"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1"/>
      <c r="O61" s="2751"/>
      <c r="P61" s="2778"/>
      <c r="Q61" s="2737"/>
      <c r="R61" s="2723"/>
      <c r="S61" s="2723"/>
      <c r="T61" s="2723"/>
      <c r="U61" s="2723"/>
      <c r="V61" s="2723"/>
      <c r="W61" s="2723"/>
      <c r="X61" s="2723"/>
      <c r="Y61" s="2723"/>
      <c r="Z61" s="2723"/>
      <c r="AA61" s="2723"/>
      <c r="AB61" s="2723"/>
      <c r="AC61" s="2723"/>
      <c r="AD61" s="2723"/>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7"/>
      <c r="R62" s="2723"/>
      <c r="S62" s="2723"/>
      <c r="T62" s="2723"/>
      <c r="U62" s="2723"/>
      <c r="V62" s="2723"/>
      <c r="W62" s="2723"/>
      <c r="X62" s="2723"/>
      <c r="Y62" s="2723"/>
      <c r="Z62" s="2723"/>
      <c r="AA62" s="2723"/>
      <c r="AB62" s="2723"/>
      <c r="AC62" s="2723"/>
      <c r="AD62" s="2723"/>
    </row>
    <row r="63" spans="1:30" ht="27.75" thickTop="1">
      <c r="A63" s="482"/>
      <c r="B63" s="486" t="s">
        <v>1863</v>
      </c>
      <c r="C63" s="526" t="s">
        <v>1721</v>
      </c>
      <c r="D63" s="526" t="s">
        <v>1722</v>
      </c>
      <c r="E63" s="526" t="s">
        <v>1723</v>
      </c>
      <c r="F63" s="526" t="s">
        <v>1724</v>
      </c>
      <c r="G63" s="526" t="s">
        <v>1725</v>
      </c>
      <c r="H63" s="487"/>
      <c r="I63" s="487"/>
      <c r="J63" s="487"/>
      <c r="K63" s="488"/>
      <c r="L63" s="489"/>
      <c r="M63" s="490"/>
      <c r="N63" s="2751"/>
      <c r="O63" s="2751"/>
      <c r="P63" s="2776"/>
      <c r="Q63" s="2737"/>
      <c r="R63" s="2723"/>
      <c r="S63" s="2723"/>
      <c r="T63" s="2723"/>
      <c r="U63" s="2723"/>
      <c r="V63" s="2723"/>
      <c r="W63" s="2723"/>
      <c r="X63" s="2723"/>
      <c r="Y63" s="2723"/>
      <c r="Z63" s="2723"/>
      <c r="AA63" s="2723"/>
      <c r="AB63" s="2723"/>
      <c r="AC63" s="2723"/>
      <c r="AD63" s="2723"/>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7"/>
      <c r="R64" s="2723"/>
      <c r="S64" s="2723"/>
      <c r="T64" s="2723"/>
      <c r="U64" s="2723"/>
      <c r="V64" s="2723"/>
      <c r="W64" s="2723"/>
      <c r="X64" s="2723"/>
      <c r="Y64" s="2723"/>
      <c r="Z64" s="2723"/>
      <c r="AA64" s="2723"/>
      <c r="AB64" s="2723"/>
      <c r="AC64" s="2723"/>
      <c r="AD64" s="2723"/>
    </row>
    <row r="65" spans="1:30" ht="15.75" thickTop="1">
      <c r="A65" s="482"/>
      <c r="B65" s="494" t="s">
        <v>1813</v>
      </c>
      <c r="C65" s="607" t="s">
        <v>1799</v>
      </c>
      <c r="D65" s="607" t="s">
        <v>1800</v>
      </c>
      <c r="E65" s="607" t="s">
        <v>1801</v>
      </c>
      <c r="F65" s="607" t="s">
        <v>1802</v>
      </c>
      <c r="G65" s="607" t="s">
        <v>1803</v>
      </c>
      <c r="H65" s="487"/>
      <c r="I65" s="487"/>
      <c r="J65" s="487"/>
      <c r="K65" s="487"/>
      <c r="L65" s="487"/>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7"/>
      <c r="R66" s="2723"/>
      <c r="S66" s="2723"/>
      <c r="T66" s="2723"/>
      <c r="U66" s="2723"/>
      <c r="V66" s="2723"/>
      <c r="W66" s="2723"/>
      <c r="X66" s="2723"/>
      <c r="Y66" s="2723"/>
      <c r="Z66" s="2723"/>
      <c r="AA66" s="2723"/>
      <c r="AB66" s="2723"/>
      <c r="AC66" s="2723"/>
      <c r="AD66" s="2723"/>
    </row>
    <row r="67" spans="1:30" ht="15.75" thickTop="1">
      <c r="A67" s="482"/>
      <c r="B67" s="486" t="s">
        <v>1733</v>
      </c>
      <c r="C67" s="526" t="s">
        <v>1721</v>
      </c>
      <c r="D67" s="526" t="s">
        <v>1722</v>
      </c>
      <c r="E67" s="526" t="s">
        <v>1723</v>
      </c>
      <c r="F67" s="526" t="s">
        <v>1724</v>
      </c>
      <c r="G67" s="526" t="s">
        <v>1725</v>
      </c>
      <c r="H67" s="487"/>
      <c r="I67" s="487"/>
      <c r="J67" s="487"/>
      <c r="K67" s="488"/>
      <c r="L67" s="489"/>
      <c r="M67" s="490"/>
      <c r="N67" s="2751"/>
      <c r="O67" s="2751"/>
      <c r="P67" s="2776"/>
      <c r="Q67" s="2737"/>
      <c r="R67" s="2723"/>
      <c r="S67" s="2723"/>
      <c r="T67" s="2723"/>
      <c r="U67" s="2723"/>
      <c r="V67" s="2723"/>
      <c r="W67" s="2723"/>
      <c r="X67" s="2723"/>
      <c r="Y67" s="2723"/>
      <c r="Z67" s="2723"/>
      <c r="AA67" s="2723"/>
      <c r="AB67" s="2723"/>
      <c r="AC67" s="2723"/>
      <c r="AD67" s="2723"/>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7"/>
      <c r="R68" s="2723"/>
      <c r="S68" s="2723"/>
      <c r="T68" s="2723"/>
      <c r="U68" s="2723"/>
      <c r="V68" s="2723"/>
      <c r="W68" s="2723"/>
      <c r="X68" s="2723"/>
      <c r="Y68" s="2723"/>
      <c r="Z68" s="2723"/>
      <c r="AA68" s="2723"/>
      <c r="AB68" s="2723"/>
      <c r="AC68" s="2723"/>
      <c r="AD68" s="2723"/>
    </row>
    <row r="69" spans="1:30" ht="15.75" thickTop="1">
      <c r="A69" s="482"/>
      <c r="B69" s="486" t="s">
        <v>1852</v>
      </c>
      <c r="C69" s="502"/>
      <c r="D69" s="502"/>
      <c r="E69" s="502"/>
      <c r="F69" s="502"/>
      <c r="G69" s="502"/>
      <c r="H69" s="531"/>
      <c r="I69" s="531"/>
      <c r="J69" s="531"/>
      <c r="K69" s="532"/>
      <c r="L69" s="533"/>
      <c r="M69" s="534"/>
      <c r="N69" s="2751"/>
      <c r="O69" s="2751"/>
      <c r="P69" s="2776"/>
      <c r="Q69" s="2737"/>
      <c r="R69" s="2723"/>
      <c r="S69" s="2723"/>
      <c r="T69" s="2723"/>
      <c r="U69" s="2723"/>
      <c r="V69" s="2723"/>
      <c r="W69" s="2723"/>
      <c r="X69" s="2723"/>
      <c r="Y69" s="2723"/>
      <c r="Z69" s="2723"/>
      <c r="AA69" s="2723"/>
      <c r="AB69" s="2723"/>
      <c r="AC69" s="2723"/>
      <c r="AD69" s="2723"/>
    </row>
    <row r="70" spans="1:30" ht="15.75" thickBot="1">
      <c r="A70" s="482"/>
      <c r="B70" s="491"/>
      <c r="C70" s="492">
        <v>100</v>
      </c>
      <c r="D70" s="492">
        <f>C70-$K22</f>
        <v>100</v>
      </c>
      <c r="E70" s="492"/>
      <c r="F70" s="492"/>
      <c r="G70" s="492"/>
      <c r="H70" s="492"/>
      <c r="I70" s="492"/>
      <c r="J70" s="492"/>
      <c r="K70" s="492"/>
      <c r="L70" s="492"/>
      <c r="M70" s="493"/>
      <c r="N70" s="2752"/>
      <c r="O70" s="2752"/>
      <c r="P70" s="2776"/>
      <c r="Q70" s="2737"/>
      <c r="R70" s="2723"/>
      <c r="S70" s="2723"/>
      <c r="T70" s="2723"/>
      <c r="U70" s="2723"/>
      <c r="V70" s="2723"/>
      <c r="W70" s="2723"/>
      <c r="X70" s="2723"/>
      <c r="Y70" s="2723"/>
      <c r="Z70" s="2723"/>
      <c r="AA70" s="2723"/>
      <c r="AB70" s="2723"/>
      <c r="AC70" s="2723"/>
      <c r="AD70" s="2723"/>
    </row>
    <row r="71" spans="1:30" s="107" customFormat="1" ht="15.75" thickTop="1">
      <c r="A71" s="527"/>
      <c r="B71" s="486">
        <f>B23</f>
        <v>111</v>
      </c>
      <c r="C71" s="497"/>
      <c r="D71" s="497"/>
      <c r="E71" s="497"/>
      <c r="F71" s="497"/>
      <c r="G71" s="502"/>
      <c r="H71" s="502"/>
      <c r="I71" s="502"/>
      <c r="J71" s="502"/>
      <c r="K71" s="502"/>
      <c r="L71" s="528"/>
      <c r="M71" s="529"/>
      <c r="N71" s="2750"/>
      <c r="O71" s="2750"/>
      <c r="P71" s="2776"/>
      <c r="Q71" s="2737"/>
      <c r="R71" s="2659"/>
      <c r="S71" s="2659"/>
      <c r="T71" s="2659"/>
      <c r="U71" s="2659"/>
      <c r="V71" s="2659"/>
      <c r="W71" s="2659"/>
      <c r="X71" s="2659"/>
      <c r="Y71" s="2659"/>
      <c r="Z71" s="2659"/>
      <c r="AA71" s="2659"/>
      <c r="AB71" s="2659"/>
      <c r="AC71" s="2659"/>
      <c r="AD71" s="2659"/>
    </row>
    <row r="72" spans="1:30" s="107" customFormat="1" ht="15.75" thickBot="1">
      <c r="A72" s="527"/>
      <c r="B72" s="491"/>
      <c r="C72" s="508"/>
      <c r="D72" s="484"/>
      <c r="E72" s="484"/>
      <c r="F72" s="484"/>
      <c r="G72" s="484"/>
      <c r="H72" s="484"/>
      <c r="I72" s="484"/>
      <c r="J72" s="484"/>
      <c r="K72" s="484"/>
      <c r="L72" s="484"/>
      <c r="M72" s="485"/>
      <c r="N72" s="2752"/>
      <c r="O72" s="2752"/>
      <c r="P72" s="2776"/>
      <c r="Q72" s="2737"/>
      <c r="R72" s="2659"/>
      <c r="S72" s="2659"/>
      <c r="T72" s="2659"/>
      <c r="U72" s="2659"/>
      <c r="V72" s="2659"/>
      <c r="W72" s="2659"/>
      <c r="X72" s="2659"/>
      <c r="Y72" s="2659"/>
      <c r="Z72" s="2659"/>
      <c r="AA72" s="2659"/>
      <c r="AB72" s="2659"/>
      <c r="AC72" s="2659"/>
      <c r="AD72" s="2659"/>
    </row>
    <row r="73" spans="1:30" s="107" customFormat="1" ht="15.75" thickTop="1">
      <c r="A73" s="527"/>
      <c r="B73" s="486">
        <f>B24</f>
        <v>111</v>
      </c>
      <c r="C73" s="497"/>
      <c r="D73" s="497"/>
      <c r="E73" s="497"/>
      <c r="F73" s="497"/>
      <c r="G73" s="502"/>
      <c r="H73" s="502"/>
      <c r="I73" s="502"/>
      <c r="J73" s="502"/>
      <c r="K73" s="502"/>
      <c r="L73" s="502"/>
      <c r="M73" s="529"/>
      <c r="N73" s="2750"/>
      <c r="O73" s="2750"/>
      <c r="P73" s="2776"/>
      <c r="Q73" s="2737"/>
      <c r="R73" s="2659"/>
      <c r="S73" s="2659"/>
      <c r="T73" s="2659"/>
      <c r="U73" s="2659"/>
      <c r="V73" s="2659"/>
      <c r="W73" s="2659"/>
      <c r="X73" s="2659"/>
      <c r="Y73" s="2659"/>
      <c r="Z73" s="2659"/>
      <c r="AA73" s="2659"/>
      <c r="AB73" s="2659"/>
      <c r="AC73" s="2659"/>
      <c r="AD73" s="2659"/>
    </row>
    <row r="74" spans="1:30" s="107" customFormat="1" ht="15.75" thickBot="1">
      <c r="A74" s="527"/>
      <c r="B74" s="491"/>
      <c r="C74" s="508"/>
      <c r="D74" s="484"/>
      <c r="E74" s="484"/>
      <c r="F74" s="484"/>
      <c r="G74" s="484"/>
      <c r="H74" s="484"/>
      <c r="I74" s="484"/>
      <c r="J74" s="484"/>
      <c r="K74" s="484"/>
      <c r="L74" s="484"/>
      <c r="M74" s="485"/>
      <c r="N74" s="2752"/>
      <c r="O74" s="2752"/>
      <c r="P74" s="2776"/>
      <c r="Q74" s="2737"/>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5.75"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1694</v>
      </c>
      <c r="B77" s="476" t="s">
        <v>1740</v>
      </c>
      <c r="C77" s="502"/>
      <c r="D77" s="502"/>
      <c r="E77" s="478"/>
      <c r="F77" s="478"/>
      <c r="G77" s="478"/>
      <c r="H77" s="478"/>
      <c r="I77" s="478"/>
      <c r="J77" s="478"/>
      <c r="K77" s="479"/>
      <c r="L77" s="480"/>
      <c r="M77" s="481"/>
      <c r="N77" s="2751"/>
      <c r="O77" s="2751"/>
      <c r="P77" s="2776"/>
      <c r="Q77" s="2737"/>
      <c r="R77" s="2723"/>
      <c r="S77" s="2723"/>
      <c r="T77" s="2723"/>
      <c r="U77" s="2723"/>
      <c r="V77" s="2723"/>
      <c r="W77" s="2723"/>
      <c r="X77" s="2723"/>
      <c r="Y77" s="2723"/>
      <c r="Z77" s="2723"/>
      <c r="AA77" s="2723"/>
      <c r="AB77" s="2723"/>
      <c r="AC77" s="2723"/>
      <c r="AD77" s="2723"/>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7"/>
      <c r="R79" s="2723"/>
      <c r="S79" s="2723"/>
      <c r="T79" s="2723"/>
      <c r="U79" s="2723"/>
      <c r="V79" s="2723"/>
      <c r="W79" s="2723"/>
      <c r="X79" s="2723"/>
      <c r="Y79" s="2723"/>
      <c r="Z79" s="2723"/>
      <c r="AA79" s="2723"/>
      <c r="AB79" s="2723"/>
      <c r="AC79" s="2723"/>
      <c r="AD79" s="2723"/>
    </row>
    <row r="80" spans="1:30" ht="15">
      <c r="A80" s="482"/>
      <c r="B80" s="494"/>
      <c r="C80" s="551">
        <v>0.5</v>
      </c>
      <c r="D80" s="551">
        <v>0.6</v>
      </c>
      <c r="E80" s="551">
        <v>0.7</v>
      </c>
      <c r="F80" s="551">
        <v>0.8</v>
      </c>
      <c r="G80" s="551">
        <v>0.9</v>
      </c>
      <c r="H80" s="551">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1856</v>
      </c>
      <c r="C82" s="502"/>
      <c r="D82" s="502"/>
      <c r="E82" s="531"/>
      <c r="F82" s="531"/>
      <c r="G82" s="531"/>
      <c r="H82" s="531"/>
      <c r="I82" s="531"/>
      <c r="J82" s="531"/>
      <c r="K82" s="532"/>
      <c r="L82" s="533"/>
      <c r="M82" s="534"/>
      <c r="N82" s="2751"/>
      <c r="O82" s="2751"/>
      <c r="P82" s="2776"/>
      <c r="Q82" s="2737"/>
      <c r="R82" s="2723"/>
      <c r="S82" s="2723"/>
      <c r="T82" s="2723"/>
      <c r="U82" s="2723"/>
      <c r="V82" s="2723"/>
      <c r="W82" s="2723"/>
      <c r="X82" s="2723"/>
      <c r="Y82" s="2723"/>
      <c r="Z82" s="2723"/>
      <c r="AA82" s="2723"/>
      <c r="AB82" s="2723"/>
      <c r="AC82" s="2723"/>
      <c r="AD82" s="2723"/>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7"/>
      <c r="B84" s="486" t="s">
        <v>1864</v>
      </c>
      <c r="C84" s="502"/>
      <c r="D84" s="502"/>
      <c r="E84" s="502"/>
      <c r="F84" s="502"/>
      <c r="G84" s="502"/>
      <c r="H84" s="502"/>
      <c r="I84" s="531"/>
      <c r="J84" s="531"/>
      <c r="K84" s="532"/>
      <c r="L84" s="533"/>
      <c r="M84" s="534"/>
      <c r="N84" s="2751"/>
      <c r="O84" s="2751"/>
      <c r="P84" s="2776"/>
      <c r="Q84" s="2737"/>
      <c r="R84" s="2723"/>
      <c r="S84" s="2723"/>
      <c r="T84" s="2723"/>
      <c r="U84" s="2723"/>
      <c r="V84" s="2723"/>
      <c r="W84" s="2723"/>
      <c r="X84" s="2723"/>
      <c r="Y84" s="2723"/>
      <c r="Z84" s="2723"/>
      <c r="AA84" s="2723"/>
      <c r="AB84" s="2723"/>
      <c r="AC84" s="2723"/>
      <c r="AD84" s="2723"/>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7"/>
      <c r="B87" s="494"/>
      <c r="C87" s="543"/>
      <c r="D87" s="543"/>
      <c r="E87" s="543"/>
      <c r="F87" s="543"/>
      <c r="G87" s="543"/>
      <c r="H87" s="543"/>
      <c r="I87" s="543"/>
      <c r="J87" s="544"/>
      <c r="K87" s="544"/>
      <c r="L87" s="545"/>
      <c r="M87" s="546"/>
      <c r="N87" s="2751"/>
      <c r="O87" s="2751"/>
      <c r="P87" s="2776"/>
      <c r="Q87" s="2737"/>
      <c r="R87" s="2723"/>
      <c r="S87" s="2723"/>
      <c r="T87" s="2723"/>
      <c r="U87" s="2723"/>
      <c r="V87" s="2723"/>
      <c r="W87" s="2723"/>
      <c r="X87" s="2723"/>
      <c r="Y87" s="2723"/>
      <c r="Z87" s="2723"/>
      <c r="AA87" s="2723"/>
      <c r="AB87" s="2723"/>
      <c r="AC87" s="2723"/>
      <c r="AD87" s="2723"/>
    </row>
    <row r="88" spans="1:30" ht="15.75" thickBot="1">
      <c r="A88" s="482"/>
      <c r="B88" s="491"/>
      <c r="C88" s="508"/>
      <c r="D88" s="484"/>
      <c r="E88" s="484"/>
      <c r="F88" s="484"/>
      <c r="G88" s="484"/>
      <c r="H88" s="484"/>
      <c r="I88" s="484"/>
      <c r="J88" s="484"/>
      <c r="K88" s="484"/>
      <c r="L88" s="484"/>
      <c r="M88" s="484"/>
      <c r="N88" s="2752"/>
      <c r="O88" s="2752"/>
      <c r="P88" s="2776"/>
      <c r="Q88" s="2737"/>
      <c r="R88" s="2723"/>
      <c r="S88" s="2723"/>
      <c r="T88" s="2723"/>
      <c r="U88" s="2723"/>
      <c r="V88" s="2723"/>
      <c r="W88" s="2723"/>
      <c r="X88" s="2723"/>
      <c r="Y88" s="2723"/>
      <c r="Z88" s="2723"/>
      <c r="AA88" s="2723"/>
      <c r="AB88" s="2723"/>
      <c r="AC88" s="2723"/>
      <c r="AD88" s="2723"/>
    </row>
    <row r="89" spans="1:30" s="421" customFormat="1" ht="15" thickTop="1">
      <c r="A89" s="541"/>
      <c r="B89" s="486" t="s">
        <v>1866</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5.75"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5" thickTop="1">
      <c r="A91" s="547"/>
      <c r="B91" s="486">
        <f>B32</f>
        <v>111</v>
      </c>
      <c r="C91" s="497"/>
      <c r="D91" s="497"/>
      <c r="E91" s="497"/>
      <c r="F91" s="497"/>
      <c r="G91" s="502"/>
      <c r="H91" s="503"/>
      <c r="I91" s="503"/>
      <c r="J91" s="503"/>
      <c r="K91" s="503"/>
      <c r="L91" s="504"/>
      <c r="M91" s="505"/>
      <c r="N91" s="2751"/>
      <c r="O91" s="2751"/>
      <c r="P91" s="2776"/>
      <c r="Q91" s="2737"/>
      <c r="R91" s="2723"/>
      <c r="S91" s="2723"/>
      <c r="T91" s="2723"/>
      <c r="U91" s="2723"/>
      <c r="V91" s="2723"/>
      <c r="W91" s="2723"/>
      <c r="X91" s="2723"/>
      <c r="Y91" s="2723"/>
      <c r="Z91" s="2723"/>
      <c r="AA91" s="2723"/>
      <c r="AB91" s="2723"/>
      <c r="AC91" s="2723"/>
      <c r="AD91" s="2723"/>
    </row>
    <row r="92" spans="1:30" ht="15.75" thickBot="1">
      <c r="A92" s="482"/>
      <c r="B92" s="491"/>
      <c r="C92" s="508"/>
      <c r="D92" s="484"/>
      <c r="E92" s="484"/>
      <c r="F92" s="484"/>
      <c r="G92" s="508"/>
      <c r="H92" s="510"/>
      <c r="I92" s="510"/>
      <c r="J92" s="510"/>
      <c r="K92" s="510"/>
      <c r="L92" s="510"/>
      <c r="M92" s="511"/>
      <c r="N92" s="2752"/>
      <c r="O92" s="2752"/>
      <c r="P92" s="2776"/>
      <c r="Q92" s="2737"/>
      <c r="R92" s="2723"/>
      <c r="S92" s="2723"/>
      <c r="T92" s="2723"/>
      <c r="U92" s="2723"/>
      <c r="V92" s="2723"/>
      <c r="W92" s="2723"/>
      <c r="X92" s="2723"/>
      <c r="Y92" s="2723"/>
      <c r="Z92" s="2723"/>
      <c r="AA92" s="2723"/>
      <c r="AB92" s="2723"/>
      <c r="AC92" s="2723"/>
      <c r="AD92" s="2723"/>
    </row>
    <row r="93" spans="1:30" ht="15" thickTop="1">
      <c r="A93" s="547"/>
      <c r="B93" s="486">
        <f>B33</f>
        <v>111</v>
      </c>
      <c r="C93" s="497"/>
      <c r="D93" s="497"/>
      <c r="E93" s="497"/>
      <c r="F93" s="497"/>
      <c r="G93" s="502"/>
      <c r="H93" s="503"/>
      <c r="I93" s="503"/>
      <c r="J93" s="503"/>
      <c r="K93" s="503"/>
      <c r="L93" s="504"/>
      <c r="M93" s="505"/>
      <c r="N93" s="2751"/>
      <c r="O93" s="2751"/>
      <c r="P93" s="2776"/>
      <c r="Q93" s="2737"/>
      <c r="R93" s="2723"/>
      <c r="S93" s="2723"/>
      <c r="T93" s="2723"/>
      <c r="U93" s="2723"/>
      <c r="V93" s="2723"/>
      <c r="W93" s="2723"/>
      <c r="X93" s="2723"/>
      <c r="Y93" s="2723"/>
      <c r="Z93" s="2723"/>
      <c r="AA93" s="2723"/>
      <c r="AB93" s="2723"/>
      <c r="AC93" s="2723"/>
      <c r="AD93" s="2723"/>
    </row>
    <row r="94" spans="1:30" ht="15.75" thickBot="1">
      <c r="A94" s="482"/>
      <c r="B94" s="491"/>
      <c r="C94" s="508"/>
      <c r="D94" s="484"/>
      <c r="E94" s="484"/>
      <c r="F94" s="484"/>
      <c r="G94" s="508"/>
      <c r="H94" s="510"/>
      <c r="I94" s="510"/>
      <c r="J94" s="510"/>
      <c r="K94" s="510"/>
      <c r="L94" s="510"/>
      <c r="M94" s="511"/>
      <c r="N94" s="2752"/>
      <c r="O94" s="2752"/>
      <c r="P94" s="2776"/>
      <c r="Q94" s="2737"/>
      <c r="R94" s="2723"/>
      <c r="S94" s="2723"/>
      <c r="T94" s="2723"/>
      <c r="U94" s="2723"/>
      <c r="V94" s="2723"/>
      <c r="W94" s="2723"/>
      <c r="X94" s="2723"/>
      <c r="Y94" s="2723"/>
      <c r="Z94" s="2723"/>
      <c r="AA94" s="2723"/>
      <c r="AB94" s="2723"/>
      <c r="AC94" s="2723"/>
      <c r="AD94" s="2723"/>
    </row>
    <row r="95" spans="1:30" ht="15" thickTop="1">
      <c r="A95" s="547"/>
      <c r="B95" s="583">
        <f>B34</f>
        <v>111</v>
      </c>
      <c r="C95" s="497"/>
      <c r="D95" s="497"/>
      <c r="E95" s="497"/>
      <c r="F95" s="497"/>
      <c r="G95" s="502"/>
      <c r="H95" s="503"/>
      <c r="I95" s="503"/>
      <c r="J95" s="503"/>
      <c r="K95" s="503"/>
      <c r="L95" s="504"/>
      <c r="M95" s="505"/>
      <c r="N95" s="2752"/>
      <c r="O95" s="2752"/>
      <c r="P95" s="2779"/>
      <c r="Q95" s="2766"/>
      <c r="R95" s="2723"/>
      <c r="S95" s="2723"/>
      <c r="T95" s="2723"/>
      <c r="U95" s="2723"/>
      <c r="V95" s="2723"/>
      <c r="W95" s="2723"/>
      <c r="X95" s="2723"/>
      <c r="Y95" s="2723"/>
      <c r="Z95" s="2723"/>
      <c r="AA95" s="2723"/>
      <c r="AB95" s="2723"/>
      <c r="AC95" s="2723"/>
      <c r="AD95" s="2723"/>
    </row>
    <row r="96" spans="1:30" ht="15.75" thickBot="1">
      <c r="A96" s="482"/>
      <c r="B96" s="491"/>
      <c r="C96" s="508"/>
      <c r="D96" s="508"/>
      <c r="E96" s="508"/>
      <c r="F96" s="508"/>
      <c r="G96" s="508"/>
      <c r="H96" s="510"/>
      <c r="I96" s="510"/>
      <c r="J96" s="510"/>
      <c r="K96" s="510"/>
      <c r="L96" s="510"/>
      <c r="M96" s="511"/>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估价对象为北京市房地产，为所有。根据《国有土地使用证》[]，估价对象（分摊）出让国有建设用地使用权面积为53147.14平方米，建筑面积为8327.76平方米。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估价对象为北京市房地产,属开发建设的，该项目尚在开发建设中。根据《国有土地使用证》[]，估价对象（分摊）出让国有建设用地使用权面积为53147.14平方米，规划建筑面积为8327.76平方米。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2023年5月16日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本次评估采用的主估价方法为基准地价系数修正法和基准地价系数修正法。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4" t="s">
        <v>1769</v>
      </c>
      <c r="B4" s="355"/>
      <c r="C4" s="3747" t="s">
        <v>1770</v>
      </c>
      <c r="D4" s="3748"/>
      <c r="E4" s="3749" t="s">
        <v>1771</v>
      </c>
      <c r="F4" s="3750"/>
      <c r="G4" s="3747" t="s">
        <v>1772</v>
      </c>
      <c r="H4" s="3748"/>
      <c r="I4" s="3747" t="s">
        <v>1773</v>
      </c>
      <c r="J4" s="3748"/>
      <c r="K4" s="558" t="s">
        <v>1774</v>
      </c>
      <c r="L4" s="2713"/>
      <c r="M4" s="2714"/>
      <c r="N4" s="2714"/>
      <c r="O4" s="2714"/>
      <c r="P4" s="3751" t="s">
        <v>1775</v>
      </c>
      <c r="Q4" s="3752"/>
      <c r="R4" s="3757" t="s">
        <v>1771</v>
      </c>
      <c r="S4" s="3758"/>
      <c r="T4" s="3757" t="s">
        <v>1772</v>
      </c>
      <c r="U4" s="3758"/>
      <c r="V4" s="3763" t="s">
        <v>1773</v>
      </c>
      <c r="W4" s="3763"/>
      <c r="X4" s="1353"/>
      <c r="Y4" s="3757" t="s">
        <v>1775</v>
      </c>
      <c r="Z4" s="3758"/>
      <c r="AA4" s="3744" t="s">
        <v>1771</v>
      </c>
      <c r="AB4" s="3745" t="s">
        <v>1772</v>
      </c>
      <c r="AC4" s="3744" t="s">
        <v>1773</v>
      </c>
    </row>
    <row r="5" spans="1:30" ht="15">
      <c r="A5" s="357"/>
      <c r="B5" s="358"/>
      <c r="C5" s="3766" t="s">
        <v>1673</v>
      </c>
      <c r="D5" s="3767"/>
      <c r="E5" s="3773" t="s">
        <v>1674</v>
      </c>
      <c r="F5" s="3774"/>
      <c r="G5" s="3766" t="s">
        <v>1675</v>
      </c>
      <c r="H5" s="3767"/>
      <c r="I5" s="3766" t="s">
        <v>1676</v>
      </c>
      <c r="J5" s="3767"/>
      <c r="K5" s="558"/>
      <c r="L5" s="2713"/>
      <c r="M5" s="2714"/>
      <c r="N5" s="2714"/>
      <c r="O5" s="2714"/>
      <c r="P5" s="3753"/>
      <c r="Q5" s="3754"/>
      <c r="R5" s="3759"/>
      <c r="S5" s="3760"/>
      <c r="T5" s="3759"/>
      <c r="U5" s="3760"/>
      <c r="V5" s="3763"/>
      <c r="W5" s="3763"/>
      <c r="X5" s="1353"/>
      <c r="Y5" s="3759"/>
      <c r="Z5" s="3760"/>
      <c r="AA5" s="3745"/>
      <c r="AB5" s="3745"/>
      <c r="AC5" s="3745"/>
    </row>
    <row r="6" spans="1:30" ht="15.75" thickBot="1">
      <c r="A6" s="359"/>
      <c r="B6" s="360"/>
      <c r="C6" s="3764" t="s">
        <v>1677</v>
      </c>
      <c r="D6" s="3765"/>
      <c r="E6" s="3771" t="s">
        <v>1677</v>
      </c>
      <c r="F6" s="3772"/>
      <c r="G6" s="3764" t="s">
        <v>1677</v>
      </c>
      <c r="H6" s="3765"/>
      <c r="I6" s="3764" t="s">
        <v>1677</v>
      </c>
      <c r="J6" s="3765"/>
      <c r="K6" s="558" t="s">
        <v>1678</v>
      </c>
      <c r="L6" s="2713"/>
      <c r="M6" s="2714"/>
      <c r="N6" s="2714"/>
      <c r="O6" s="2714"/>
      <c r="P6" s="3755"/>
      <c r="Q6" s="3756"/>
      <c r="R6" s="3759"/>
      <c r="S6" s="3760"/>
      <c r="T6" s="3761"/>
      <c r="U6" s="3762"/>
      <c r="V6" s="3763"/>
      <c r="W6" s="3763"/>
      <c r="X6" s="1353"/>
      <c r="Y6" s="3761"/>
      <c r="Z6" s="3762"/>
      <c r="AA6" s="3746"/>
      <c r="AB6" s="3746"/>
      <c r="AC6" s="3746"/>
    </row>
    <row r="7" spans="1:30" s="107" customFormat="1" ht="15.75" thickBot="1">
      <c r="A7" s="361" t="s">
        <v>1679</v>
      </c>
      <c r="B7" s="362"/>
      <c r="C7" s="363">
        <f>'数据-取费表'!B2</f>
        <v>45062</v>
      </c>
      <c r="D7" s="364">
        <v>100</v>
      </c>
      <c r="E7" s="365"/>
      <c r="F7" s="366">
        <f>SUMIF(69:69,YEAR(E7)&amp;"-"&amp;INT((MONTH(E7)+2)/3),70:70)</f>
        <v>0</v>
      </c>
      <c r="G7" s="1972"/>
      <c r="H7" s="364">
        <f>SUMIF(69:69,YEAR(G7)&amp;"-"&amp;INT((MONTH(G7)+2)/3),70:70)</f>
        <v>0</v>
      </c>
      <c r="I7" s="1972"/>
      <c r="J7" s="364">
        <f>SUMIF(69:69,YEAR(I7)&amp;"-"&amp;INT((MONTH(I7)+2)/3),70:70)</f>
        <v>0</v>
      </c>
      <c r="K7" s="559"/>
      <c r="L7" s="2715"/>
      <c r="M7" s="2716"/>
      <c r="N7" s="2716"/>
      <c r="O7" s="2716"/>
      <c r="P7" s="3768" t="s">
        <v>1680</v>
      </c>
      <c r="Q7" s="3770"/>
      <c r="R7" s="699" t="s">
        <v>14</v>
      </c>
      <c r="S7" s="700">
        <f t="shared" ref="S7:S15" si="0">F7</f>
        <v>0</v>
      </c>
      <c r="T7" s="699" t="s">
        <v>14</v>
      </c>
      <c r="U7" s="700">
        <f t="shared" ref="U7:U15" si="1">H7</f>
        <v>0</v>
      </c>
      <c r="V7" s="699" t="s">
        <v>14</v>
      </c>
      <c r="W7" s="700">
        <f t="shared" ref="W7:W15" si="2">J7</f>
        <v>0</v>
      </c>
      <c r="X7" s="701"/>
      <c r="Y7" s="3768" t="s">
        <v>1680</v>
      </c>
      <c r="Z7" s="376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5"/>
      <c r="M8" s="2716"/>
      <c r="N8" s="2716"/>
      <c r="O8" s="2716"/>
      <c r="P8" s="3768" t="s">
        <v>1683</v>
      </c>
      <c r="Q8" s="3769"/>
      <c r="R8" s="699" t="s">
        <v>14</v>
      </c>
      <c r="S8" s="700">
        <f t="shared" si="0"/>
        <v>0</v>
      </c>
      <c r="T8" s="699" t="s">
        <v>14</v>
      </c>
      <c r="U8" s="700">
        <f t="shared" si="1"/>
        <v>0</v>
      </c>
      <c r="V8" s="699" t="s">
        <v>14</v>
      </c>
      <c r="W8" s="700">
        <f t="shared" si="2"/>
        <v>0</v>
      </c>
      <c r="X8" s="701"/>
      <c r="Y8" s="3768" t="s">
        <v>1683</v>
      </c>
      <c r="Z8" s="3769"/>
      <c r="AA8" s="702" t="e">
        <f t="shared" ref="AA8:AA45" si="3">D8/F8</f>
        <v>#DIV/0!</v>
      </c>
      <c r="AB8" s="702" t="e">
        <f t="shared" ref="AB8:AB45" si="4">D8/H8</f>
        <v>#DIV/0!</v>
      </c>
      <c r="AC8" s="702" t="e">
        <f t="shared" ref="AC8:AC45" si="5">D8/J8</f>
        <v>#DIV/0!</v>
      </c>
    </row>
    <row r="9" spans="1:30" s="107" customFormat="1">
      <c r="A9" s="368" t="s">
        <v>1684</v>
      </c>
      <c r="B9" s="62" t="s">
        <v>1685</v>
      </c>
      <c r="C9" s="1975"/>
      <c r="D9" s="125">
        <v>100</v>
      </c>
      <c r="E9" s="1975"/>
      <c r="F9" s="125">
        <f>SUMIF(74:74,E9,75:75)-SUMIF(74:74,C9,75:75)+100</f>
        <v>100</v>
      </c>
      <c r="G9" s="1975"/>
      <c r="H9" s="125">
        <f>SUMIF(74:74,G9,75:75)-SUMIF(74:74,C9,75:75)+100</f>
        <v>100</v>
      </c>
      <c r="I9" s="1975"/>
      <c r="J9" s="125">
        <f>SUMIF(74:74,I9,75:75)-SUMIF(74:74,C9,75:75)+100</f>
        <v>100</v>
      </c>
      <c r="K9" s="559"/>
      <c r="L9" s="2715"/>
      <c r="M9" s="2716"/>
      <c r="N9" s="2716"/>
      <c r="O9" s="2770"/>
      <c r="P9" s="3732" t="s">
        <v>1686</v>
      </c>
      <c r="Q9" s="1341" t="str">
        <f t="shared" ref="Q9:Q15" si="6">B9</f>
        <v>用途</v>
      </c>
      <c r="R9" s="699" t="s">
        <v>14</v>
      </c>
      <c r="S9" s="700">
        <f t="shared" si="0"/>
        <v>100</v>
      </c>
      <c r="T9" s="699" t="s">
        <v>14</v>
      </c>
      <c r="U9" s="700">
        <f t="shared" si="1"/>
        <v>100</v>
      </c>
      <c r="V9" s="699" t="s">
        <v>14</v>
      </c>
      <c r="W9" s="700">
        <f t="shared" si="2"/>
        <v>100</v>
      </c>
      <c r="X9" s="701"/>
      <c r="Y9" s="3626" t="s">
        <v>1687</v>
      </c>
      <c r="Z9" s="51"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9"/>
      <c r="L10" s="2717"/>
      <c r="M10" s="2718"/>
      <c r="N10" s="2718"/>
      <c r="O10" s="2771"/>
      <c r="P10" s="3732"/>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9"/>
      <c r="M11" s="2714"/>
      <c r="N11" s="2714"/>
      <c r="O11" s="2772"/>
      <c r="P11" s="3732"/>
      <c r="Q11" s="1341" t="str">
        <f t="shared" si="6"/>
        <v>容积率</v>
      </c>
      <c r="R11" s="699" t="s">
        <v>14</v>
      </c>
      <c r="S11" s="700" t="e">
        <f t="shared" si="0"/>
        <v>#N/A</v>
      </c>
      <c r="T11" s="699" t="s">
        <v>14</v>
      </c>
      <c r="U11" s="700" t="e">
        <f t="shared" si="1"/>
        <v>#N/A</v>
      </c>
      <c r="V11" s="699" t="s">
        <v>14</v>
      </c>
      <c r="W11" s="700" t="e">
        <f t="shared" si="2"/>
        <v>#N/A</v>
      </c>
      <c r="X11" s="701"/>
      <c r="Y11" s="3626"/>
      <c r="Z11" s="51"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5"/>
      <c r="M12" s="2716"/>
      <c r="N12" s="2716"/>
      <c r="O12" s="2770"/>
      <c r="P12" s="3732"/>
      <c r="Q12" s="1341" t="str">
        <f t="shared" si="6"/>
        <v>配建</v>
      </c>
      <c r="R12" s="699" t="s">
        <v>14</v>
      </c>
      <c r="S12" s="700">
        <f t="shared" si="0"/>
        <v>100</v>
      </c>
      <c r="T12" s="699" t="s">
        <v>14</v>
      </c>
      <c r="U12" s="700">
        <f t="shared" si="1"/>
        <v>100</v>
      </c>
      <c r="V12" s="699" t="s">
        <v>14</v>
      </c>
      <c r="W12" s="700">
        <f t="shared" si="2"/>
        <v>100</v>
      </c>
      <c r="X12" s="701"/>
      <c r="Y12" s="3626"/>
      <c r="Z12" s="51"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20"/>
      <c r="M13" s="2714"/>
      <c r="N13" s="2714"/>
      <c r="O13" s="2772"/>
      <c r="P13" s="3732"/>
      <c r="Q13" s="1341">
        <f t="shared" si="6"/>
        <v>111</v>
      </c>
      <c r="R13" s="699" t="s">
        <v>14</v>
      </c>
      <c r="S13" s="700">
        <f t="shared" si="0"/>
        <v>100</v>
      </c>
      <c r="T13" s="699" t="s">
        <v>14</v>
      </c>
      <c r="U13" s="700">
        <f t="shared" si="1"/>
        <v>100</v>
      </c>
      <c r="V13" s="699" t="s">
        <v>14</v>
      </c>
      <c r="W13" s="700">
        <f t="shared" si="2"/>
        <v>100</v>
      </c>
      <c r="X13" s="701"/>
      <c r="Y13" s="3626"/>
      <c r="Z13" s="51">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20"/>
      <c r="M14" s="2714"/>
      <c r="N14" s="2714"/>
      <c r="O14" s="2772"/>
      <c r="P14" s="3732"/>
      <c r="Q14" s="1341">
        <f t="shared" si="6"/>
        <v>111</v>
      </c>
      <c r="R14" s="699" t="s">
        <v>14</v>
      </c>
      <c r="S14" s="700">
        <f t="shared" si="0"/>
        <v>100</v>
      </c>
      <c r="T14" s="699" t="s">
        <v>14</v>
      </c>
      <c r="U14" s="700">
        <f t="shared" si="1"/>
        <v>100</v>
      </c>
      <c r="V14" s="699" t="s">
        <v>14</v>
      </c>
      <c r="W14" s="700">
        <f t="shared" si="2"/>
        <v>100</v>
      </c>
      <c r="X14" s="701"/>
      <c r="Y14" s="3626"/>
      <c r="Z14" s="51">
        <f t="shared" si="7"/>
        <v>111</v>
      </c>
      <c r="AA14" s="702">
        <f>D14/F14</f>
        <v>1</v>
      </c>
      <c r="AB14" s="702">
        <f>D14/H14</f>
        <v>1</v>
      </c>
      <c r="AC14" s="702">
        <f>D14/J14</f>
        <v>1</v>
      </c>
    </row>
    <row r="15" spans="1:30" ht="99.75">
      <c r="A15" s="390" t="s">
        <v>1690</v>
      </c>
      <c r="B15" s="60"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0"/>
      <c r="M15" s="2714"/>
      <c r="N15" s="2714"/>
      <c r="O15" s="2772"/>
      <c r="P15" s="3734" t="s">
        <v>1691</v>
      </c>
      <c r="Q15" s="1350" t="str">
        <f t="shared" si="6"/>
        <v>居住社区成熟度</v>
      </c>
      <c r="R15" s="703" t="s">
        <v>14</v>
      </c>
      <c r="S15" s="704">
        <f t="shared" si="0"/>
        <v>100</v>
      </c>
      <c r="T15" s="703" t="s">
        <v>14</v>
      </c>
      <c r="U15" s="704">
        <f t="shared" si="1"/>
        <v>100</v>
      </c>
      <c r="V15" s="703" t="s">
        <v>14</v>
      </c>
      <c r="W15" s="704">
        <f t="shared" si="2"/>
        <v>100</v>
      </c>
      <c r="X15" s="1353"/>
      <c r="Y15" s="3734"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20"/>
      <c r="M16" s="2714"/>
      <c r="N16" s="2714"/>
      <c r="O16" s="2772"/>
      <c r="P16" s="3735"/>
      <c r="Q16" s="1350"/>
      <c r="R16" s="703"/>
      <c r="S16" s="704"/>
      <c r="T16" s="703"/>
      <c r="U16" s="704"/>
      <c r="V16" s="703"/>
      <c r="W16" s="704"/>
      <c r="X16" s="1353"/>
      <c r="Y16" s="3735"/>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0"/>
      <c r="M17" s="2714"/>
      <c r="N17" s="2714"/>
      <c r="O17" s="2772"/>
      <c r="P17" s="3735"/>
      <c r="Q17" s="1350" t="str">
        <f>B17</f>
        <v>商业繁华度</v>
      </c>
      <c r="R17" s="703" t="s">
        <v>14</v>
      </c>
      <c r="S17" s="704">
        <f>F17</f>
        <v>100</v>
      </c>
      <c r="T17" s="703" t="s">
        <v>14</v>
      </c>
      <c r="U17" s="704">
        <f>H17</f>
        <v>100</v>
      </c>
      <c r="V17" s="703" t="s">
        <v>14</v>
      </c>
      <c r="W17" s="704">
        <f>J17</f>
        <v>100</v>
      </c>
      <c r="X17" s="1353"/>
      <c r="Y17" s="3735"/>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20"/>
      <c r="M18" s="2714"/>
      <c r="N18" s="2714"/>
      <c r="O18" s="2772"/>
      <c r="P18" s="3735"/>
      <c r="Q18" s="1350"/>
      <c r="R18" s="703"/>
      <c r="S18" s="704"/>
      <c r="T18" s="703"/>
      <c r="U18" s="704"/>
      <c r="V18" s="703"/>
      <c r="W18" s="704"/>
      <c r="X18" s="1353"/>
      <c r="Y18" s="3735"/>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0"/>
      <c r="M19" s="2714"/>
      <c r="N19" s="2714"/>
      <c r="O19" s="2772"/>
      <c r="P19" s="3735"/>
      <c r="Q19" s="1350" t="str">
        <f>B19</f>
        <v>办公集聚程度</v>
      </c>
      <c r="R19" s="703" t="s">
        <v>14</v>
      </c>
      <c r="S19" s="704">
        <f>F19</f>
        <v>100</v>
      </c>
      <c r="T19" s="703" t="s">
        <v>14</v>
      </c>
      <c r="U19" s="704">
        <f>H19</f>
        <v>100</v>
      </c>
      <c r="V19" s="703" t="s">
        <v>14</v>
      </c>
      <c r="W19" s="704">
        <f>J19</f>
        <v>100</v>
      </c>
      <c r="X19" s="1353"/>
      <c r="Y19" s="3735"/>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20"/>
      <c r="M20" s="2714"/>
      <c r="N20" s="2714"/>
      <c r="O20" s="2772"/>
      <c r="P20" s="3735"/>
      <c r="Q20" s="1350"/>
      <c r="R20" s="703"/>
      <c r="S20" s="704"/>
      <c r="T20" s="703"/>
      <c r="U20" s="704"/>
      <c r="V20" s="703"/>
      <c r="W20" s="704"/>
      <c r="X20" s="1353"/>
      <c r="Y20" s="3735"/>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0"/>
      <c r="M21" s="2714"/>
      <c r="N21" s="2714"/>
      <c r="O21" s="2772"/>
      <c r="P21" s="3735"/>
      <c r="Q21" s="1350" t="str">
        <f>B21</f>
        <v>交通便捷度</v>
      </c>
      <c r="R21" s="703" t="s">
        <v>14</v>
      </c>
      <c r="S21" s="704">
        <f>F21</f>
        <v>100</v>
      </c>
      <c r="T21" s="703" t="s">
        <v>14</v>
      </c>
      <c r="U21" s="704">
        <f>H21</f>
        <v>100</v>
      </c>
      <c r="V21" s="703" t="s">
        <v>14</v>
      </c>
      <c r="W21" s="704">
        <f>J21</f>
        <v>100</v>
      </c>
      <c r="X21" s="1353"/>
      <c r="Y21" s="3735"/>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20"/>
      <c r="M22" s="2714"/>
      <c r="N22" s="2714"/>
      <c r="O22" s="2772"/>
      <c r="P22" s="3735"/>
      <c r="Q22" s="1350"/>
      <c r="R22" s="703"/>
      <c r="S22" s="704"/>
      <c r="T22" s="703"/>
      <c r="U22" s="704"/>
      <c r="V22" s="703"/>
      <c r="W22" s="704"/>
      <c r="X22" s="1353"/>
      <c r="Y22" s="3735"/>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0"/>
      <c r="M23" s="2714"/>
      <c r="N23" s="2714"/>
      <c r="O23" s="2772"/>
      <c r="P23" s="3735"/>
      <c r="Q23" s="1350" t="str">
        <f t="shared" ref="Q23:Q37" si="8">B23</f>
        <v>区域土地利用方向</v>
      </c>
      <c r="R23" s="703" t="s">
        <v>14</v>
      </c>
      <c r="S23" s="704">
        <f>F23</f>
        <v>100</v>
      </c>
      <c r="T23" s="703" t="s">
        <v>14</v>
      </c>
      <c r="U23" s="704">
        <f>H23</f>
        <v>100</v>
      </c>
      <c r="V23" s="703" t="s">
        <v>14</v>
      </c>
      <c r="W23" s="704">
        <f>J23</f>
        <v>100</v>
      </c>
      <c r="X23" s="1353"/>
      <c r="Y23" s="3735"/>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20"/>
      <c r="M24" s="2714"/>
      <c r="N24" s="2714"/>
      <c r="O24" s="2772"/>
      <c r="P24" s="3735"/>
      <c r="Q24" s="1350"/>
      <c r="R24" s="703"/>
      <c r="S24" s="704"/>
      <c r="T24" s="703"/>
      <c r="U24" s="704"/>
      <c r="V24" s="703"/>
      <c r="W24" s="704"/>
      <c r="X24" s="1353"/>
      <c r="Y24" s="3735"/>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0"/>
      <c r="M25" s="2714"/>
      <c r="N25" s="2714"/>
      <c r="O25" s="2772"/>
      <c r="P25" s="3735"/>
      <c r="Q25" s="1350" t="str">
        <f t="shared" si="8"/>
        <v>自然及人文环境状况</v>
      </c>
      <c r="R25" s="703" t="s">
        <v>14</v>
      </c>
      <c r="S25" s="704">
        <f>F25</f>
        <v>100</v>
      </c>
      <c r="T25" s="703" t="s">
        <v>14</v>
      </c>
      <c r="U25" s="704">
        <f>H25</f>
        <v>100</v>
      </c>
      <c r="V25" s="703" t="s">
        <v>14</v>
      </c>
      <c r="W25" s="704">
        <f>J25</f>
        <v>100</v>
      </c>
      <c r="X25" s="1353"/>
      <c r="Y25" s="3735"/>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20"/>
      <c r="M26" s="2714"/>
      <c r="N26" s="2714"/>
      <c r="O26" s="2772"/>
      <c r="P26" s="3735"/>
      <c r="Q26" s="1350"/>
      <c r="R26" s="703"/>
      <c r="S26" s="704"/>
      <c r="T26" s="703"/>
      <c r="U26" s="704"/>
      <c r="V26" s="703"/>
      <c r="W26" s="704"/>
      <c r="X26" s="1353"/>
      <c r="Y26" s="3735"/>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5"/>
      <c r="M27" s="2716"/>
      <c r="N27" s="2716"/>
      <c r="O27" s="2770"/>
      <c r="P27" s="3735"/>
      <c r="Q27" s="1341" t="str">
        <f t="shared" si="8"/>
        <v>公共配套设施</v>
      </c>
      <c r="R27" s="699" t="s">
        <v>14</v>
      </c>
      <c r="S27" s="700">
        <f>F27</f>
        <v>100</v>
      </c>
      <c r="T27" s="699" t="s">
        <v>14</v>
      </c>
      <c r="U27" s="700">
        <f>H27</f>
        <v>100</v>
      </c>
      <c r="V27" s="699" t="s">
        <v>14</v>
      </c>
      <c r="W27" s="700">
        <f>J27</f>
        <v>100</v>
      </c>
      <c r="X27" s="701"/>
      <c r="Y27" s="3735"/>
      <c r="Z27" s="51"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5"/>
      <c r="M28" s="2716"/>
      <c r="N28" s="2716"/>
      <c r="O28" s="2770"/>
      <c r="P28" s="3735"/>
      <c r="Q28" s="1341"/>
      <c r="R28" s="699"/>
      <c r="S28" s="700"/>
      <c r="T28" s="699"/>
      <c r="U28" s="700"/>
      <c r="V28" s="699"/>
      <c r="W28" s="700"/>
      <c r="X28" s="701"/>
      <c r="Y28" s="3735"/>
      <c r="Z28" s="51"/>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5"/>
      <c r="M29" s="2716"/>
      <c r="N29" s="2716"/>
      <c r="O29" s="2770"/>
      <c r="P29" s="3735"/>
      <c r="Q29" s="1341" t="str">
        <f t="shared" ref="Q29" si="9">B29</f>
        <v>基础设施水平</v>
      </c>
      <c r="R29" s="699" t="s">
        <v>14</v>
      </c>
      <c r="S29" s="700">
        <f>F29</f>
        <v>100</v>
      </c>
      <c r="T29" s="699" t="s">
        <v>14</v>
      </c>
      <c r="U29" s="700">
        <f>H29</f>
        <v>100</v>
      </c>
      <c r="V29" s="699" t="s">
        <v>14</v>
      </c>
      <c r="W29" s="700">
        <f>J29</f>
        <v>100</v>
      </c>
      <c r="X29" s="701"/>
      <c r="Y29" s="3735"/>
      <c r="Z29" s="51"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5"/>
      <c r="M30" s="2716"/>
      <c r="N30" s="2716"/>
      <c r="O30" s="2770"/>
      <c r="P30" s="3735"/>
      <c r="Q30" s="1341"/>
      <c r="R30" s="699"/>
      <c r="S30" s="700"/>
      <c r="T30" s="699"/>
      <c r="U30" s="700"/>
      <c r="V30" s="699"/>
      <c r="W30" s="700"/>
      <c r="X30" s="701"/>
      <c r="Y30" s="3735"/>
      <c r="Z30" s="51"/>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0"/>
      <c r="M31" s="2714"/>
      <c r="N31" s="2714"/>
      <c r="O31" s="2772"/>
      <c r="P31" s="373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5"/>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0"/>
      <c r="M32" s="2714"/>
      <c r="N32" s="2714"/>
      <c r="O32" s="2772"/>
      <c r="P32" s="3735"/>
      <c r="Q32" s="1350" t="str">
        <f t="shared" si="8"/>
        <v>毗邻道路的类型与等级</v>
      </c>
      <c r="R32" s="703" t="s">
        <v>14</v>
      </c>
      <c r="S32" s="704">
        <f t="shared" si="10"/>
        <v>100</v>
      </c>
      <c r="T32" s="703" t="s">
        <v>14</v>
      </c>
      <c r="U32" s="704">
        <f t="shared" si="11"/>
        <v>100</v>
      </c>
      <c r="V32" s="703" t="s">
        <v>14</v>
      </c>
      <c r="W32" s="704">
        <f t="shared" si="12"/>
        <v>100</v>
      </c>
      <c r="X32" s="1353"/>
      <c r="Y32" s="3735"/>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20"/>
      <c r="M33" s="2714"/>
      <c r="N33" s="2714"/>
      <c r="O33" s="2772"/>
      <c r="P33" s="3735"/>
      <c r="Q33" s="1350"/>
      <c r="R33" s="703"/>
      <c r="S33" s="704"/>
      <c r="T33" s="703"/>
      <c r="U33" s="704"/>
      <c r="V33" s="703"/>
      <c r="W33" s="704"/>
      <c r="X33" s="1353"/>
      <c r="Y33" s="3735"/>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0"/>
      <c r="M34" s="2714"/>
      <c r="N34" s="2714"/>
      <c r="O34" s="2772"/>
      <c r="P34" s="3735"/>
      <c r="Q34" s="1350" t="str">
        <f t="shared" si="8"/>
        <v>土地级别</v>
      </c>
      <c r="R34" s="703" t="s">
        <v>14</v>
      </c>
      <c r="S34" s="704">
        <f t="shared" si="10"/>
        <v>100</v>
      </c>
      <c r="T34" s="703" t="s">
        <v>14</v>
      </c>
      <c r="U34" s="704">
        <f t="shared" si="11"/>
        <v>100</v>
      </c>
      <c r="V34" s="703" t="s">
        <v>14</v>
      </c>
      <c r="W34" s="704">
        <f t="shared" si="12"/>
        <v>100</v>
      </c>
      <c r="X34" s="1353"/>
      <c r="Y34" s="3735"/>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0"/>
      <c r="M35" s="2714"/>
      <c r="N35" s="2714"/>
      <c r="O35" s="2772"/>
      <c r="P35" s="3735"/>
      <c r="Q35" s="1350">
        <f t="shared" si="8"/>
        <v>111</v>
      </c>
      <c r="R35" s="703" t="s">
        <v>14</v>
      </c>
      <c r="S35" s="704">
        <f t="shared" si="10"/>
        <v>100</v>
      </c>
      <c r="T35" s="703" t="s">
        <v>14</v>
      </c>
      <c r="U35" s="704">
        <f t="shared" si="11"/>
        <v>100</v>
      </c>
      <c r="V35" s="703" t="s">
        <v>14</v>
      </c>
      <c r="W35" s="704">
        <f t="shared" si="12"/>
        <v>100</v>
      </c>
      <c r="X35" s="1353"/>
      <c r="Y35" s="3735"/>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0"/>
      <c r="M36" s="2714"/>
      <c r="N36" s="2714"/>
      <c r="O36" s="2772"/>
      <c r="P36" s="3790" t="s">
        <v>1696</v>
      </c>
      <c r="Q36" s="1350">
        <f t="shared" si="8"/>
        <v>111</v>
      </c>
      <c r="R36" s="703" t="s">
        <v>14</v>
      </c>
      <c r="S36" s="704">
        <f t="shared" si="10"/>
        <v>100</v>
      </c>
      <c r="T36" s="703" t="s">
        <v>14</v>
      </c>
      <c r="U36" s="704">
        <f t="shared" si="11"/>
        <v>100</v>
      </c>
      <c r="V36" s="703" t="s">
        <v>14</v>
      </c>
      <c r="W36" s="704">
        <f t="shared" si="12"/>
        <v>100</v>
      </c>
      <c r="X36" s="1353"/>
      <c r="Y36" s="3739"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9"/>
      <c r="M37" s="2721"/>
      <c r="N37" s="2721"/>
      <c r="O37" s="2773"/>
      <c r="P37" s="3739"/>
      <c r="Q37" s="1350">
        <f t="shared" si="8"/>
        <v>111</v>
      </c>
      <c r="R37" s="706" t="s">
        <v>14</v>
      </c>
      <c r="S37" s="707">
        <f t="shared" si="10"/>
        <v>100</v>
      </c>
      <c r="T37" s="706" t="s">
        <v>14</v>
      </c>
      <c r="U37" s="707">
        <f t="shared" si="11"/>
        <v>100</v>
      </c>
      <c r="V37" s="706" t="s">
        <v>14</v>
      </c>
      <c r="W37" s="707">
        <f t="shared" si="12"/>
        <v>100</v>
      </c>
      <c r="X37" s="708"/>
      <c r="Y37" s="3739"/>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0"/>
      <c r="M38" s="2714"/>
      <c r="N38" s="2714"/>
      <c r="O38" s="2772"/>
      <c r="P38" s="3739"/>
      <c r="Q38" s="1350" t="str">
        <f>B38</f>
        <v>宗地面积</v>
      </c>
      <c r="R38" s="703" t="s">
        <v>14</v>
      </c>
      <c r="S38" s="704" t="e">
        <f t="shared" si="10"/>
        <v>#N/A</v>
      </c>
      <c r="T38" s="703" t="s">
        <v>14</v>
      </c>
      <c r="U38" s="704" t="e">
        <f t="shared" si="11"/>
        <v>#N/A</v>
      </c>
      <c r="V38" s="703" t="s">
        <v>14</v>
      </c>
      <c r="W38" s="704" t="e">
        <f t="shared" si="12"/>
        <v>#N/A</v>
      </c>
      <c r="X38" s="1353"/>
      <c r="Y38" s="3739"/>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20"/>
      <c r="M39" s="2714"/>
      <c r="N39" s="2714"/>
      <c r="O39" s="2772"/>
      <c r="P39" s="3739"/>
      <c r="Q39" s="1350" t="str">
        <f t="shared" ref="Q39:Q45" si="14">B39</f>
        <v>宗地形状</v>
      </c>
      <c r="R39" s="703" t="s">
        <v>14</v>
      </c>
      <c r="S39" s="704">
        <f t="shared" si="10"/>
        <v>100</v>
      </c>
      <c r="T39" s="703" t="s">
        <v>14</v>
      </c>
      <c r="U39" s="704">
        <f t="shared" si="11"/>
        <v>100</v>
      </c>
      <c r="V39" s="703" t="s">
        <v>14</v>
      </c>
      <c r="W39" s="704">
        <f t="shared" si="12"/>
        <v>100</v>
      </c>
      <c r="X39" s="1353"/>
      <c r="Y39" s="3739"/>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20"/>
      <c r="M40" s="2714"/>
      <c r="N40" s="2714"/>
      <c r="O40" s="2772"/>
      <c r="P40" s="3739"/>
      <c r="Q40" s="1350" t="str">
        <f t="shared" si="14"/>
        <v>临街宽度及深度</v>
      </c>
      <c r="R40" s="703" t="s">
        <v>14</v>
      </c>
      <c r="S40" s="704">
        <f t="shared" si="10"/>
        <v>100</v>
      </c>
      <c r="T40" s="703" t="s">
        <v>14</v>
      </c>
      <c r="U40" s="704">
        <f t="shared" si="11"/>
        <v>100</v>
      </c>
      <c r="V40" s="703" t="s">
        <v>14</v>
      </c>
      <c r="W40" s="704">
        <f t="shared" si="12"/>
        <v>100</v>
      </c>
      <c r="X40" s="1353"/>
      <c r="Y40" s="3739"/>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5"/>
      <c r="M41" s="2716"/>
      <c r="N41" s="2716"/>
      <c r="O41" s="2770"/>
      <c r="P41" s="3739"/>
      <c r="Q41" s="1350" t="str">
        <f t="shared" si="14"/>
        <v>宗地开发程度</v>
      </c>
      <c r="R41" s="699" t="s">
        <v>14</v>
      </c>
      <c r="S41" s="700">
        <f t="shared" si="10"/>
        <v>100</v>
      </c>
      <c r="T41" s="699" t="s">
        <v>14</v>
      </c>
      <c r="U41" s="700">
        <f t="shared" si="11"/>
        <v>100</v>
      </c>
      <c r="V41" s="699" t="s">
        <v>14</v>
      </c>
      <c r="W41" s="700">
        <f t="shared" si="12"/>
        <v>100</v>
      </c>
      <c r="X41" s="701"/>
      <c r="Y41" s="3739"/>
      <c r="Z41" s="51"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20"/>
      <c r="M42" s="2714"/>
      <c r="N42" s="2714"/>
      <c r="O42" s="2772"/>
      <c r="P42" s="3739" t="s">
        <v>1696</v>
      </c>
      <c r="Q42" s="1350" t="str">
        <f t="shared" si="14"/>
        <v>工程地质条件</v>
      </c>
      <c r="R42" s="703" t="s">
        <v>14</v>
      </c>
      <c r="S42" s="704">
        <f t="shared" si="10"/>
        <v>100</v>
      </c>
      <c r="T42" s="703" t="s">
        <v>14</v>
      </c>
      <c r="U42" s="704">
        <f t="shared" si="11"/>
        <v>100</v>
      </c>
      <c r="V42" s="703" t="s">
        <v>14</v>
      </c>
      <c r="W42" s="704">
        <f t="shared" si="12"/>
        <v>100</v>
      </c>
      <c r="X42" s="1353"/>
      <c r="Y42" s="3739"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0"/>
      <c r="M43" s="2714"/>
      <c r="N43" s="2714"/>
      <c r="O43" s="2772"/>
      <c r="P43" s="3739"/>
      <c r="Q43" s="1350">
        <f t="shared" si="14"/>
        <v>111</v>
      </c>
      <c r="R43" s="703" t="s">
        <v>14</v>
      </c>
      <c r="S43" s="704">
        <f t="shared" si="10"/>
        <v>100</v>
      </c>
      <c r="T43" s="703" t="s">
        <v>14</v>
      </c>
      <c r="U43" s="704">
        <f t="shared" si="11"/>
        <v>100</v>
      </c>
      <c r="V43" s="703" t="s">
        <v>14</v>
      </c>
      <c r="W43" s="704">
        <f t="shared" si="12"/>
        <v>100</v>
      </c>
      <c r="X43" s="1353"/>
      <c r="Y43" s="3739"/>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0"/>
      <c r="M44" s="2714"/>
      <c r="N44" s="2714"/>
      <c r="O44" s="2772"/>
      <c r="P44" s="3739"/>
      <c r="Q44" s="1350">
        <f t="shared" si="14"/>
        <v>111</v>
      </c>
      <c r="R44" s="703" t="s">
        <v>14</v>
      </c>
      <c r="S44" s="704">
        <f t="shared" si="10"/>
        <v>100</v>
      </c>
      <c r="T44" s="703" t="s">
        <v>14</v>
      </c>
      <c r="U44" s="704">
        <f t="shared" si="11"/>
        <v>100</v>
      </c>
      <c r="V44" s="703" t="s">
        <v>14</v>
      </c>
      <c r="W44" s="704">
        <f t="shared" si="12"/>
        <v>100</v>
      </c>
      <c r="X44" s="1353"/>
      <c r="Y44" s="3739"/>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9"/>
      <c r="M45" s="2721"/>
      <c r="N45" s="2721"/>
      <c r="O45" s="2773"/>
      <c r="P45" s="3739"/>
      <c r="Q45" s="1350">
        <f t="shared" si="14"/>
        <v>111</v>
      </c>
      <c r="R45" s="706" t="s">
        <v>14</v>
      </c>
      <c r="S45" s="707">
        <f t="shared" si="10"/>
        <v>100</v>
      </c>
      <c r="T45" s="706" t="s">
        <v>14</v>
      </c>
      <c r="U45" s="707">
        <f t="shared" si="11"/>
        <v>100</v>
      </c>
      <c r="V45" s="706" t="s">
        <v>14</v>
      </c>
      <c r="W45" s="707">
        <f t="shared" si="12"/>
        <v>100</v>
      </c>
      <c r="X45" s="708"/>
      <c r="Y45" s="3739"/>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22"/>
      <c r="M46" s="2723"/>
      <c r="N46" s="2714"/>
      <c r="O46" s="2723"/>
      <c r="P46" s="3732" t="str">
        <f>A46</f>
        <v>成交单价</v>
      </c>
      <c r="Q46" s="3732"/>
      <c r="R46" s="3763">
        <f>E46</f>
        <v>0</v>
      </c>
      <c r="S46" s="3763"/>
      <c r="T46" s="3763">
        <f>G46</f>
        <v>0</v>
      </c>
      <c r="U46" s="3763"/>
      <c r="V46" s="3763">
        <f>I46</f>
        <v>0</v>
      </c>
      <c r="W46" s="3763"/>
      <c r="X46" s="688"/>
      <c r="Y46" s="710"/>
      <c r="Z46" s="688"/>
      <c r="AA46" s="688"/>
      <c r="AB46" s="688"/>
      <c r="AC46" s="688"/>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2"/>
      <c r="M47" s="2723"/>
      <c r="N47" s="2723"/>
      <c r="O47" s="2723"/>
      <c r="P47" s="3732" t="str">
        <f>A47</f>
        <v>比较价值（元/平方米）</v>
      </c>
      <c r="Q47" s="3732"/>
      <c r="R47" s="3792" t="e">
        <f>ROUND(PRODUCT(R46,AA7:AA45),0)</f>
        <v>#DIV/0!</v>
      </c>
      <c r="S47" s="3792"/>
      <c r="T47" s="3792" t="e">
        <f>ROUND(PRODUCT(T46,AB7:AB45),0)</f>
        <v>#DIV/0!</v>
      </c>
      <c r="U47" s="3792"/>
      <c r="V47" s="3792" t="e">
        <f>ROUND(PRODUCT(V46,AC7:AC45),0)</f>
        <v>#DIV/0!</v>
      </c>
      <c r="W47" s="379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2"/>
      <c r="M48" s="2723"/>
      <c r="N48" s="2723"/>
      <c r="O48" s="2723"/>
      <c r="P48" s="3729" t="str">
        <f>A48</f>
        <v>估价对象XX用房的比较价值（楼面单价，元/平方米）</v>
      </c>
      <c r="Q48" s="3730"/>
      <c r="R48" s="3793" t="e">
        <f>ROUND(IF(D47="简单平均",AVERAGE(R47:W47),R47*F47+T47*H47+V47*J47),0)</f>
        <v>#DIV/0!</v>
      </c>
      <c r="S48" s="3793"/>
      <c r="T48" s="3793"/>
      <c r="U48" s="3793"/>
      <c r="V48" s="3793"/>
      <c r="W48" s="3793"/>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0" customFormat="1" ht="13.5" customHeight="1">
      <c r="A53" s="2726"/>
      <c r="B53" s="2726"/>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0"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747" t="s">
        <v>1887</v>
      </c>
      <c r="H55" s="3794"/>
      <c r="I55" s="134"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8327.76</v>
      </c>
      <c r="F56" s="884" t="e">
        <f t="shared" ref="F56:F64" si="15">ROUND(B56*E56/10000,0)</f>
        <v>#DIV/0!</v>
      </c>
      <c r="G56" s="3743"/>
      <c r="H56" s="373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7" t="e">
        <f>ROUND($C$48*C57*D57,0)</f>
        <v>#DIV/0!</v>
      </c>
      <c r="C57" s="170">
        <f t="shared" ref="C57:C64" si="16">IF($C$55="北京市系数",I57,J57)</f>
        <v>0</v>
      </c>
      <c r="D57" s="943">
        <v>0.25</v>
      </c>
      <c r="E57" s="641"/>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7" t="e">
        <f t="shared" ref="B58:B64" si="17">ROUND($C$48*C58*D58,0)</f>
        <v>#DIV/0!</v>
      </c>
      <c r="C58" s="170">
        <f t="shared" si="16"/>
        <v>0</v>
      </c>
      <c r="D58" s="943">
        <v>0.25</v>
      </c>
      <c r="E58" s="641"/>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7" t="e">
        <f t="shared" si="17"/>
        <v>#DIV/0!</v>
      </c>
      <c r="C59" s="170">
        <f t="shared" si="16"/>
        <v>0</v>
      </c>
      <c r="D59" s="943">
        <v>0.25</v>
      </c>
      <c r="E59" s="641"/>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8327.76</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2023-5-1</v>
      </c>
      <c r="D67" s="690">
        <f>EDATE(C67,-3)</f>
        <v>44958</v>
      </c>
      <c r="E67" s="690">
        <f>EDATE(D67,-3)</f>
        <v>44866</v>
      </c>
      <c r="F67" s="690">
        <f t="shared" ref="F67:O67" si="18">EDATE(E67,-3)</f>
        <v>44774</v>
      </c>
      <c r="G67" s="690">
        <f t="shared" si="18"/>
        <v>44682</v>
      </c>
      <c r="H67" s="690">
        <f t="shared" si="18"/>
        <v>44593</v>
      </c>
      <c r="I67" s="690">
        <f t="shared" si="18"/>
        <v>44501</v>
      </c>
      <c r="J67" s="690">
        <f t="shared" si="18"/>
        <v>44409</v>
      </c>
      <c r="K67" s="690">
        <f t="shared" si="18"/>
        <v>44317</v>
      </c>
      <c r="L67" s="690">
        <f t="shared" si="18"/>
        <v>44228</v>
      </c>
      <c r="M67" s="690">
        <f t="shared" si="18"/>
        <v>44136</v>
      </c>
      <c r="N67" s="690">
        <f t="shared" si="18"/>
        <v>44044</v>
      </c>
      <c r="O67" s="690">
        <f t="shared" si="18"/>
        <v>43952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6"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7" customFormat="1" ht="30" customHeight="1">
      <c r="A70" s="1988" t="s">
        <v>1905</v>
      </c>
      <c r="B70" s="287" t="str">
        <f>"北京市平均增长率"&amp;TEXT(SUMIF('基准地价修正（科研）'!N25:N29,A70,'基准地价修正（科研）'!P25:P29),"0.00%")</f>
        <v>北京市平均增长率0.00%</v>
      </c>
      <c r="C70" s="551">
        <v>100</v>
      </c>
      <c r="D70" s="543"/>
      <c r="E70" s="543"/>
      <c r="F70" s="543"/>
      <c r="G70" s="543"/>
      <c r="H70" s="543"/>
      <c r="I70" s="543"/>
      <c r="J70" s="543"/>
      <c r="K70" s="543"/>
      <c r="L70" s="543"/>
      <c r="M70" s="1176"/>
      <c r="N70" s="543"/>
      <c r="O70" s="1177"/>
      <c r="P70" s="2737"/>
      <c r="Q70" s="2659"/>
      <c r="R70" s="2659"/>
      <c r="S70" s="2659"/>
      <c r="T70" s="2659"/>
      <c r="U70" s="2659"/>
      <c r="V70" s="2659"/>
      <c r="W70" s="2659"/>
      <c r="X70" s="2659"/>
      <c r="Y70" s="2659"/>
      <c r="Z70" s="2659"/>
      <c r="AA70" s="2659"/>
      <c r="AB70" s="2659"/>
      <c r="AC70" s="2659"/>
    </row>
    <row r="71" spans="1:29" s="107" customFormat="1" ht="15.75" thickBot="1">
      <c r="A71" s="463" t="s">
        <v>1716</v>
      </c>
      <c r="B71" s="464"/>
      <c r="C71" s="465"/>
      <c r="D71" s="466"/>
      <c r="E71" s="466"/>
      <c r="F71" s="466"/>
      <c r="G71" s="466"/>
      <c r="H71" s="466"/>
      <c r="I71" s="466"/>
      <c r="J71" s="466"/>
      <c r="K71" s="466"/>
      <c r="L71" s="466"/>
      <c r="M71" s="467"/>
      <c r="N71" s="466"/>
      <c r="O71" s="941"/>
      <c r="P71" s="2737"/>
      <c r="Q71" s="2737"/>
      <c r="R71" s="2659"/>
      <c r="S71" s="2659"/>
      <c r="T71" s="2659"/>
      <c r="U71" s="2659"/>
      <c r="V71" s="2659"/>
      <c r="W71" s="2659"/>
      <c r="X71" s="2659"/>
      <c r="Y71" s="2659"/>
      <c r="Z71" s="2659"/>
      <c r="AA71" s="2659"/>
      <c r="AB71" s="2659"/>
      <c r="AC71" s="2659"/>
    </row>
    <row r="72" spans="1:29" s="107" customFormat="1" ht="15">
      <c r="A72" s="469" t="s">
        <v>1681</v>
      </c>
      <c r="B72" s="458"/>
      <c r="C72" s="470" t="s">
        <v>1776</v>
      </c>
      <c r="D72" s="471"/>
      <c r="E72" s="471"/>
      <c r="F72" s="471"/>
      <c r="G72" s="471"/>
      <c r="H72" s="471"/>
      <c r="I72" s="471"/>
      <c r="J72" s="471"/>
      <c r="K72" s="471"/>
      <c r="L72" s="472"/>
      <c r="M72" s="473"/>
      <c r="N72" s="2750"/>
      <c r="O72" s="2750"/>
      <c r="P72" s="2775"/>
      <c r="Q72" s="2737"/>
      <c r="R72" s="2659"/>
      <c r="S72" s="2659"/>
      <c r="T72" s="2659"/>
      <c r="U72" s="2659"/>
      <c r="V72" s="2659"/>
      <c r="W72" s="2659"/>
      <c r="X72" s="2659"/>
      <c r="Y72" s="2659"/>
      <c r="Z72" s="2659"/>
      <c r="AA72" s="2659"/>
      <c r="AB72" s="2659"/>
      <c r="AC72" s="2659"/>
    </row>
    <row r="73" spans="1:29" s="107" customFormat="1" ht="15.75" thickBot="1">
      <c r="A73" s="469"/>
      <c r="B73" s="458"/>
      <c r="C73" s="586">
        <v>100</v>
      </c>
      <c r="D73" s="460"/>
      <c r="E73" s="460"/>
      <c r="F73" s="460"/>
      <c r="G73" s="460"/>
      <c r="H73" s="460"/>
      <c r="I73" s="460"/>
      <c r="J73" s="460"/>
      <c r="K73" s="460"/>
      <c r="L73" s="460"/>
      <c r="M73" s="462"/>
      <c r="N73" s="2750"/>
      <c r="O73" s="2750"/>
      <c r="P73" s="2737"/>
      <c r="Q73" s="2737"/>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1"/>
      <c r="O74" s="2751"/>
      <c r="P74" s="2776"/>
      <c r="Q74" s="2737"/>
      <c r="R74" s="2723"/>
      <c r="S74" s="2723"/>
      <c r="T74" s="2723"/>
      <c r="U74" s="2723"/>
      <c r="V74" s="2723"/>
      <c r="W74" s="2723"/>
      <c r="X74" s="2723"/>
      <c r="Y74" s="2723"/>
      <c r="Z74" s="2723"/>
      <c r="AA74" s="2723"/>
      <c r="AB74" s="2723"/>
      <c r="AC74" s="2723"/>
    </row>
    <row r="75" spans="1:29" ht="15.75" thickBot="1">
      <c r="A75" s="482"/>
      <c r="B75" s="483"/>
      <c r="C75" s="484"/>
      <c r="D75" s="484"/>
      <c r="E75" s="484"/>
      <c r="F75" s="484"/>
      <c r="G75" s="484"/>
      <c r="H75" s="484"/>
      <c r="I75" s="484"/>
      <c r="J75" s="484"/>
      <c r="K75" s="484"/>
      <c r="L75" s="484"/>
      <c r="M75" s="485"/>
      <c r="N75" s="2752"/>
      <c r="O75" s="2752"/>
      <c r="P75" s="2776"/>
      <c r="Q75" s="2737"/>
      <c r="R75" s="2723"/>
      <c r="S75" s="2723"/>
      <c r="T75" s="2723"/>
      <c r="U75" s="2723"/>
      <c r="V75" s="2723"/>
      <c r="W75" s="2723"/>
      <c r="X75" s="2723"/>
      <c r="Y75" s="2723"/>
      <c r="Z75" s="2723"/>
      <c r="AA75" s="2723"/>
      <c r="AB75" s="2723"/>
      <c r="AC75" s="2723"/>
    </row>
    <row r="76" spans="1:29" ht="27.75" thickTop="1">
      <c r="A76" s="482"/>
      <c r="B76" s="486" t="s">
        <v>1688</v>
      </c>
      <c r="C76" s="487"/>
      <c r="D76" s="487"/>
      <c r="E76" s="487"/>
      <c r="F76" s="487"/>
      <c r="G76" s="487"/>
      <c r="H76" s="487"/>
      <c r="I76" s="487"/>
      <c r="J76" s="487"/>
      <c r="K76" s="488"/>
      <c r="L76" s="489"/>
      <c r="M76" s="490"/>
      <c r="N76" s="2751"/>
      <c r="O76" s="2751"/>
      <c r="P76" s="2776"/>
      <c r="Q76" s="2737"/>
      <c r="R76" s="2723"/>
      <c r="S76" s="2723"/>
      <c r="T76" s="2723"/>
      <c r="U76" s="2723"/>
      <c r="V76" s="2723"/>
      <c r="W76" s="2723"/>
      <c r="X76" s="2723"/>
      <c r="Y76" s="2723"/>
      <c r="Z76" s="2723"/>
      <c r="AA76" s="2723"/>
      <c r="AB76" s="2723"/>
      <c r="AC76" s="2723"/>
    </row>
    <row r="77" spans="1:29" ht="15.75" thickBot="1">
      <c r="A77" s="482"/>
      <c r="B77" s="491"/>
      <c r="C77" s="492"/>
      <c r="D77" s="492"/>
      <c r="E77" s="492"/>
      <c r="F77" s="492"/>
      <c r="G77" s="492"/>
      <c r="H77" s="492"/>
      <c r="I77" s="492"/>
      <c r="J77" s="492"/>
      <c r="K77" s="492"/>
      <c r="L77" s="492"/>
      <c r="M77" s="493"/>
      <c r="N77" s="2752"/>
      <c r="O77" s="2752"/>
      <c r="P77" s="2776"/>
      <c r="Q77" s="2737"/>
      <c r="R77" s="2723"/>
      <c r="S77" s="2723"/>
      <c r="T77" s="2723"/>
      <c r="U77" s="2723"/>
      <c r="V77" s="2723"/>
      <c r="W77" s="2723"/>
      <c r="X77" s="2723"/>
      <c r="Y77" s="2723"/>
      <c r="Z77" s="2723"/>
      <c r="AA77" s="2723"/>
      <c r="AB77" s="2723"/>
      <c r="AC77" s="2723"/>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2"/>
      <c r="B79" s="496"/>
      <c r="C79" s="497"/>
      <c r="D79" s="497"/>
      <c r="E79" s="497"/>
      <c r="F79" s="497"/>
      <c r="G79" s="497"/>
      <c r="H79" s="497"/>
      <c r="I79" s="497"/>
      <c r="J79" s="497"/>
      <c r="K79" s="498"/>
      <c r="L79" s="499"/>
      <c r="M79" s="500"/>
      <c r="N79" s="2751"/>
      <c r="O79" s="2751"/>
      <c r="P79" s="2776"/>
      <c r="Q79" s="2737"/>
      <c r="R79" s="2723"/>
      <c r="S79" s="2723"/>
      <c r="T79" s="2723"/>
      <c r="U79" s="2723"/>
      <c r="V79" s="2723"/>
      <c r="W79" s="2723"/>
      <c r="X79" s="2723"/>
      <c r="Y79" s="2723"/>
      <c r="Z79" s="2723"/>
      <c r="AA79" s="2723"/>
      <c r="AB79" s="2723"/>
      <c r="AC79" s="2723"/>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7"/>
      <c r="R80" s="2723"/>
      <c r="S80" s="2723"/>
      <c r="T80" s="2723"/>
      <c r="U80" s="2723"/>
      <c r="V80" s="2723"/>
      <c r="W80" s="2723"/>
      <c r="X80" s="2723"/>
      <c r="Y80" s="2723"/>
      <c r="Z80" s="2723"/>
      <c r="AA80" s="2723"/>
      <c r="AB80" s="2723"/>
      <c r="AC80" s="2723"/>
    </row>
    <row r="81" spans="1:29" s="421" customFormat="1" ht="15.75"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5.75"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5.75" thickTop="1">
      <c r="A83" s="501"/>
      <c r="B83" s="486">
        <f>B13</f>
        <v>111</v>
      </c>
      <c r="C83" s="502"/>
      <c r="D83" s="502"/>
      <c r="E83" s="502"/>
      <c r="F83" s="502"/>
      <c r="G83" s="502"/>
      <c r="H83" s="503"/>
      <c r="I83" s="503"/>
      <c r="J83" s="503"/>
      <c r="K83" s="503"/>
      <c r="L83" s="504"/>
      <c r="M83" s="505"/>
      <c r="N83" s="2753"/>
      <c r="O83" s="2753"/>
      <c r="P83" s="2721"/>
      <c r="Q83" s="2747"/>
      <c r="R83" s="2745"/>
      <c r="S83" s="2745"/>
      <c r="T83" s="2745"/>
      <c r="U83" s="2745"/>
      <c r="V83" s="2745"/>
      <c r="W83" s="2745"/>
      <c r="X83" s="2745"/>
      <c r="Y83" s="2745"/>
      <c r="Z83" s="2745"/>
      <c r="AA83" s="2745"/>
      <c r="AB83" s="2745"/>
      <c r="AC83" s="2745"/>
    </row>
    <row r="84" spans="1:29" s="421" customFormat="1" ht="15.75"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5.75"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5.75"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c r="A87" s="475" t="s">
        <v>1690</v>
      </c>
      <c r="B87" s="476" t="s">
        <v>1720</v>
      </c>
      <c r="C87" s="521" t="s">
        <v>1721</v>
      </c>
      <c r="D87" s="521" t="s">
        <v>1722</v>
      </c>
      <c r="E87" s="521" t="s">
        <v>1723</v>
      </c>
      <c r="F87" s="521" t="s">
        <v>1724</v>
      </c>
      <c r="G87" s="521" t="s">
        <v>1725</v>
      </c>
      <c r="H87" s="477"/>
      <c r="I87" s="477"/>
      <c r="J87" s="477"/>
      <c r="K87" s="522"/>
      <c r="L87" s="523"/>
      <c r="M87" s="524"/>
      <c r="N87" s="2751"/>
      <c r="O87" s="2751"/>
      <c r="P87" s="2778"/>
      <c r="Q87" s="2737"/>
      <c r="R87" s="2723"/>
      <c r="S87" s="2723"/>
      <c r="T87" s="2723"/>
      <c r="U87" s="2723"/>
      <c r="V87" s="2723"/>
      <c r="W87" s="2723"/>
      <c r="X87" s="2723"/>
      <c r="Y87" s="2723"/>
      <c r="Z87" s="2723"/>
      <c r="AA87" s="2723"/>
      <c r="AB87" s="2723"/>
      <c r="AC87" s="2723"/>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7"/>
      <c r="R88" s="2723"/>
      <c r="S88" s="2723"/>
      <c r="T88" s="2723"/>
      <c r="U88" s="2723"/>
      <c r="V88" s="2723"/>
      <c r="W88" s="2723"/>
      <c r="X88" s="2723"/>
      <c r="Y88" s="2723"/>
      <c r="Z88" s="2723"/>
      <c r="AA88" s="2723"/>
      <c r="AB88" s="2723"/>
      <c r="AC88" s="2723"/>
    </row>
    <row r="89" spans="1:29" ht="15.75" thickTop="1">
      <c r="A89" s="482"/>
      <c r="B89" s="486" t="s">
        <v>1906</v>
      </c>
      <c r="C89" s="526" t="s">
        <v>1721</v>
      </c>
      <c r="D89" s="526" t="s">
        <v>1722</v>
      </c>
      <c r="E89" s="526" t="s">
        <v>1723</v>
      </c>
      <c r="F89" s="526" t="s">
        <v>1724</v>
      </c>
      <c r="G89" s="526" t="s">
        <v>1725</v>
      </c>
      <c r="H89" s="487"/>
      <c r="I89" s="487"/>
      <c r="J89" s="487"/>
      <c r="K89" s="488"/>
      <c r="L89" s="489"/>
      <c r="M89" s="490"/>
      <c r="N89" s="2751"/>
      <c r="O89" s="2751"/>
      <c r="P89" s="2776"/>
      <c r="Q89" s="2737"/>
      <c r="R89" s="2723"/>
      <c r="S89" s="2723"/>
      <c r="T89" s="2723"/>
      <c r="U89" s="2723"/>
      <c r="V89" s="2723"/>
      <c r="W89" s="2723"/>
      <c r="X89" s="2723"/>
      <c r="Y89" s="2723"/>
      <c r="Z89" s="2723"/>
      <c r="AA89" s="2723"/>
      <c r="AB89" s="2723"/>
      <c r="AC89" s="2723"/>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7"/>
      <c r="R90" s="2723"/>
      <c r="S90" s="2723"/>
      <c r="T90" s="2723"/>
      <c r="U90" s="2723"/>
      <c r="V90" s="2723"/>
      <c r="W90" s="2723"/>
      <c r="X90" s="2723"/>
      <c r="Y90" s="2723"/>
      <c r="Z90" s="2723"/>
      <c r="AA90" s="2723"/>
      <c r="AB90" s="2723"/>
      <c r="AC90" s="2723"/>
    </row>
    <row r="91" spans="1:29" ht="15.75" thickTop="1">
      <c r="A91" s="482"/>
      <c r="B91" s="486" t="s">
        <v>1821</v>
      </c>
      <c r="C91" s="526" t="s">
        <v>1721</v>
      </c>
      <c r="D91" s="526" t="s">
        <v>1722</v>
      </c>
      <c r="E91" s="526" t="s">
        <v>1723</v>
      </c>
      <c r="F91" s="526" t="s">
        <v>1724</v>
      </c>
      <c r="G91" s="526" t="s">
        <v>1725</v>
      </c>
      <c r="H91" s="487"/>
      <c r="I91" s="487"/>
      <c r="J91" s="487"/>
      <c r="K91" s="488"/>
      <c r="L91" s="489"/>
      <c r="M91" s="490"/>
      <c r="N91" s="2751"/>
      <c r="O91" s="2751"/>
      <c r="P91" s="2776"/>
      <c r="Q91" s="2737"/>
      <c r="R91" s="2723"/>
      <c r="S91" s="2723"/>
      <c r="T91" s="2723"/>
      <c r="U91" s="2723"/>
      <c r="V91" s="2723"/>
      <c r="W91" s="2723"/>
      <c r="X91" s="2723"/>
      <c r="Y91" s="2723"/>
      <c r="Z91" s="2723"/>
      <c r="AA91" s="2723"/>
      <c r="AB91" s="2723"/>
      <c r="AC91" s="2723"/>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7"/>
      <c r="R92" s="2723"/>
      <c r="S92" s="2723"/>
      <c r="T92" s="2723"/>
      <c r="U92" s="2723"/>
      <c r="V92" s="2723"/>
      <c r="W92" s="2723"/>
      <c r="X92" s="2723"/>
      <c r="Y92" s="2723"/>
      <c r="Z92" s="2723"/>
      <c r="AA92" s="2723"/>
      <c r="AB92" s="2723"/>
      <c r="AC92" s="2723"/>
    </row>
    <row r="93" spans="1:29" ht="15.75" thickTop="1">
      <c r="A93" s="482"/>
      <c r="B93" s="486" t="s">
        <v>1726</v>
      </c>
      <c r="C93" s="526" t="s">
        <v>1721</v>
      </c>
      <c r="D93" s="526" t="s">
        <v>1722</v>
      </c>
      <c r="E93" s="526" t="s">
        <v>1723</v>
      </c>
      <c r="F93" s="526" t="s">
        <v>1724</v>
      </c>
      <c r="G93" s="526" t="s">
        <v>1725</v>
      </c>
      <c r="H93" s="487"/>
      <c r="I93" s="487"/>
      <c r="J93" s="487"/>
      <c r="K93" s="488"/>
      <c r="L93" s="489"/>
      <c r="M93" s="490"/>
      <c r="N93" s="2751"/>
      <c r="O93" s="2751"/>
      <c r="P93" s="2776"/>
      <c r="Q93" s="2737"/>
      <c r="R93" s="2723"/>
      <c r="S93" s="2723"/>
      <c r="T93" s="2723"/>
      <c r="U93" s="2723"/>
      <c r="V93" s="2723"/>
      <c r="W93" s="2723"/>
      <c r="X93" s="2723"/>
      <c r="Y93" s="2723"/>
      <c r="Z93" s="2723"/>
      <c r="AA93" s="2723"/>
      <c r="AB93" s="2723"/>
      <c r="AC93" s="2723"/>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7"/>
      <c r="R94" s="2723"/>
      <c r="S94" s="2723"/>
      <c r="T94" s="2723"/>
      <c r="U94" s="2723"/>
      <c r="V94" s="2723"/>
      <c r="W94" s="2723"/>
      <c r="X94" s="2723"/>
      <c r="Y94" s="2723"/>
      <c r="Z94" s="2723"/>
      <c r="AA94" s="2723"/>
      <c r="AB94" s="2723"/>
      <c r="AC94" s="2723"/>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0"/>
      <c r="O95" s="2750"/>
      <c r="P95" s="2776"/>
      <c r="Q95" s="2737"/>
      <c r="R95" s="2659"/>
      <c r="S95" s="2659"/>
      <c r="T95" s="2659"/>
      <c r="U95" s="2659"/>
      <c r="V95" s="2659"/>
      <c r="W95" s="2659"/>
      <c r="X95" s="2659"/>
      <c r="Y95" s="2659"/>
      <c r="Z95" s="2659"/>
      <c r="AA95" s="2659"/>
      <c r="AB95" s="2659"/>
      <c r="AC95" s="2659"/>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7"/>
      <c r="R96" s="2659"/>
      <c r="S96" s="2659"/>
      <c r="T96" s="2659"/>
      <c r="U96" s="2659"/>
      <c r="V96" s="2659"/>
      <c r="W96" s="2659"/>
      <c r="X96" s="2659"/>
      <c r="Y96" s="2659"/>
      <c r="Z96" s="2659"/>
      <c r="AA96" s="2659"/>
      <c r="AB96" s="2659"/>
      <c r="AC96" s="2659"/>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0"/>
      <c r="O97" s="2750"/>
      <c r="P97" s="2776"/>
      <c r="Q97" s="2737"/>
      <c r="R97" s="2659"/>
      <c r="S97" s="2659"/>
      <c r="T97" s="2659"/>
      <c r="U97" s="2659"/>
      <c r="V97" s="2659"/>
      <c r="W97" s="2659"/>
      <c r="X97" s="2659"/>
      <c r="Y97" s="2659"/>
      <c r="Z97" s="2659"/>
      <c r="AA97" s="2659"/>
      <c r="AB97" s="2659"/>
      <c r="AC97" s="2659"/>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7"/>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3"/>
      <c r="O101" s="2753"/>
      <c r="P101" s="2777"/>
      <c r="Q101" s="2744"/>
      <c r="R101" s="2745"/>
      <c r="S101" s="2745"/>
      <c r="T101" s="2745"/>
      <c r="U101" s="2745"/>
      <c r="V101" s="2745"/>
      <c r="W101" s="2745"/>
      <c r="X101" s="2745"/>
      <c r="Y101" s="2745"/>
      <c r="Z101" s="2745"/>
      <c r="AA101" s="2745"/>
      <c r="AB101" s="2745"/>
      <c r="AC101" s="2745"/>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1"/>
      <c r="O103" s="2751"/>
      <c r="P103" s="2776"/>
      <c r="Q103" s="2737"/>
      <c r="R103" s="2723"/>
      <c r="S103" s="2723"/>
      <c r="T103" s="2723"/>
      <c r="U103" s="2723"/>
      <c r="V103" s="2723"/>
      <c r="W103" s="2723"/>
      <c r="X103" s="2723"/>
      <c r="Y103" s="2723"/>
      <c r="Z103" s="2723"/>
      <c r="AA103" s="2723"/>
      <c r="AB103" s="2723"/>
      <c r="AC103" s="2723"/>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2"/>
      <c r="B105" s="486" t="s">
        <v>1815</v>
      </c>
      <c r="C105" s="502"/>
      <c r="D105" s="502"/>
      <c r="E105" s="502"/>
      <c r="F105" s="502"/>
      <c r="G105" s="502"/>
      <c r="H105" s="531"/>
      <c r="I105" s="531"/>
      <c r="J105" s="531"/>
      <c r="K105" s="532"/>
      <c r="L105" s="533"/>
      <c r="M105" s="534"/>
      <c r="N105" s="2751"/>
      <c r="O105" s="2751"/>
      <c r="P105" s="2776"/>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2"/>
      <c r="B107" s="486" t="s">
        <v>1873</v>
      </c>
      <c r="C107" s="531"/>
      <c r="D107" s="531"/>
      <c r="E107" s="531"/>
      <c r="F107" s="531"/>
      <c r="G107" s="531"/>
      <c r="H107" s="531"/>
      <c r="I107" s="531"/>
      <c r="J107" s="531"/>
      <c r="K107" s="532"/>
      <c r="L107" s="533"/>
      <c r="M107" s="534"/>
      <c r="N107" s="2751"/>
      <c r="O107" s="2751"/>
      <c r="P107" s="2776"/>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2"/>
      <c r="B109" s="494">
        <f>B35</f>
        <v>111</v>
      </c>
      <c r="C109" s="502"/>
      <c r="D109" s="502"/>
      <c r="E109" s="502"/>
      <c r="F109" s="502"/>
      <c r="G109" s="535"/>
      <c r="H109" s="535"/>
      <c r="I109" s="535"/>
      <c r="J109" s="535"/>
      <c r="K109" s="536"/>
      <c r="L109" s="537"/>
      <c r="M109" s="538"/>
      <c r="N109" s="2751"/>
      <c r="O109" s="2751"/>
      <c r="P109" s="2776"/>
      <c r="Q109" s="2737"/>
      <c r="R109" s="2723"/>
      <c r="S109" s="2723"/>
      <c r="T109" s="2723"/>
      <c r="U109" s="2723"/>
      <c r="V109" s="2723"/>
      <c r="W109" s="2723"/>
      <c r="X109" s="2723"/>
      <c r="Y109" s="2723"/>
      <c r="Z109" s="2723"/>
      <c r="AA109" s="2723"/>
      <c r="AB109" s="2723"/>
      <c r="AC109" s="2723"/>
    </row>
    <row r="110" spans="1:29" ht="15.75" thickBot="1">
      <c r="A110" s="482"/>
      <c r="B110" s="517"/>
      <c r="C110" s="508"/>
      <c r="D110" s="508"/>
      <c r="E110" s="508"/>
      <c r="F110" s="508"/>
      <c r="G110" s="539"/>
      <c r="H110" s="539"/>
      <c r="I110" s="539"/>
      <c r="J110" s="539"/>
      <c r="K110" s="539"/>
      <c r="L110" s="539"/>
      <c r="M110" s="540"/>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6">
        <f>B36</f>
        <v>111</v>
      </c>
      <c r="C111" s="471"/>
      <c r="D111" s="471"/>
      <c r="E111" s="471"/>
      <c r="F111" s="471"/>
      <c r="G111" s="531"/>
      <c r="H111" s="531"/>
      <c r="I111" s="531"/>
      <c r="J111" s="531"/>
      <c r="K111" s="532"/>
      <c r="L111" s="533"/>
      <c r="M111" s="534"/>
      <c r="N111" s="2751"/>
      <c r="O111" s="2751"/>
      <c r="P111" s="2776"/>
      <c r="Q111" s="2737"/>
      <c r="R111" s="2723"/>
      <c r="S111" s="2723"/>
      <c r="T111" s="2723"/>
      <c r="U111" s="2723"/>
      <c r="V111" s="2723"/>
      <c r="W111" s="2723"/>
      <c r="X111" s="2723"/>
      <c r="Y111" s="2723"/>
      <c r="Z111" s="2723"/>
      <c r="AA111" s="2723"/>
      <c r="AB111" s="2723"/>
      <c r="AC111" s="2723"/>
    </row>
    <row r="112" spans="1:29" ht="15.75" thickBot="1">
      <c r="A112" s="482"/>
      <c r="B112" s="491"/>
      <c r="C112" s="518"/>
      <c r="D112" s="518"/>
      <c r="E112" s="518"/>
      <c r="F112" s="518"/>
      <c r="G112" s="484"/>
      <c r="H112" s="484"/>
      <c r="I112" s="484"/>
      <c r="J112" s="484"/>
      <c r="K112" s="484"/>
      <c r="L112" s="484"/>
      <c r="M112" s="485"/>
      <c r="N112" s="2752"/>
      <c r="O112" s="2752"/>
      <c r="P112" s="2776"/>
      <c r="Q112" s="2737"/>
      <c r="R112" s="2723"/>
      <c r="S112" s="2723"/>
      <c r="T112" s="2723"/>
      <c r="U112" s="2723"/>
      <c r="V112" s="2723"/>
      <c r="W112" s="2723"/>
      <c r="X112" s="2723"/>
      <c r="Y112" s="2723"/>
      <c r="Z112" s="2723"/>
      <c r="AA112" s="2723"/>
      <c r="AB112" s="2723"/>
      <c r="AC112" s="2723"/>
    </row>
    <row r="113" spans="1:29" s="421" customFormat="1" ht="15"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5.75"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2"/>
      <c r="B116" s="494"/>
      <c r="C116" s="543"/>
      <c r="D116" s="543"/>
      <c r="E116" s="543"/>
      <c r="F116" s="543"/>
      <c r="G116" s="543"/>
      <c r="H116" s="543"/>
      <c r="I116" s="543"/>
      <c r="J116" s="544"/>
      <c r="K116" s="544"/>
      <c r="L116" s="545"/>
      <c r="M116" s="546"/>
      <c r="N116" s="2751"/>
      <c r="O116" s="2751"/>
      <c r="P116" s="2776"/>
      <c r="Q116" s="2737"/>
      <c r="R116" s="2723"/>
      <c r="S116" s="2723"/>
      <c r="T116" s="2723"/>
      <c r="U116" s="2723"/>
      <c r="V116" s="2723"/>
      <c r="W116" s="2723"/>
      <c r="X116" s="2723"/>
      <c r="Y116" s="2723"/>
      <c r="Z116" s="2723"/>
      <c r="AA116" s="2723"/>
      <c r="AB116" s="2723"/>
      <c r="AC116" s="2723"/>
    </row>
    <row r="117" spans="1:29" ht="15.75" thickBot="1">
      <c r="A117" s="482"/>
      <c r="B117" s="491"/>
      <c r="C117" s="518"/>
      <c r="D117" s="539"/>
      <c r="E117" s="539"/>
      <c r="F117" s="539"/>
      <c r="G117" s="539"/>
      <c r="H117" s="539"/>
      <c r="I117" s="539"/>
      <c r="J117" s="539"/>
      <c r="K117" s="539"/>
      <c r="L117" s="539"/>
      <c r="M117" s="540"/>
      <c r="N117" s="2752"/>
      <c r="O117" s="2752"/>
      <c r="P117" s="2776"/>
      <c r="Q117" s="2737"/>
      <c r="R117" s="2723"/>
      <c r="S117" s="2723"/>
      <c r="T117" s="2723"/>
      <c r="U117" s="2723"/>
      <c r="V117" s="2723"/>
      <c r="W117" s="2723"/>
      <c r="X117" s="2723"/>
      <c r="Y117" s="2723"/>
      <c r="Z117" s="2723"/>
      <c r="AA117" s="2723"/>
      <c r="AB117" s="2723"/>
      <c r="AC117" s="2723"/>
    </row>
    <row r="118" spans="1:29" ht="15" thickTop="1">
      <c r="A118" s="547"/>
      <c r="B118" s="486" t="s">
        <v>1914</v>
      </c>
      <c r="C118" s="531"/>
      <c r="D118" s="531"/>
      <c r="E118" s="531"/>
      <c r="F118" s="531"/>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7"/>
      <c r="B120" s="486" t="s">
        <v>1915</v>
      </c>
      <c r="C120" s="502"/>
      <c r="D120" s="502"/>
      <c r="E120" s="502"/>
      <c r="F120" s="531"/>
      <c r="G120" s="531"/>
      <c r="H120" s="531"/>
      <c r="I120" s="531"/>
      <c r="J120" s="531"/>
      <c r="K120" s="532"/>
      <c r="L120" s="533"/>
      <c r="M120" s="534"/>
      <c r="N120" s="2751"/>
      <c r="O120" s="2751"/>
      <c r="P120" s="2776"/>
      <c r="Q120" s="2737"/>
      <c r="R120" s="2723"/>
      <c r="S120" s="2723"/>
      <c r="T120" s="2723"/>
      <c r="U120" s="2723"/>
      <c r="V120" s="2723"/>
      <c r="W120" s="2723"/>
      <c r="X120" s="2723"/>
      <c r="Y120" s="2723"/>
      <c r="Z120" s="2723"/>
      <c r="AA120" s="2723"/>
      <c r="AB120" s="2723"/>
      <c r="AC120" s="2723"/>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7"/>
      <c r="R121" s="2723"/>
      <c r="S121" s="2723"/>
      <c r="T121" s="2723"/>
      <c r="U121" s="2723"/>
      <c r="V121" s="2723"/>
      <c r="W121" s="2723"/>
      <c r="X121" s="2723"/>
      <c r="Y121" s="2723"/>
      <c r="Z121" s="2723"/>
      <c r="AA121" s="2723"/>
      <c r="AB121" s="2723"/>
      <c r="AC121" s="2723"/>
    </row>
    <row r="122" spans="1:29" s="421" customFormat="1" ht="15" thickTop="1">
      <c r="A122" s="541"/>
      <c r="B122" s="486" t="s">
        <v>1916</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1917</v>
      </c>
      <c r="C124" s="502"/>
      <c r="D124" s="502"/>
      <c r="E124" s="531"/>
      <c r="F124" s="531"/>
      <c r="G124" s="531"/>
      <c r="H124" s="531"/>
      <c r="I124" s="531"/>
      <c r="J124" s="531"/>
      <c r="K124" s="532"/>
      <c r="L124" s="533"/>
      <c r="M124" s="534"/>
      <c r="N124" s="2751"/>
      <c r="O124" s="2751"/>
      <c r="P124" s="2776"/>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7"/>
      <c r="B126" s="486">
        <f>B43</f>
        <v>111</v>
      </c>
      <c r="C126" s="502"/>
      <c r="D126" s="502"/>
      <c r="E126" s="502"/>
      <c r="F126" s="502"/>
      <c r="G126" s="502"/>
      <c r="H126" s="531"/>
      <c r="I126" s="531"/>
      <c r="J126" s="531"/>
      <c r="K126" s="532"/>
      <c r="L126" s="533"/>
      <c r="M126" s="534"/>
      <c r="N126" s="2751"/>
      <c r="O126" s="2751"/>
      <c r="P126" s="2776"/>
      <c r="Q126" s="2737"/>
      <c r="R126" s="2723"/>
      <c r="S126" s="2723"/>
      <c r="T126" s="2723"/>
      <c r="U126" s="2723"/>
      <c r="V126" s="2723"/>
      <c r="W126" s="2723"/>
      <c r="X126" s="2723"/>
      <c r="Y126" s="2723"/>
      <c r="Z126" s="2723"/>
      <c r="AA126" s="2723"/>
      <c r="AB126" s="2723"/>
      <c r="AC126" s="2723"/>
    </row>
    <row r="127" spans="1:29" ht="15.75" thickBot="1">
      <c r="A127" s="482"/>
      <c r="B127" s="491"/>
      <c r="C127" s="508"/>
      <c r="D127" s="508"/>
      <c r="E127" s="508"/>
      <c r="F127" s="508"/>
      <c r="G127" s="484"/>
      <c r="H127" s="484"/>
      <c r="I127" s="484"/>
      <c r="J127" s="484"/>
      <c r="K127" s="484"/>
      <c r="L127" s="484"/>
      <c r="M127" s="485"/>
      <c r="N127" s="2752"/>
      <c r="O127" s="2752"/>
      <c r="P127" s="2776"/>
      <c r="Q127" s="2737"/>
      <c r="R127" s="2723"/>
      <c r="S127" s="2723"/>
      <c r="T127" s="2723"/>
      <c r="U127" s="2723"/>
      <c r="V127" s="2723"/>
      <c r="W127" s="2723"/>
      <c r="X127" s="2723"/>
      <c r="Y127" s="2723"/>
      <c r="Z127" s="2723"/>
      <c r="AA127" s="2723"/>
      <c r="AB127" s="2723"/>
      <c r="AC127" s="2723"/>
    </row>
    <row r="128" spans="1:29" ht="15" thickTop="1">
      <c r="A128" s="547"/>
      <c r="B128" s="486">
        <f>B44</f>
        <v>111</v>
      </c>
      <c r="C128" s="471"/>
      <c r="D128" s="471"/>
      <c r="E128" s="471"/>
      <c r="F128" s="471"/>
      <c r="G128" s="531"/>
      <c r="H128" s="531"/>
      <c r="I128" s="531"/>
      <c r="J128" s="531"/>
      <c r="K128" s="532"/>
      <c r="L128" s="533"/>
      <c r="M128" s="534"/>
      <c r="N128" s="2751"/>
      <c r="O128" s="2751"/>
      <c r="P128" s="2776"/>
      <c r="Q128" s="2737"/>
      <c r="R128" s="2723"/>
      <c r="S128" s="2723"/>
      <c r="T128" s="2723"/>
      <c r="U128" s="2723"/>
      <c r="V128" s="2723"/>
      <c r="W128" s="2723"/>
      <c r="X128" s="2723"/>
      <c r="Y128" s="2723"/>
      <c r="Z128" s="2723"/>
      <c r="AA128" s="2723"/>
      <c r="AB128" s="2723"/>
      <c r="AC128" s="2723"/>
    </row>
    <row r="129" spans="1:29" ht="15.75" thickBot="1">
      <c r="A129" s="482"/>
      <c r="B129" s="491"/>
      <c r="C129" s="518"/>
      <c r="D129" s="518"/>
      <c r="E129" s="518"/>
      <c r="F129" s="518"/>
      <c r="G129" s="484"/>
      <c r="H129" s="484"/>
      <c r="I129" s="484"/>
      <c r="J129" s="484"/>
      <c r="K129" s="484"/>
      <c r="L129" s="484"/>
      <c r="M129" s="485"/>
      <c r="N129" s="2752"/>
      <c r="O129" s="2752"/>
      <c r="P129" s="2776"/>
      <c r="Q129" s="2737"/>
      <c r="R129" s="2723"/>
      <c r="S129" s="2723"/>
      <c r="T129" s="2723"/>
      <c r="U129" s="2723"/>
      <c r="V129" s="2723"/>
      <c r="W129" s="2723"/>
      <c r="X129" s="2723"/>
      <c r="Y129" s="2723"/>
      <c r="Z129" s="2723"/>
      <c r="AA129" s="2723"/>
      <c r="AB129" s="2723"/>
      <c r="AC129" s="2723"/>
    </row>
    <row r="130" spans="1:29" s="421" customFormat="1" ht="15"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5.75"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747" t="s">
        <v>1770</v>
      </c>
      <c r="D4" s="3748"/>
      <c r="E4" s="3749" t="s">
        <v>1771</v>
      </c>
      <c r="F4" s="3750"/>
      <c r="G4" s="3747" t="s">
        <v>1772</v>
      </c>
      <c r="H4" s="3748"/>
      <c r="I4" s="3747" t="s">
        <v>1773</v>
      </c>
      <c r="J4" s="3748"/>
      <c r="K4" s="558" t="s">
        <v>1774</v>
      </c>
      <c r="L4" s="2713"/>
      <c r="M4" s="2714"/>
      <c r="N4" s="2714"/>
      <c r="O4" s="2714"/>
      <c r="P4" s="3751" t="s">
        <v>1775</v>
      </c>
      <c r="Q4" s="3752"/>
      <c r="R4" s="3757" t="s">
        <v>1771</v>
      </c>
      <c r="S4" s="3758"/>
      <c r="T4" s="3757" t="s">
        <v>1772</v>
      </c>
      <c r="U4" s="3758"/>
      <c r="V4" s="3763" t="s">
        <v>1773</v>
      </c>
      <c r="W4" s="3763"/>
      <c r="X4" s="1353"/>
      <c r="Y4" s="3757" t="s">
        <v>1775</v>
      </c>
      <c r="Z4" s="3758"/>
      <c r="AA4" s="3744" t="s">
        <v>1771</v>
      </c>
      <c r="AB4" s="3745" t="s">
        <v>1772</v>
      </c>
      <c r="AC4" s="3744" t="s">
        <v>1773</v>
      </c>
    </row>
    <row r="5" spans="1:29" ht="15">
      <c r="A5" s="357"/>
      <c r="B5" s="358"/>
      <c r="C5" s="3766" t="s">
        <v>1673</v>
      </c>
      <c r="D5" s="3767"/>
      <c r="E5" s="3773" t="s">
        <v>1674</v>
      </c>
      <c r="F5" s="3774"/>
      <c r="G5" s="3766" t="s">
        <v>1675</v>
      </c>
      <c r="H5" s="3767"/>
      <c r="I5" s="3766" t="s">
        <v>1676</v>
      </c>
      <c r="J5" s="3767"/>
      <c r="K5" s="558"/>
      <c r="L5" s="2713"/>
      <c r="M5" s="2714"/>
      <c r="N5" s="2714"/>
      <c r="O5" s="2714"/>
      <c r="P5" s="3753"/>
      <c r="Q5" s="3754"/>
      <c r="R5" s="3759"/>
      <c r="S5" s="3760"/>
      <c r="T5" s="3759"/>
      <c r="U5" s="3760"/>
      <c r="V5" s="3763"/>
      <c r="W5" s="3763"/>
      <c r="X5" s="1353"/>
      <c r="Y5" s="3759"/>
      <c r="Z5" s="3760"/>
      <c r="AA5" s="3745"/>
      <c r="AB5" s="3745"/>
      <c r="AC5" s="3745"/>
    </row>
    <row r="6" spans="1:29" ht="15.75" thickBot="1">
      <c r="A6" s="359"/>
      <c r="B6" s="360"/>
      <c r="C6" s="3795" t="s">
        <v>1919</v>
      </c>
      <c r="D6" s="3796"/>
      <c r="E6" s="3797" t="s">
        <v>1919</v>
      </c>
      <c r="F6" s="3798"/>
      <c r="G6" s="3795" t="s">
        <v>1919</v>
      </c>
      <c r="H6" s="3796"/>
      <c r="I6" s="3795" t="s">
        <v>1919</v>
      </c>
      <c r="J6" s="3796"/>
      <c r="K6" s="558" t="s">
        <v>1678</v>
      </c>
      <c r="L6" s="2713"/>
      <c r="M6" s="2714"/>
      <c r="N6" s="2714"/>
      <c r="O6" s="2714"/>
      <c r="P6" s="3755"/>
      <c r="Q6" s="3756"/>
      <c r="R6" s="3759"/>
      <c r="S6" s="3760"/>
      <c r="T6" s="3761"/>
      <c r="U6" s="3762"/>
      <c r="V6" s="3763"/>
      <c r="W6" s="3763"/>
      <c r="X6" s="1353"/>
      <c r="Y6" s="3761"/>
      <c r="Z6" s="3762"/>
      <c r="AA6" s="3746"/>
      <c r="AB6" s="3746"/>
      <c r="AC6" s="3746"/>
    </row>
    <row r="7" spans="1:29" s="107" customFormat="1" ht="15.75" thickBot="1">
      <c r="A7" s="361" t="s">
        <v>1679</v>
      </c>
      <c r="B7" s="362"/>
      <c r="C7" s="363">
        <f>'数据-取费表'!B2</f>
        <v>45062</v>
      </c>
      <c r="D7" s="364">
        <v>100</v>
      </c>
      <c r="E7" s="365"/>
      <c r="F7" s="366">
        <f>SUMIF(65:65,YEAR(E7)&amp;"-"&amp;INT((MONTH(E7)+2)/3),66:66)</f>
        <v>0</v>
      </c>
      <c r="G7" s="1972"/>
      <c r="H7" s="364">
        <f>SUMIF(65:65,YEAR(G7)&amp;"-"&amp;INT((MONTH(G7)+2)/3),66:66)</f>
        <v>0</v>
      </c>
      <c r="I7" s="1972"/>
      <c r="J7" s="364">
        <f>SUMIF(65:65,YEAR(I7)&amp;"-"&amp;INT((MONTH(I7)+2)/3),66:66)</f>
        <v>0</v>
      </c>
      <c r="K7" s="559"/>
      <c r="L7" s="2715"/>
      <c r="M7" s="2716"/>
      <c r="N7" s="2716"/>
      <c r="O7" s="2716"/>
      <c r="P7" s="3768" t="s">
        <v>1680</v>
      </c>
      <c r="Q7" s="3770"/>
      <c r="R7" s="699" t="s">
        <v>14</v>
      </c>
      <c r="S7" s="700">
        <f t="shared" ref="S7:S15" si="0">F7</f>
        <v>0</v>
      </c>
      <c r="T7" s="699" t="s">
        <v>14</v>
      </c>
      <c r="U7" s="700">
        <f t="shared" ref="U7:U15" si="1">H7</f>
        <v>0</v>
      </c>
      <c r="V7" s="699" t="s">
        <v>14</v>
      </c>
      <c r="W7" s="700">
        <f t="shared" ref="W7:W15" si="2">J7</f>
        <v>0</v>
      </c>
      <c r="X7" s="701"/>
      <c r="Y7" s="3768" t="s">
        <v>1680</v>
      </c>
      <c r="Z7" s="376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5"/>
      <c r="M8" s="2716"/>
      <c r="N8" s="2716"/>
      <c r="O8" s="2716"/>
      <c r="P8" s="3768" t="s">
        <v>1683</v>
      </c>
      <c r="Q8" s="3769"/>
      <c r="R8" s="699" t="s">
        <v>14</v>
      </c>
      <c r="S8" s="700">
        <f t="shared" si="0"/>
        <v>0</v>
      </c>
      <c r="T8" s="699" t="s">
        <v>14</v>
      </c>
      <c r="U8" s="700">
        <f t="shared" si="1"/>
        <v>0</v>
      </c>
      <c r="V8" s="699" t="s">
        <v>14</v>
      </c>
      <c r="W8" s="700">
        <f t="shared" si="2"/>
        <v>0</v>
      </c>
      <c r="X8" s="701"/>
      <c r="Y8" s="3768" t="s">
        <v>1683</v>
      </c>
      <c r="Z8" s="3769"/>
      <c r="AA8" s="702" t="e">
        <f t="shared" ref="AA8:AA40" si="3">D8/F8</f>
        <v>#DIV/0!</v>
      </c>
      <c r="AB8" s="702" t="e">
        <f t="shared" ref="AB8:AB40" si="4">D8/H8</f>
        <v>#DIV/0!</v>
      </c>
      <c r="AC8" s="702" t="e">
        <f t="shared" ref="AC8:AC40" si="5">D8/J8</f>
        <v>#DIV/0!</v>
      </c>
    </row>
    <row r="9" spans="1:29" s="107" customFormat="1">
      <c r="A9" s="368" t="s">
        <v>1684</v>
      </c>
      <c r="B9" s="62" t="s">
        <v>1685</v>
      </c>
      <c r="C9" s="1975"/>
      <c r="D9" s="125">
        <v>100</v>
      </c>
      <c r="E9" s="1975"/>
      <c r="F9" s="125">
        <f>SUMIF(70:70,E9,71:71)-SUMIF(70:70,C9,71:71)+100</f>
        <v>100</v>
      </c>
      <c r="G9" s="1975"/>
      <c r="H9" s="125">
        <f>SUMIF(70:70,G9,71:71)-SUMIF(70:70,C9,71:71)+100</f>
        <v>100</v>
      </c>
      <c r="I9" s="1975"/>
      <c r="J9" s="125">
        <f>SUMIF(70:70,I9,71:71)-SUMIF(70:70,C9,71:71)+100</f>
        <v>100</v>
      </c>
      <c r="K9" s="559"/>
      <c r="L9" s="2715"/>
      <c r="M9" s="2716"/>
      <c r="N9" s="2716"/>
      <c r="O9" s="2770"/>
      <c r="P9" s="3732" t="s">
        <v>1686</v>
      </c>
      <c r="Q9" s="1341" t="str">
        <f t="shared" ref="Q9:Q15" si="6">B9</f>
        <v>用途</v>
      </c>
      <c r="R9" s="699" t="s">
        <v>14</v>
      </c>
      <c r="S9" s="700">
        <f t="shared" si="0"/>
        <v>100</v>
      </c>
      <c r="T9" s="699" t="s">
        <v>14</v>
      </c>
      <c r="U9" s="700">
        <f t="shared" si="1"/>
        <v>100</v>
      </c>
      <c r="V9" s="699" t="s">
        <v>14</v>
      </c>
      <c r="W9" s="700">
        <f t="shared" si="2"/>
        <v>100</v>
      </c>
      <c r="X9" s="701"/>
      <c r="Y9" s="3626" t="s">
        <v>1687</v>
      </c>
      <c r="Z9" s="51"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9"/>
      <c r="L10" s="2717"/>
      <c r="M10" s="2718"/>
      <c r="N10" s="2718"/>
      <c r="O10" s="2771"/>
      <c r="P10" s="3732"/>
      <c r="Q10" s="1341" t="str">
        <f t="shared" si="6"/>
        <v>土地使用年限（年）</v>
      </c>
      <c r="R10" s="699" t="s">
        <v>14</v>
      </c>
      <c r="S10" s="700">
        <f t="shared" si="0"/>
        <v>100</v>
      </c>
      <c r="T10" s="699" t="s">
        <v>14</v>
      </c>
      <c r="U10" s="700">
        <f t="shared" si="1"/>
        <v>100</v>
      </c>
      <c r="V10" s="699" t="s">
        <v>14</v>
      </c>
      <c r="W10" s="700">
        <f t="shared" si="2"/>
        <v>100</v>
      </c>
      <c r="X10" s="701"/>
      <c r="Y10" s="3626"/>
      <c r="Z10" s="51"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9"/>
      <c r="M11" s="2714"/>
      <c r="N11" s="2714"/>
      <c r="O11" s="2772"/>
      <c r="P11" s="3732"/>
      <c r="Q11" s="1341" t="str">
        <f t="shared" si="6"/>
        <v>容积率</v>
      </c>
      <c r="R11" s="699" t="s">
        <v>14</v>
      </c>
      <c r="S11" s="700" t="e">
        <f t="shared" si="0"/>
        <v>#N/A</v>
      </c>
      <c r="T11" s="699" t="s">
        <v>14</v>
      </c>
      <c r="U11" s="700" t="e">
        <f t="shared" si="1"/>
        <v>#N/A</v>
      </c>
      <c r="V11" s="699" t="s">
        <v>14</v>
      </c>
      <c r="W11" s="700" t="e">
        <f t="shared" si="2"/>
        <v>#N/A</v>
      </c>
      <c r="X11" s="701"/>
      <c r="Y11" s="3626"/>
      <c r="Z11" s="51"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5"/>
      <c r="M12" s="2716"/>
      <c r="N12" s="2716"/>
      <c r="O12" s="2770"/>
      <c r="P12" s="3732"/>
      <c r="Q12" s="1341">
        <f t="shared" si="6"/>
        <v>111</v>
      </c>
      <c r="R12" s="699" t="s">
        <v>14</v>
      </c>
      <c r="S12" s="700">
        <f t="shared" si="0"/>
        <v>100</v>
      </c>
      <c r="T12" s="699" t="s">
        <v>14</v>
      </c>
      <c r="U12" s="700">
        <f t="shared" si="1"/>
        <v>100</v>
      </c>
      <c r="V12" s="699" t="s">
        <v>14</v>
      </c>
      <c r="W12" s="700">
        <f t="shared" si="2"/>
        <v>100</v>
      </c>
      <c r="X12" s="701"/>
      <c r="Y12" s="3626"/>
      <c r="Z12" s="51">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20"/>
      <c r="M13" s="2714"/>
      <c r="N13" s="2714"/>
      <c r="O13" s="2772"/>
      <c r="P13" s="3732"/>
      <c r="Q13" s="1341">
        <f t="shared" si="6"/>
        <v>111</v>
      </c>
      <c r="R13" s="699" t="s">
        <v>14</v>
      </c>
      <c r="S13" s="700">
        <f t="shared" si="0"/>
        <v>100</v>
      </c>
      <c r="T13" s="699" t="s">
        <v>14</v>
      </c>
      <c r="U13" s="700">
        <f t="shared" si="1"/>
        <v>100</v>
      </c>
      <c r="V13" s="699" t="s">
        <v>14</v>
      </c>
      <c r="W13" s="700">
        <f t="shared" si="2"/>
        <v>100</v>
      </c>
      <c r="X13" s="701"/>
      <c r="Y13" s="3626"/>
      <c r="Z13" s="51">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20"/>
      <c r="M14" s="2714"/>
      <c r="N14" s="2714"/>
      <c r="O14" s="2772"/>
      <c r="P14" s="3732"/>
      <c r="Q14" s="1341">
        <f t="shared" si="6"/>
        <v>111</v>
      </c>
      <c r="R14" s="699" t="s">
        <v>14</v>
      </c>
      <c r="S14" s="700">
        <f t="shared" si="0"/>
        <v>100</v>
      </c>
      <c r="T14" s="699" t="s">
        <v>14</v>
      </c>
      <c r="U14" s="700">
        <f t="shared" si="1"/>
        <v>100</v>
      </c>
      <c r="V14" s="699" t="s">
        <v>14</v>
      </c>
      <c r="W14" s="700">
        <f t="shared" si="2"/>
        <v>100</v>
      </c>
      <c r="X14" s="701"/>
      <c r="Y14" s="3626"/>
      <c r="Z14" s="51">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0"/>
      <c r="M15" s="2714"/>
      <c r="N15" s="2714"/>
      <c r="O15" s="2772"/>
      <c r="P15" s="3734" t="s">
        <v>1691</v>
      </c>
      <c r="Q15" s="1350" t="str">
        <f t="shared" si="6"/>
        <v>产业集聚程度</v>
      </c>
      <c r="R15" s="703" t="s">
        <v>14</v>
      </c>
      <c r="S15" s="704">
        <f t="shared" si="0"/>
        <v>100</v>
      </c>
      <c r="T15" s="703" t="s">
        <v>14</v>
      </c>
      <c r="U15" s="704">
        <f t="shared" si="1"/>
        <v>100</v>
      </c>
      <c r="V15" s="703" t="s">
        <v>14</v>
      </c>
      <c r="W15" s="704">
        <f t="shared" si="2"/>
        <v>100</v>
      </c>
      <c r="X15" s="1353"/>
      <c r="Y15" s="3734"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20"/>
      <c r="M16" s="2714"/>
      <c r="N16" s="2714"/>
      <c r="O16" s="2772"/>
      <c r="P16" s="3735"/>
      <c r="Q16" s="1350"/>
      <c r="R16" s="703"/>
      <c r="S16" s="704"/>
      <c r="T16" s="703"/>
      <c r="U16" s="704"/>
      <c r="V16" s="703"/>
      <c r="W16" s="704"/>
      <c r="X16" s="1353"/>
      <c r="Y16" s="3735"/>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0"/>
      <c r="M17" s="2714"/>
      <c r="N17" s="2714"/>
      <c r="O17" s="2772"/>
      <c r="P17" s="3735"/>
      <c r="Q17" s="1350" t="str">
        <f>B17</f>
        <v>交通便捷度</v>
      </c>
      <c r="R17" s="703" t="s">
        <v>14</v>
      </c>
      <c r="S17" s="704">
        <f>F17</f>
        <v>100</v>
      </c>
      <c r="T17" s="703" t="s">
        <v>14</v>
      </c>
      <c r="U17" s="704">
        <f>H17</f>
        <v>100</v>
      </c>
      <c r="V17" s="703" t="s">
        <v>14</v>
      </c>
      <c r="W17" s="704">
        <f>J17</f>
        <v>100</v>
      </c>
      <c r="X17" s="1353"/>
      <c r="Y17" s="3735"/>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20"/>
      <c r="M18" s="2714"/>
      <c r="N18" s="2714"/>
      <c r="O18" s="2772"/>
      <c r="P18" s="3735"/>
      <c r="Q18" s="1350"/>
      <c r="R18" s="703"/>
      <c r="S18" s="704"/>
      <c r="T18" s="703"/>
      <c r="U18" s="704"/>
      <c r="V18" s="703"/>
      <c r="W18" s="704"/>
      <c r="X18" s="1353"/>
      <c r="Y18" s="3735"/>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0"/>
      <c r="M19" s="2714"/>
      <c r="N19" s="2714"/>
      <c r="O19" s="2772"/>
      <c r="P19" s="3735"/>
      <c r="Q19" s="1350" t="str">
        <f t="shared" ref="Q19:Q33" si="8">B19</f>
        <v>区域土地利用方向</v>
      </c>
      <c r="R19" s="703" t="s">
        <v>14</v>
      </c>
      <c r="S19" s="704">
        <f>F19</f>
        <v>100</v>
      </c>
      <c r="T19" s="703" t="s">
        <v>14</v>
      </c>
      <c r="U19" s="704">
        <f>H19</f>
        <v>100</v>
      </c>
      <c r="V19" s="703" t="s">
        <v>14</v>
      </c>
      <c r="W19" s="704">
        <f>J19</f>
        <v>100</v>
      </c>
      <c r="X19" s="1353"/>
      <c r="Y19" s="3735"/>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20"/>
      <c r="M20" s="2714"/>
      <c r="N20" s="2714"/>
      <c r="O20" s="2772"/>
      <c r="P20" s="3735"/>
      <c r="Q20" s="1350"/>
      <c r="R20" s="703"/>
      <c r="S20" s="704"/>
      <c r="T20" s="703"/>
      <c r="U20" s="704"/>
      <c r="V20" s="703"/>
      <c r="W20" s="704"/>
      <c r="X20" s="1353"/>
      <c r="Y20" s="3735"/>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0"/>
      <c r="M21" s="2714"/>
      <c r="N21" s="2714"/>
      <c r="O21" s="2772"/>
      <c r="P21" s="3735"/>
      <c r="Q21" s="1350" t="str">
        <f t="shared" si="8"/>
        <v>环境状况</v>
      </c>
      <c r="R21" s="703" t="s">
        <v>14</v>
      </c>
      <c r="S21" s="704">
        <f>F21</f>
        <v>100</v>
      </c>
      <c r="T21" s="703" t="s">
        <v>14</v>
      </c>
      <c r="U21" s="704">
        <f>H21</f>
        <v>100</v>
      </c>
      <c r="V21" s="703" t="s">
        <v>14</v>
      </c>
      <c r="W21" s="704">
        <f>J21</f>
        <v>100</v>
      </c>
      <c r="X21" s="1353"/>
      <c r="Y21" s="3735"/>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20"/>
      <c r="M22" s="2714"/>
      <c r="N22" s="2714"/>
      <c r="O22" s="2772"/>
      <c r="P22" s="3735"/>
      <c r="Q22" s="1350"/>
      <c r="R22" s="703"/>
      <c r="S22" s="704"/>
      <c r="T22" s="703"/>
      <c r="U22" s="704"/>
      <c r="V22" s="703"/>
      <c r="W22" s="704"/>
      <c r="X22" s="1353"/>
      <c r="Y22" s="3735"/>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5"/>
      <c r="M23" s="2716"/>
      <c r="N23" s="2716"/>
      <c r="O23" s="2770"/>
      <c r="P23" s="3735"/>
      <c r="Q23" s="1341" t="str">
        <f t="shared" si="8"/>
        <v>公共配套设施</v>
      </c>
      <c r="R23" s="699" t="s">
        <v>14</v>
      </c>
      <c r="S23" s="700">
        <f>F23</f>
        <v>100</v>
      </c>
      <c r="T23" s="699" t="s">
        <v>14</v>
      </c>
      <c r="U23" s="700">
        <f>H23</f>
        <v>100</v>
      </c>
      <c r="V23" s="699" t="s">
        <v>14</v>
      </c>
      <c r="W23" s="700">
        <f>J23</f>
        <v>100</v>
      </c>
      <c r="X23" s="701"/>
      <c r="Y23" s="3735"/>
      <c r="Z23" s="51"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5"/>
      <c r="M24" s="2716"/>
      <c r="N24" s="2716"/>
      <c r="O24" s="2770"/>
      <c r="P24" s="3735"/>
      <c r="Q24" s="1341"/>
      <c r="R24" s="699"/>
      <c r="S24" s="700"/>
      <c r="T24" s="699"/>
      <c r="U24" s="700"/>
      <c r="V24" s="699"/>
      <c r="W24" s="700"/>
      <c r="X24" s="701"/>
      <c r="Y24" s="3735"/>
      <c r="Z24" s="51"/>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5"/>
      <c r="M25" s="2716"/>
      <c r="N25" s="2716"/>
      <c r="O25" s="2770"/>
      <c r="P25" s="3735"/>
      <c r="Q25" s="1341" t="str">
        <f t="shared" ref="Q25" si="9">B25</f>
        <v>基础设施水平</v>
      </c>
      <c r="R25" s="699" t="s">
        <v>14</v>
      </c>
      <c r="S25" s="700">
        <f>F25</f>
        <v>100</v>
      </c>
      <c r="T25" s="699" t="s">
        <v>14</v>
      </c>
      <c r="U25" s="700">
        <f>H25</f>
        <v>100</v>
      </c>
      <c r="V25" s="699" t="s">
        <v>14</v>
      </c>
      <c r="W25" s="700">
        <f>J25</f>
        <v>100</v>
      </c>
      <c r="X25" s="701"/>
      <c r="Y25" s="3735"/>
      <c r="Z25" s="51"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5"/>
      <c r="M26" s="2716"/>
      <c r="N26" s="2716"/>
      <c r="O26" s="2770"/>
      <c r="P26" s="3735"/>
      <c r="Q26" s="1341"/>
      <c r="R26" s="699"/>
      <c r="S26" s="700"/>
      <c r="T26" s="699"/>
      <c r="U26" s="700"/>
      <c r="V26" s="699"/>
      <c r="W26" s="700"/>
      <c r="X26" s="701"/>
      <c r="Y26" s="3735"/>
      <c r="Z26" s="51"/>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0"/>
      <c r="M27" s="2714"/>
      <c r="N27" s="2714"/>
      <c r="O27" s="2772"/>
      <c r="P27" s="373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5"/>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0"/>
      <c r="M28" s="2714"/>
      <c r="N28" s="2714"/>
      <c r="O28" s="2772"/>
      <c r="P28" s="3735"/>
      <c r="Q28" s="1350" t="str">
        <f t="shared" si="8"/>
        <v>毗邻道路的类型与等级</v>
      </c>
      <c r="R28" s="703" t="s">
        <v>14</v>
      </c>
      <c r="S28" s="704">
        <f t="shared" si="10"/>
        <v>100</v>
      </c>
      <c r="T28" s="703" t="s">
        <v>14</v>
      </c>
      <c r="U28" s="704">
        <f t="shared" si="11"/>
        <v>100</v>
      </c>
      <c r="V28" s="703" t="s">
        <v>14</v>
      </c>
      <c r="W28" s="704">
        <f t="shared" si="12"/>
        <v>100</v>
      </c>
      <c r="X28" s="1353"/>
      <c r="Y28" s="3735"/>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20"/>
      <c r="M29" s="2714"/>
      <c r="N29" s="2714"/>
      <c r="O29" s="2772"/>
      <c r="P29" s="3735"/>
      <c r="Q29" s="1350"/>
      <c r="R29" s="703"/>
      <c r="S29" s="704"/>
      <c r="T29" s="703"/>
      <c r="U29" s="704"/>
      <c r="V29" s="703"/>
      <c r="W29" s="704"/>
      <c r="X29" s="1353"/>
      <c r="Y29" s="3735"/>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0"/>
      <c r="M30" s="2714"/>
      <c r="N30" s="2714"/>
      <c r="O30" s="2772"/>
      <c r="P30" s="3735"/>
      <c r="Q30" s="1350" t="str">
        <f t="shared" si="8"/>
        <v>土地级别</v>
      </c>
      <c r="R30" s="703" t="s">
        <v>14</v>
      </c>
      <c r="S30" s="704">
        <f t="shared" si="10"/>
        <v>100</v>
      </c>
      <c r="T30" s="703" t="s">
        <v>14</v>
      </c>
      <c r="U30" s="704">
        <f t="shared" si="11"/>
        <v>100</v>
      </c>
      <c r="V30" s="703" t="s">
        <v>14</v>
      </c>
      <c r="W30" s="704">
        <f t="shared" si="12"/>
        <v>100</v>
      </c>
      <c r="X30" s="1353"/>
      <c r="Y30" s="3735"/>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0"/>
      <c r="M31" s="2714"/>
      <c r="N31" s="2714"/>
      <c r="O31" s="2772"/>
      <c r="P31" s="3735"/>
      <c r="Q31" s="1350">
        <f t="shared" si="8"/>
        <v>111</v>
      </c>
      <c r="R31" s="703" t="s">
        <v>14</v>
      </c>
      <c r="S31" s="704">
        <f t="shared" si="10"/>
        <v>100</v>
      </c>
      <c r="T31" s="703" t="s">
        <v>14</v>
      </c>
      <c r="U31" s="704">
        <f t="shared" si="11"/>
        <v>100</v>
      </c>
      <c r="V31" s="703" t="s">
        <v>14</v>
      </c>
      <c r="W31" s="704">
        <f t="shared" si="12"/>
        <v>100</v>
      </c>
      <c r="X31" s="1353"/>
      <c r="Y31" s="3735"/>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0"/>
      <c r="M32" s="2714"/>
      <c r="N32" s="2714"/>
      <c r="O32" s="2772"/>
      <c r="P32" s="3790" t="s">
        <v>1696</v>
      </c>
      <c r="Q32" s="1350">
        <f t="shared" si="8"/>
        <v>111</v>
      </c>
      <c r="R32" s="703" t="s">
        <v>14</v>
      </c>
      <c r="S32" s="704">
        <f t="shared" si="10"/>
        <v>100</v>
      </c>
      <c r="T32" s="703" t="s">
        <v>14</v>
      </c>
      <c r="U32" s="704">
        <f t="shared" si="11"/>
        <v>100</v>
      </c>
      <c r="V32" s="703" t="s">
        <v>14</v>
      </c>
      <c r="W32" s="704">
        <f t="shared" si="12"/>
        <v>100</v>
      </c>
      <c r="X32" s="1353"/>
      <c r="Y32" s="3739"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9"/>
      <c r="M33" s="2721"/>
      <c r="N33" s="2721"/>
      <c r="O33" s="2773"/>
      <c r="P33" s="3739"/>
      <c r="Q33" s="1350">
        <f t="shared" si="8"/>
        <v>111</v>
      </c>
      <c r="R33" s="706" t="s">
        <v>14</v>
      </c>
      <c r="S33" s="707">
        <f t="shared" si="10"/>
        <v>100</v>
      </c>
      <c r="T33" s="706" t="s">
        <v>14</v>
      </c>
      <c r="U33" s="707">
        <f t="shared" si="11"/>
        <v>100</v>
      </c>
      <c r="V33" s="706" t="s">
        <v>14</v>
      </c>
      <c r="W33" s="707">
        <f t="shared" si="12"/>
        <v>100</v>
      </c>
      <c r="X33" s="708"/>
      <c r="Y33" s="3739"/>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0"/>
      <c r="M34" s="2714"/>
      <c r="N34" s="2714"/>
      <c r="O34" s="2772"/>
      <c r="P34" s="3739"/>
      <c r="Q34" s="1350" t="str">
        <f>B34</f>
        <v>宗地面积</v>
      </c>
      <c r="R34" s="703" t="s">
        <v>14</v>
      </c>
      <c r="S34" s="704" t="e">
        <f t="shared" si="10"/>
        <v>#N/A</v>
      </c>
      <c r="T34" s="703" t="s">
        <v>14</v>
      </c>
      <c r="U34" s="704" t="e">
        <f t="shared" si="11"/>
        <v>#N/A</v>
      </c>
      <c r="V34" s="703" t="s">
        <v>14</v>
      </c>
      <c r="W34" s="704" t="e">
        <f t="shared" si="12"/>
        <v>#N/A</v>
      </c>
      <c r="X34" s="1353"/>
      <c r="Y34" s="3739"/>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20"/>
      <c r="M35" s="2714"/>
      <c r="N35" s="2714"/>
      <c r="O35" s="2772"/>
      <c r="P35" s="3739"/>
      <c r="Q35" s="1350" t="str">
        <f t="shared" ref="Q35:Q40" si="14">B35</f>
        <v>宗地形状</v>
      </c>
      <c r="R35" s="703" t="s">
        <v>14</v>
      </c>
      <c r="S35" s="704">
        <f t="shared" si="10"/>
        <v>100</v>
      </c>
      <c r="T35" s="703" t="s">
        <v>14</v>
      </c>
      <c r="U35" s="704">
        <f t="shared" si="11"/>
        <v>100</v>
      </c>
      <c r="V35" s="703" t="s">
        <v>14</v>
      </c>
      <c r="W35" s="704">
        <f t="shared" si="12"/>
        <v>100</v>
      </c>
      <c r="X35" s="1353"/>
      <c r="Y35" s="3739"/>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5"/>
      <c r="M36" s="2716"/>
      <c r="N36" s="2716"/>
      <c r="O36" s="2770"/>
      <c r="P36" s="3739"/>
      <c r="Q36" s="1350" t="str">
        <f t="shared" si="14"/>
        <v>宗地开发程度</v>
      </c>
      <c r="R36" s="699" t="s">
        <v>14</v>
      </c>
      <c r="S36" s="700">
        <f t="shared" si="10"/>
        <v>100</v>
      </c>
      <c r="T36" s="699" t="s">
        <v>14</v>
      </c>
      <c r="U36" s="700">
        <f t="shared" si="11"/>
        <v>100</v>
      </c>
      <c r="V36" s="699" t="s">
        <v>14</v>
      </c>
      <c r="W36" s="700">
        <f t="shared" si="12"/>
        <v>100</v>
      </c>
      <c r="X36" s="701"/>
      <c r="Y36" s="3739"/>
      <c r="Z36" s="51"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20"/>
      <c r="M37" s="2714"/>
      <c r="N37" s="2714"/>
      <c r="O37" s="2772"/>
      <c r="P37" s="3739" t="s">
        <v>1696</v>
      </c>
      <c r="Q37" s="1350" t="str">
        <f t="shared" si="14"/>
        <v>工程地质条件</v>
      </c>
      <c r="R37" s="703" t="s">
        <v>14</v>
      </c>
      <c r="S37" s="704">
        <f t="shared" si="10"/>
        <v>100</v>
      </c>
      <c r="T37" s="703" t="s">
        <v>14</v>
      </c>
      <c r="U37" s="704">
        <f t="shared" si="11"/>
        <v>100</v>
      </c>
      <c r="V37" s="703" t="s">
        <v>14</v>
      </c>
      <c r="W37" s="704">
        <f t="shared" si="12"/>
        <v>100</v>
      </c>
      <c r="X37" s="1353"/>
      <c r="Y37" s="3739"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0"/>
      <c r="M38" s="2714"/>
      <c r="N38" s="2714"/>
      <c r="O38" s="2772"/>
      <c r="P38" s="3739"/>
      <c r="Q38" s="1350">
        <f t="shared" si="14"/>
        <v>111</v>
      </c>
      <c r="R38" s="703" t="s">
        <v>14</v>
      </c>
      <c r="S38" s="704">
        <f t="shared" si="10"/>
        <v>100</v>
      </c>
      <c r="T38" s="703" t="s">
        <v>14</v>
      </c>
      <c r="U38" s="704">
        <f t="shared" si="11"/>
        <v>100</v>
      </c>
      <c r="V38" s="703" t="s">
        <v>14</v>
      </c>
      <c r="W38" s="704">
        <f t="shared" si="12"/>
        <v>100</v>
      </c>
      <c r="X38" s="1353"/>
      <c r="Y38" s="3739"/>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0"/>
      <c r="M39" s="2714"/>
      <c r="N39" s="2714"/>
      <c r="O39" s="2772"/>
      <c r="P39" s="3739"/>
      <c r="Q39" s="1350">
        <f t="shared" si="14"/>
        <v>111</v>
      </c>
      <c r="R39" s="703" t="s">
        <v>14</v>
      </c>
      <c r="S39" s="704">
        <f t="shared" si="10"/>
        <v>100</v>
      </c>
      <c r="T39" s="703" t="s">
        <v>14</v>
      </c>
      <c r="U39" s="704">
        <f t="shared" si="11"/>
        <v>100</v>
      </c>
      <c r="V39" s="703" t="s">
        <v>14</v>
      </c>
      <c r="W39" s="704">
        <f t="shared" si="12"/>
        <v>100</v>
      </c>
      <c r="X39" s="1353"/>
      <c r="Y39" s="3739"/>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9"/>
      <c r="M40" s="2721"/>
      <c r="N40" s="2721"/>
      <c r="O40" s="2773"/>
      <c r="P40" s="3739"/>
      <c r="Q40" s="1350">
        <f t="shared" si="14"/>
        <v>111</v>
      </c>
      <c r="R40" s="706" t="s">
        <v>14</v>
      </c>
      <c r="S40" s="707">
        <f t="shared" si="10"/>
        <v>100</v>
      </c>
      <c r="T40" s="706" t="s">
        <v>14</v>
      </c>
      <c r="U40" s="707">
        <f t="shared" si="11"/>
        <v>100</v>
      </c>
      <c r="V40" s="706" t="s">
        <v>14</v>
      </c>
      <c r="W40" s="707">
        <f t="shared" si="12"/>
        <v>100</v>
      </c>
      <c r="X40" s="708"/>
      <c r="Y40" s="3739"/>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22"/>
      <c r="M41" s="2714"/>
      <c r="N41" s="2714"/>
      <c r="O41" s="2723"/>
      <c r="P41" s="3732" t="str">
        <f>A41</f>
        <v>成交单价</v>
      </c>
      <c r="Q41" s="3732"/>
      <c r="R41" s="3763">
        <f>E41</f>
        <v>0</v>
      </c>
      <c r="S41" s="3763"/>
      <c r="T41" s="3763">
        <f>G41</f>
        <v>0</v>
      </c>
      <c r="U41" s="3763"/>
      <c r="V41" s="3763">
        <f>I41</f>
        <v>0</v>
      </c>
      <c r="W41" s="3763"/>
      <c r="X41" s="688"/>
      <c r="Y41" s="710"/>
      <c r="Z41" s="688"/>
      <c r="AA41" s="688"/>
      <c r="AB41" s="688"/>
      <c r="AC41" s="688"/>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2"/>
      <c r="M42" s="2714"/>
      <c r="N42" s="2714"/>
      <c r="O42" s="2723"/>
      <c r="P42" s="3732" t="str">
        <f>A42</f>
        <v>比较价值（元/平方米）</v>
      </c>
      <c r="Q42" s="3732"/>
      <c r="R42" s="3792" t="e">
        <f>ROUND(PRODUCT(R41,AA7:AA40),0)</f>
        <v>#DIV/0!</v>
      </c>
      <c r="S42" s="3792"/>
      <c r="T42" s="3792" t="e">
        <f>ROUND(PRODUCT(T41,AB7:AB40),0)</f>
        <v>#DIV/0!</v>
      </c>
      <c r="U42" s="3792"/>
      <c r="V42" s="3792" t="e">
        <f>ROUND(PRODUCT(V41,AC7:AC40),0)</f>
        <v>#DIV/0!</v>
      </c>
      <c r="W42" s="379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2"/>
      <c r="M43" s="2714"/>
      <c r="N43" s="2714"/>
      <c r="O43" s="2723"/>
      <c r="P43" s="3729" t="str">
        <f>A43</f>
        <v>估价对象XX用房的比较价值（楼面单价，元/平方米）</v>
      </c>
      <c r="Q43" s="3730"/>
      <c r="R43" s="3793" t="e">
        <f>ROUND(IF(D42="简单平均",AVERAGE(R42:W42),R42*F42+T42*H42+V42*J42),0)</f>
        <v>#DIV/0!</v>
      </c>
      <c r="S43" s="3793"/>
      <c r="T43" s="3793"/>
      <c r="U43" s="3793"/>
      <c r="V43" s="3793"/>
      <c r="W43" s="3793"/>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0"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747" t="s">
        <v>1887</v>
      </c>
      <c r="H50" s="379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8327.76</v>
      </c>
      <c r="F51" s="638" t="e">
        <f t="shared" ref="F51:F60" si="15">ROUND(B51*E51/10000,0)</f>
        <v>#DIV/0!</v>
      </c>
      <c r="G51" s="3743"/>
      <c r="H51" s="373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7" t="e">
        <f>ROUND($C$43*C52*D52,0)</f>
        <v>#DIV/0!</v>
      </c>
      <c r="C52" s="170">
        <f t="shared" ref="C52:C60" si="16">IF($C$50="北京市系数",I52,J52)</f>
        <v>0</v>
      </c>
      <c r="D52" s="943">
        <v>0.25</v>
      </c>
      <c r="E52" s="641"/>
      <c r="F52" s="638"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7" t="e">
        <f t="shared" ref="B53:B60" si="17">ROUND($C$43*C53*D53,0)</f>
        <v>#DIV/0!</v>
      </c>
      <c r="C53" s="170">
        <f t="shared" si="16"/>
        <v>0</v>
      </c>
      <c r="D53" s="943">
        <v>0.25</v>
      </c>
      <c r="E53" s="641"/>
      <c r="F53" s="638"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7" t="e">
        <f t="shared" si="17"/>
        <v>#DIV/0!</v>
      </c>
      <c r="C54" s="170">
        <f t="shared" si="16"/>
        <v>0</v>
      </c>
      <c r="D54" s="943">
        <v>0.25</v>
      </c>
      <c r="E54" s="641"/>
      <c r="F54" s="638"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53147.14</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2023-5-1</v>
      </c>
      <c r="D63" s="690">
        <f>EDATE(C63,-3)</f>
        <v>44958</v>
      </c>
      <c r="E63" s="690">
        <f>EDATE(D63,-3)</f>
        <v>44866</v>
      </c>
      <c r="F63" s="690">
        <f t="shared" ref="F63:O63" si="18">EDATE(E63,-3)</f>
        <v>44774</v>
      </c>
      <c r="G63" s="690">
        <f t="shared" si="18"/>
        <v>44682</v>
      </c>
      <c r="H63" s="690">
        <f t="shared" si="18"/>
        <v>44593</v>
      </c>
      <c r="I63" s="690">
        <f t="shared" si="18"/>
        <v>44501</v>
      </c>
      <c r="J63" s="690">
        <f t="shared" si="18"/>
        <v>44409</v>
      </c>
      <c r="K63" s="690">
        <f t="shared" si="18"/>
        <v>44317</v>
      </c>
      <c r="L63" s="690">
        <f t="shared" si="18"/>
        <v>44228</v>
      </c>
      <c r="M63" s="690">
        <f t="shared" si="18"/>
        <v>44136</v>
      </c>
      <c r="N63" s="690">
        <f t="shared" si="18"/>
        <v>44044</v>
      </c>
      <c r="O63" s="690">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6"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7" customFormat="1" ht="30.75" customHeight="1">
      <c r="A66" s="1992" t="s">
        <v>1924</v>
      </c>
      <c r="B66" s="287" t="str">
        <f>"北京市平均增长率"&amp;TEXT('基准地价修正（科研）'!P28,"0.00%")</f>
        <v>北京市平均增长率0.00%</v>
      </c>
      <c r="C66" s="551">
        <v>100</v>
      </c>
      <c r="D66" s="543"/>
      <c r="E66" s="543"/>
      <c r="F66" s="543"/>
      <c r="G66" s="543"/>
      <c r="H66" s="543"/>
      <c r="I66" s="543"/>
      <c r="J66" s="543"/>
      <c r="K66" s="543"/>
      <c r="L66" s="543"/>
      <c r="M66" s="1176"/>
      <c r="N66" s="1176"/>
      <c r="O66" s="1178"/>
      <c r="P66" s="2737"/>
      <c r="Q66" s="2659"/>
      <c r="R66" s="2659"/>
      <c r="S66" s="2659"/>
      <c r="T66" s="2659"/>
      <c r="U66" s="2659"/>
      <c r="V66" s="2659"/>
      <c r="W66" s="2659"/>
      <c r="X66" s="2659"/>
      <c r="Y66" s="2659"/>
      <c r="Z66" s="2659"/>
      <c r="AA66" s="2659"/>
      <c r="AB66" s="2659"/>
      <c r="AC66" s="2659"/>
      <c r="AD66" s="2659"/>
      <c r="AE66" s="2659"/>
    </row>
    <row r="67" spans="1:31" s="107" customFormat="1" ht="15.75" thickBot="1">
      <c r="A67" s="463" t="s">
        <v>1716</v>
      </c>
      <c r="B67" s="464"/>
      <c r="C67" s="465"/>
      <c r="D67" s="466"/>
      <c r="E67" s="466"/>
      <c r="F67" s="466"/>
      <c r="G67" s="466"/>
      <c r="H67" s="466"/>
      <c r="I67" s="466"/>
      <c r="J67" s="466"/>
      <c r="K67" s="466"/>
      <c r="L67" s="466"/>
      <c r="M67" s="467"/>
      <c r="N67" s="467"/>
      <c r="O67" s="468"/>
      <c r="P67" s="2737"/>
      <c r="Q67" s="2737"/>
      <c r="R67" s="2659"/>
      <c r="S67" s="2659"/>
      <c r="T67" s="2659"/>
      <c r="U67" s="2659"/>
      <c r="V67" s="2659"/>
      <c r="W67" s="2659"/>
      <c r="X67" s="2659"/>
      <c r="Y67" s="2659"/>
      <c r="Z67" s="2659"/>
      <c r="AA67" s="2659"/>
      <c r="AB67" s="2659"/>
      <c r="AC67" s="2659"/>
      <c r="AD67" s="2659"/>
      <c r="AE67" s="2659"/>
    </row>
    <row r="68" spans="1:31" s="107" customFormat="1" ht="15">
      <c r="A68" s="469" t="s">
        <v>1681</v>
      </c>
      <c r="B68" s="458"/>
      <c r="C68" s="470" t="s">
        <v>1776</v>
      </c>
      <c r="D68" s="471"/>
      <c r="E68" s="471"/>
      <c r="F68" s="471"/>
      <c r="G68" s="471"/>
      <c r="H68" s="471"/>
      <c r="I68" s="471"/>
      <c r="J68" s="471"/>
      <c r="K68" s="471"/>
      <c r="L68" s="472"/>
      <c r="M68" s="473"/>
      <c r="N68" s="2750"/>
      <c r="O68" s="2750"/>
      <c r="P68" s="2775"/>
      <c r="Q68" s="2737"/>
      <c r="R68" s="2659"/>
      <c r="S68" s="2659"/>
      <c r="T68" s="2659"/>
      <c r="U68" s="2659"/>
      <c r="V68" s="2659"/>
      <c r="W68" s="2659"/>
      <c r="X68" s="2659"/>
      <c r="Y68" s="2659"/>
      <c r="Z68" s="2659"/>
      <c r="AA68" s="2659"/>
      <c r="AB68" s="2659"/>
      <c r="AC68" s="2659"/>
      <c r="AD68" s="2659"/>
      <c r="AE68" s="2659"/>
    </row>
    <row r="69" spans="1:31" s="107" customFormat="1" ht="15.75" thickBot="1">
      <c r="A69" s="469"/>
      <c r="B69" s="458"/>
      <c r="C69" s="586">
        <v>100</v>
      </c>
      <c r="D69" s="460"/>
      <c r="E69" s="460"/>
      <c r="F69" s="460"/>
      <c r="G69" s="460"/>
      <c r="H69" s="460"/>
      <c r="I69" s="460"/>
      <c r="J69" s="460"/>
      <c r="K69" s="460"/>
      <c r="L69" s="460"/>
      <c r="M69" s="462"/>
      <c r="N69" s="2750"/>
      <c r="O69" s="2750"/>
      <c r="P69" s="2737"/>
      <c r="Q69" s="2737"/>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2"/>
      <c r="B71" s="483"/>
      <c r="C71" s="484"/>
      <c r="D71" s="484"/>
      <c r="E71" s="484"/>
      <c r="F71" s="484"/>
      <c r="G71" s="484"/>
      <c r="H71" s="484"/>
      <c r="I71" s="484"/>
      <c r="J71" s="484"/>
      <c r="K71" s="484"/>
      <c r="L71" s="484"/>
      <c r="M71" s="485"/>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2"/>
      <c r="B72" s="486" t="s">
        <v>1688</v>
      </c>
      <c r="C72" s="487"/>
      <c r="D72" s="487"/>
      <c r="E72" s="487"/>
      <c r="F72" s="487"/>
      <c r="G72" s="487"/>
      <c r="H72" s="487"/>
      <c r="I72" s="487"/>
      <c r="J72" s="487"/>
      <c r="K72" s="488"/>
      <c r="L72" s="489"/>
      <c r="M72" s="490"/>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2"/>
      <c r="B73" s="491"/>
      <c r="C73" s="492"/>
      <c r="D73" s="492"/>
      <c r="E73" s="492"/>
      <c r="F73" s="492"/>
      <c r="G73" s="492"/>
      <c r="H73" s="492"/>
      <c r="I73" s="492"/>
      <c r="J73" s="492"/>
      <c r="K73" s="492"/>
      <c r="L73" s="492"/>
      <c r="M73" s="493"/>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2"/>
      <c r="B75" s="496"/>
      <c r="C75" s="497"/>
      <c r="D75" s="497"/>
      <c r="E75" s="497"/>
      <c r="F75" s="497"/>
      <c r="G75" s="497"/>
      <c r="H75" s="497"/>
      <c r="I75" s="497"/>
      <c r="J75" s="497"/>
      <c r="K75" s="498"/>
      <c r="L75" s="499"/>
      <c r="M75" s="500"/>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1" customFormat="1" ht="15.75"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5.75"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5.75" thickTop="1">
      <c r="A79" s="501"/>
      <c r="B79" s="486">
        <f>B13</f>
        <v>111</v>
      </c>
      <c r="C79" s="502"/>
      <c r="D79" s="502"/>
      <c r="E79" s="502"/>
      <c r="F79" s="502"/>
      <c r="G79" s="502"/>
      <c r="H79" s="503"/>
      <c r="I79" s="503"/>
      <c r="J79" s="503"/>
      <c r="K79" s="503"/>
      <c r="L79" s="504"/>
      <c r="M79" s="505"/>
      <c r="N79" s="2753"/>
      <c r="O79" s="2753"/>
      <c r="P79" s="2721"/>
      <c r="Q79" s="2747"/>
      <c r="R79" s="2745"/>
      <c r="S79" s="2745"/>
      <c r="T79" s="2745"/>
      <c r="U79" s="2745"/>
      <c r="V79" s="2745"/>
      <c r="W79" s="2745"/>
      <c r="X79" s="2745"/>
      <c r="Y79" s="2745"/>
      <c r="Z79" s="2745"/>
      <c r="AA79" s="2745"/>
      <c r="AB79" s="2745"/>
      <c r="AC79" s="2745"/>
      <c r="AD79" s="2745"/>
      <c r="AE79" s="2745"/>
    </row>
    <row r="80" spans="1:31" s="421" customFormat="1" ht="15.75"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5.75"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5.75"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c r="A83" s="475" t="s">
        <v>1690</v>
      </c>
      <c r="B83" s="476" t="s">
        <v>1829</v>
      </c>
      <c r="C83" s="521" t="s">
        <v>1721</v>
      </c>
      <c r="D83" s="521" t="s">
        <v>1722</v>
      </c>
      <c r="E83" s="521" t="s">
        <v>1723</v>
      </c>
      <c r="F83" s="521" t="s">
        <v>1724</v>
      </c>
      <c r="G83" s="521" t="s">
        <v>1725</v>
      </c>
      <c r="H83" s="477"/>
      <c r="I83" s="477"/>
      <c r="J83" s="477"/>
      <c r="K83" s="522"/>
      <c r="L83" s="523"/>
      <c r="M83" s="524"/>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2"/>
      <c r="B85" s="486" t="s">
        <v>1726</v>
      </c>
      <c r="C85" s="526" t="s">
        <v>1721</v>
      </c>
      <c r="D85" s="526" t="s">
        <v>1722</v>
      </c>
      <c r="E85" s="526" t="s">
        <v>1723</v>
      </c>
      <c r="F85" s="526" t="s">
        <v>1724</v>
      </c>
      <c r="G85" s="526" t="s">
        <v>1725</v>
      </c>
      <c r="H85" s="487"/>
      <c r="I85" s="487"/>
      <c r="J85" s="487"/>
      <c r="K85" s="488"/>
      <c r="L85" s="489"/>
      <c r="M85" s="490"/>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7"/>
      <c r="R86" s="2723"/>
      <c r="S86" s="2723"/>
      <c r="T86" s="2723"/>
      <c r="U86" s="2723"/>
      <c r="V86" s="2723"/>
      <c r="W86" s="2723"/>
      <c r="X86" s="2723"/>
      <c r="Y86" s="2723"/>
      <c r="Z86" s="2723"/>
      <c r="AA86" s="2723"/>
      <c r="AB86" s="2723"/>
      <c r="AC86" s="2723"/>
      <c r="AD86" s="2723"/>
      <c r="AE86" s="2723"/>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7"/>
      <c r="R88" s="2659"/>
      <c r="S88" s="2659"/>
      <c r="T88" s="2659"/>
      <c r="U88" s="2659"/>
      <c r="V88" s="2659"/>
      <c r="W88" s="2659"/>
      <c r="X88" s="2659"/>
      <c r="Y88" s="2659"/>
      <c r="Z88" s="2659"/>
      <c r="AA88" s="2659"/>
      <c r="AB88" s="2659"/>
      <c r="AC88" s="2659"/>
      <c r="AD88" s="2659"/>
      <c r="AE88" s="2659"/>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0"/>
      <c r="O89" s="2750"/>
      <c r="P89" s="2776"/>
      <c r="Q89" s="2737"/>
      <c r="R89" s="2659"/>
      <c r="S89" s="2659"/>
      <c r="T89" s="2659"/>
      <c r="U89" s="2659"/>
      <c r="V89" s="2659"/>
      <c r="W89" s="2659"/>
      <c r="X89" s="2659"/>
      <c r="Y89" s="2659"/>
      <c r="Z89" s="2659"/>
      <c r="AA89" s="2659"/>
      <c r="AB89" s="2659"/>
      <c r="AC89" s="2659"/>
      <c r="AD89" s="2659"/>
      <c r="AE89" s="2659"/>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7"/>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2"/>
      <c r="B97" s="486" t="s">
        <v>1815</v>
      </c>
      <c r="C97" s="502"/>
      <c r="D97" s="502"/>
      <c r="E97" s="502"/>
      <c r="F97" s="502"/>
      <c r="G97" s="502"/>
      <c r="H97" s="531"/>
      <c r="I97" s="531"/>
      <c r="J97" s="531"/>
      <c r="K97" s="532"/>
      <c r="L97" s="533"/>
      <c r="M97" s="534"/>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2"/>
      <c r="B99" s="486" t="s">
        <v>1873</v>
      </c>
      <c r="C99" s="531"/>
      <c r="D99" s="531"/>
      <c r="E99" s="531"/>
      <c r="F99" s="531"/>
      <c r="G99" s="531"/>
      <c r="H99" s="531"/>
      <c r="I99" s="531"/>
      <c r="J99" s="531"/>
      <c r="K99" s="532"/>
      <c r="L99" s="533"/>
      <c r="M99" s="534"/>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2"/>
      <c r="B101" s="494">
        <f>B31</f>
        <v>111</v>
      </c>
      <c r="C101" s="502"/>
      <c r="D101" s="502"/>
      <c r="E101" s="502"/>
      <c r="F101" s="502"/>
      <c r="G101" s="535"/>
      <c r="H101" s="535"/>
      <c r="I101" s="535"/>
      <c r="J101" s="535"/>
      <c r="K101" s="536"/>
      <c r="L101" s="537"/>
      <c r="M101" s="538"/>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2"/>
      <c r="B102" s="517"/>
      <c r="C102" s="508"/>
      <c r="D102" s="484"/>
      <c r="E102" s="484"/>
      <c r="F102" s="484"/>
      <c r="G102" s="539"/>
      <c r="H102" s="539"/>
      <c r="I102" s="539"/>
      <c r="J102" s="539"/>
      <c r="K102" s="539"/>
      <c r="L102" s="539"/>
      <c r="M102" s="540"/>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6">
        <f>B32</f>
        <v>111</v>
      </c>
      <c r="C103" s="502"/>
      <c r="D103" s="502"/>
      <c r="E103" s="502"/>
      <c r="F103" s="502"/>
      <c r="G103" s="531"/>
      <c r="H103" s="531"/>
      <c r="I103" s="531"/>
      <c r="J103" s="531"/>
      <c r="K103" s="532"/>
      <c r="L103" s="533"/>
      <c r="M103" s="534"/>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2"/>
      <c r="B104" s="491"/>
      <c r="C104" s="508"/>
      <c r="D104" s="508"/>
      <c r="E104" s="508"/>
      <c r="F104" s="508"/>
      <c r="G104" s="484"/>
      <c r="H104" s="484"/>
      <c r="I104" s="484"/>
      <c r="J104" s="484"/>
      <c r="K104" s="484"/>
      <c r="L104" s="484"/>
      <c r="M104" s="485"/>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1" customFormat="1" ht="15"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5.75"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2"/>
      <c r="B108" s="494"/>
      <c r="C108" s="543"/>
      <c r="D108" s="543"/>
      <c r="E108" s="543"/>
      <c r="F108" s="543"/>
      <c r="G108" s="543"/>
      <c r="H108" s="543"/>
      <c r="I108" s="543"/>
      <c r="J108" s="544"/>
      <c r="K108" s="544"/>
      <c r="L108" s="545"/>
      <c r="M108" s="546"/>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2"/>
      <c r="B109" s="491"/>
      <c r="C109" s="518"/>
      <c r="D109" s="539"/>
      <c r="E109" s="539"/>
      <c r="F109" s="539"/>
      <c r="G109" s="539"/>
      <c r="H109" s="539"/>
      <c r="I109" s="539"/>
      <c r="J109" s="539"/>
      <c r="K109" s="539"/>
      <c r="L109" s="539"/>
      <c r="M109" s="540"/>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7"/>
      <c r="B110" s="486" t="s">
        <v>1914</v>
      </c>
      <c r="C110" s="531"/>
      <c r="D110" s="531"/>
      <c r="E110" s="531"/>
      <c r="F110" s="531"/>
      <c r="G110" s="531"/>
      <c r="H110" s="531"/>
      <c r="I110" s="531"/>
      <c r="J110" s="531"/>
      <c r="K110" s="532"/>
      <c r="L110" s="533"/>
      <c r="M110" s="534"/>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1" customFormat="1" ht="15" thickTop="1">
      <c r="A112" s="541"/>
      <c r="B112" s="486" t="s">
        <v>1916</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1917</v>
      </c>
      <c r="C114" s="502"/>
      <c r="D114" s="502"/>
      <c r="E114" s="531"/>
      <c r="F114" s="531"/>
      <c r="G114" s="531"/>
      <c r="H114" s="531"/>
      <c r="I114" s="531"/>
      <c r="J114" s="531"/>
      <c r="K114" s="532"/>
      <c r="L114" s="533"/>
      <c r="M114" s="534"/>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7"/>
      <c r="B116" s="486">
        <f>B38</f>
        <v>111</v>
      </c>
      <c r="C116" s="502"/>
      <c r="D116" s="502"/>
      <c r="E116" s="502"/>
      <c r="F116" s="502"/>
      <c r="G116" s="502"/>
      <c r="H116" s="531"/>
      <c r="I116" s="531"/>
      <c r="J116" s="531"/>
      <c r="K116" s="532"/>
      <c r="L116" s="533"/>
      <c r="M116" s="534"/>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2"/>
      <c r="B117" s="491"/>
      <c r="C117" s="508"/>
      <c r="D117" s="484"/>
      <c r="E117" s="484"/>
      <c r="F117" s="484"/>
      <c r="G117" s="484"/>
      <c r="H117" s="484"/>
      <c r="I117" s="484"/>
      <c r="J117" s="484"/>
      <c r="K117" s="484"/>
      <c r="L117" s="484"/>
      <c r="M117" s="485"/>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7"/>
      <c r="B118" s="486">
        <f>B39</f>
        <v>111</v>
      </c>
      <c r="C118" s="502"/>
      <c r="D118" s="502"/>
      <c r="E118" s="502"/>
      <c r="F118" s="502"/>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2"/>
      <c r="B119" s="491"/>
      <c r="C119" s="508"/>
      <c r="D119" s="508"/>
      <c r="E119" s="508"/>
      <c r="F119" s="508"/>
      <c r="G119" s="484"/>
      <c r="H119" s="484"/>
      <c r="I119" s="484"/>
      <c r="J119" s="484"/>
      <c r="K119" s="484"/>
      <c r="L119" s="484"/>
      <c r="M119" s="485"/>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1" customFormat="1" ht="15"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5.75"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3"/>
    <col min="46" max="16384" width="9" style="129"/>
  </cols>
  <sheetData>
    <row r="1" spans="1:45" ht="14.25" customHeight="1" thickBot="1">
      <c r="A1" s="145"/>
      <c r="B1" s="981" t="s">
        <v>2083</v>
      </c>
      <c r="C1" s="3802" t="s">
        <v>2084</v>
      </c>
      <c r="D1" s="3803"/>
      <c r="E1" s="3803"/>
      <c r="F1" s="3803"/>
      <c r="G1" s="3803"/>
      <c r="H1" s="3803"/>
      <c r="I1" s="3803"/>
      <c r="J1" s="3803"/>
      <c r="K1" s="3803"/>
      <c r="L1" s="3803"/>
      <c r="M1" s="3803"/>
      <c r="N1" s="3803"/>
      <c r="O1" s="3803"/>
      <c r="P1" s="3803"/>
      <c r="Q1" s="3803"/>
      <c r="R1" s="3803"/>
      <c r="S1" s="3804"/>
      <c r="T1" s="981" t="s">
        <v>2085</v>
      </c>
    </row>
    <row r="2" spans="1:45" s="654" customFormat="1">
      <c r="A2" s="982"/>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2089</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1" t="s">
        <v>2096</v>
      </c>
      <c r="B20" s="293" t="e">
        <f ca="1">IF(D20="——",S22,S22-F20)</f>
        <v>#REF!</v>
      </c>
      <c r="C20" s="158"/>
      <c r="D20" s="2149"/>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0">
        <f>SUM(B24:B10000)</f>
        <v>0</v>
      </c>
      <c r="C22" s="3799" t="s">
        <v>27</v>
      </c>
      <c r="D22" s="3800"/>
      <c r="E22" s="3800"/>
      <c r="F22" s="3800"/>
      <c r="G22" s="3800"/>
      <c r="H22" s="3800"/>
      <c r="I22" s="3800"/>
      <c r="J22" s="3800"/>
      <c r="K22" s="3800"/>
      <c r="L22" s="3800"/>
      <c r="M22" s="3800"/>
      <c r="N22" s="3800"/>
      <c r="O22" s="3800"/>
      <c r="P22" s="3800"/>
      <c r="Q22" s="3801"/>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#REF!</v>
      </c>
      <c r="C6" s="2143" t="s">
        <v>2074</v>
      </c>
      <c r="D6" s="2791"/>
      <c r="E6" s="2610" t="e">
        <f ca="1">SUMIF(INDIRECT("'"&amp;A6&amp;"'"&amp;"!C:C"),"建筑面积",INDIRECT("'"&amp;A6&amp;"'"&amp;"!D:D"))</f>
        <v>#REF!</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BAEF-A9EA-446A-A749-AD48FD56DC62}">
  <dimension ref="A1:P42"/>
  <sheetViews>
    <sheetView tabSelected="1" view="pageBreakPreview" topLeftCell="B1" zoomScale="110" zoomScaleNormal="100" zoomScaleSheetLayoutView="110" workbookViewId="0">
      <selection activeCell="L12" sqref="L12"/>
    </sheetView>
  </sheetViews>
  <sheetFormatPr defaultRowHeight="13.5"/>
  <cols>
    <col min="1" max="1" width="6.375" style="3452" customWidth="1"/>
    <col min="2" max="2" width="19.375" style="3493" customWidth="1"/>
    <col min="3" max="3" width="7" style="3452" customWidth="1"/>
    <col min="4" max="4" width="3.25" style="3452" customWidth="1"/>
    <col min="5" max="5" width="7.375" style="3452" customWidth="1"/>
    <col min="6" max="6" width="3.5" style="3452" customWidth="1"/>
    <col min="7" max="7" width="19.375" style="3494" customWidth="1"/>
    <col min="8" max="8" width="19.5" style="3452" customWidth="1"/>
    <col min="9" max="9" width="8.625" style="3452" customWidth="1"/>
    <col min="10" max="10" width="14.75" style="3448" customWidth="1"/>
    <col min="11" max="11" width="4.875" style="3448" customWidth="1"/>
    <col min="12" max="12" width="16.375" style="3448" customWidth="1"/>
    <col min="13" max="16" width="8.125" style="3452" customWidth="1"/>
    <col min="17" max="256" width="9" style="3452"/>
    <col min="257" max="257" width="6.375" style="3452" customWidth="1"/>
    <col min="258" max="258" width="19.375" style="3452" customWidth="1"/>
    <col min="259" max="259" width="7" style="3452" customWidth="1"/>
    <col min="260" max="260" width="3.25" style="3452" customWidth="1"/>
    <col min="261" max="261" width="7.375" style="3452" customWidth="1"/>
    <col min="262" max="262" width="3.5" style="3452" customWidth="1"/>
    <col min="263" max="263" width="19.375" style="3452" customWidth="1"/>
    <col min="264" max="264" width="19.5" style="3452" customWidth="1"/>
    <col min="265" max="265" width="8.625" style="3452" customWidth="1"/>
    <col min="266" max="266" width="10.5" style="3452" customWidth="1"/>
    <col min="267" max="267" width="4.875" style="3452" customWidth="1"/>
    <col min="268" max="268" width="16.375" style="3452" customWidth="1"/>
    <col min="269" max="272" width="8.125" style="3452" customWidth="1"/>
    <col min="273" max="512" width="9" style="3452"/>
    <col min="513" max="513" width="6.375" style="3452" customWidth="1"/>
    <col min="514" max="514" width="19.375" style="3452" customWidth="1"/>
    <col min="515" max="515" width="7" style="3452" customWidth="1"/>
    <col min="516" max="516" width="3.25" style="3452" customWidth="1"/>
    <col min="517" max="517" width="7.375" style="3452" customWidth="1"/>
    <col min="518" max="518" width="3.5" style="3452" customWidth="1"/>
    <col min="519" max="519" width="19.375" style="3452" customWidth="1"/>
    <col min="520" max="520" width="19.5" style="3452" customWidth="1"/>
    <col min="521" max="521" width="8.625" style="3452" customWidth="1"/>
    <col min="522" max="522" width="10.5" style="3452" customWidth="1"/>
    <col min="523" max="523" width="4.875" style="3452" customWidth="1"/>
    <col min="524" max="524" width="16.375" style="3452" customWidth="1"/>
    <col min="525" max="528" width="8.125" style="3452" customWidth="1"/>
    <col min="529" max="768" width="9" style="3452"/>
    <col min="769" max="769" width="6.375" style="3452" customWidth="1"/>
    <col min="770" max="770" width="19.375" style="3452" customWidth="1"/>
    <col min="771" max="771" width="7" style="3452" customWidth="1"/>
    <col min="772" max="772" width="3.25" style="3452" customWidth="1"/>
    <col min="773" max="773" width="7.375" style="3452" customWidth="1"/>
    <col min="774" max="774" width="3.5" style="3452" customWidth="1"/>
    <col min="775" max="775" width="19.375" style="3452" customWidth="1"/>
    <col min="776" max="776" width="19.5" style="3452" customWidth="1"/>
    <col min="777" max="777" width="8.625" style="3452" customWidth="1"/>
    <col min="778" max="778" width="10.5" style="3452" customWidth="1"/>
    <col min="779" max="779" width="4.875" style="3452" customWidth="1"/>
    <col min="780" max="780" width="16.375" style="3452" customWidth="1"/>
    <col min="781" max="784" width="8.125" style="3452" customWidth="1"/>
    <col min="785" max="1024" width="9" style="3452"/>
    <col min="1025" max="1025" width="6.375" style="3452" customWidth="1"/>
    <col min="1026" max="1026" width="19.375" style="3452" customWidth="1"/>
    <col min="1027" max="1027" width="7" style="3452" customWidth="1"/>
    <col min="1028" max="1028" width="3.25" style="3452" customWidth="1"/>
    <col min="1029" max="1029" width="7.375" style="3452" customWidth="1"/>
    <col min="1030" max="1030" width="3.5" style="3452" customWidth="1"/>
    <col min="1031" max="1031" width="19.375" style="3452" customWidth="1"/>
    <col min="1032" max="1032" width="19.5" style="3452" customWidth="1"/>
    <col min="1033" max="1033" width="8.625" style="3452" customWidth="1"/>
    <col min="1034" max="1034" width="10.5" style="3452" customWidth="1"/>
    <col min="1035" max="1035" width="4.875" style="3452" customWidth="1"/>
    <col min="1036" max="1036" width="16.375" style="3452" customWidth="1"/>
    <col min="1037" max="1040" width="8.125" style="3452" customWidth="1"/>
    <col min="1041" max="1280" width="9" style="3452"/>
    <col min="1281" max="1281" width="6.375" style="3452" customWidth="1"/>
    <col min="1282" max="1282" width="19.375" style="3452" customWidth="1"/>
    <col min="1283" max="1283" width="7" style="3452" customWidth="1"/>
    <col min="1284" max="1284" width="3.25" style="3452" customWidth="1"/>
    <col min="1285" max="1285" width="7.375" style="3452" customWidth="1"/>
    <col min="1286" max="1286" width="3.5" style="3452" customWidth="1"/>
    <col min="1287" max="1287" width="19.375" style="3452" customWidth="1"/>
    <col min="1288" max="1288" width="19.5" style="3452" customWidth="1"/>
    <col min="1289" max="1289" width="8.625" style="3452" customWidth="1"/>
    <col min="1290" max="1290" width="10.5" style="3452" customWidth="1"/>
    <col min="1291" max="1291" width="4.875" style="3452" customWidth="1"/>
    <col min="1292" max="1292" width="16.375" style="3452" customWidth="1"/>
    <col min="1293" max="1296" width="8.125" style="3452" customWidth="1"/>
    <col min="1297" max="1536" width="9" style="3452"/>
    <col min="1537" max="1537" width="6.375" style="3452" customWidth="1"/>
    <col min="1538" max="1538" width="19.375" style="3452" customWidth="1"/>
    <col min="1539" max="1539" width="7" style="3452" customWidth="1"/>
    <col min="1540" max="1540" width="3.25" style="3452" customWidth="1"/>
    <col min="1541" max="1541" width="7.375" style="3452" customWidth="1"/>
    <col min="1542" max="1542" width="3.5" style="3452" customWidth="1"/>
    <col min="1543" max="1543" width="19.375" style="3452" customWidth="1"/>
    <col min="1544" max="1544" width="19.5" style="3452" customWidth="1"/>
    <col min="1545" max="1545" width="8.625" style="3452" customWidth="1"/>
    <col min="1546" max="1546" width="10.5" style="3452" customWidth="1"/>
    <col min="1547" max="1547" width="4.875" style="3452" customWidth="1"/>
    <col min="1548" max="1548" width="16.375" style="3452" customWidth="1"/>
    <col min="1549" max="1552" width="8.125" style="3452" customWidth="1"/>
    <col min="1553" max="1792" width="9" style="3452"/>
    <col min="1793" max="1793" width="6.375" style="3452" customWidth="1"/>
    <col min="1794" max="1794" width="19.375" style="3452" customWidth="1"/>
    <col min="1795" max="1795" width="7" style="3452" customWidth="1"/>
    <col min="1796" max="1796" width="3.25" style="3452" customWidth="1"/>
    <col min="1797" max="1797" width="7.375" style="3452" customWidth="1"/>
    <col min="1798" max="1798" width="3.5" style="3452" customWidth="1"/>
    <col min="1799" max="1799" width="19.375" style="3452" customWidth="1"/>
    <col min="1800" max="1800" width="19.5" style="3452" customWidth="1"/>
    <col min="1801" max="1801" width="8.625" style="3452" customWidth="1"/>
    <col min="1802" max="1802" width="10.5" style="3452" customWidth="1"/>
    <col min="1803" max="1803" width="4.875" style="3452" customWidth="1"/>
    <col min="1804" max="1804" width="16.375" style="3452" customWidth="1"/>
    <col min="1805" max="1808" width="8.125" style="3452" customWidth="1"/>
    <col min="1809" max="2048" width="9" style="3452"/>
    <col min="2049" max="2049" width="6.375" style="3452" customWidth="1"/>
    <col min="2050" max="2050" width="19.375" style="3452" customWidth="1"/>
    <col min="2051" max="2051" width="7" style="3452" customWidth="1"/>
    <col min="2052" max="2052" width="3.25" style="3452" customWidth="1"/>
    <col min="2053" max="2053" width="7.375" style="3452" customWidth="1"/>
    <col min="2054" max="2054" width="3.5" style="3452" customWidth="1"/>
    <col min="2055" max="2055" width="19.375" style="3452" customWidth="1"/>
    <col min="2056" max="2056" width="19.5" style="3452" customWidth="1"/>
    <col min="2057" max="2057" width="8.625" style="3452" customWidth="1"/>
    <col min="2058" max="2058" width="10.5" style="3452" customWidth="1"/>
    <col min="2059" max="2059" width="4.875" style="3452" customWidth="1"/>
    <col min="2060" max="2060" width="16.375" style="3452" customWidth="1"/>
    <col min="2061" max="2064" width="8.125" style="3452" customWidth="1"/>
    <col min="2065" max="2304" width="9" style="3452"/>
    <col min="2305" max="2305" width="6.375" style="3452" customWidth="1"/>
    <col min="2306" max="2306" width="19.375" style="3452" customWidth="1"/>
    <col min="2307" max="2307" width="7" style="3452" customWidth="1"/>
    <col min="2308" max="2308" width="3.25" style="3452" customWidth="1"/>
    <col min="2309" max="2309" width="7.375" style="3452" customWidth="1"/>
    <col min="2310" max="2310" width="3.5" style="3452" customWidth="1"/>
    <col min="2311" max="2311" width="19.375" style="3452" customWidth="1"/>
    <col min="2312" max="2312" width="19.5" style="3452" customWidth="1"/>
    <col min="2313" max="2313" width="8.625" style="3452" customWidth="1"/>
    <col min="2314" max="2314" width="10.5" style="3452" customWidth="1"/>
    <col min="2315" max="2315" width="4.875" style="3452" customWidth="1"/>
    <col min="2316" max="2316" width="16.375" style="3452" customWidth="1"/>
    <col min="2317" max="2320" width="8.125" style="3452" customWidth="1"/>
    <col min="2321" max="2560" width="9" style="3452"/>
    <col min="2561" max="2561" width="6.375" style="3452" customWidth="1"/>
    <col min="2562" max="2562" width="19.375" style="3452" customWidth="1"/>
    <col min="2563" max="2563" width="7" style="3452" customWidth="1"/>
    <col min="2564" max="2564" width="3.25" style="3452" customWidth="1"/>
    <col min="2565" max="2565" width="7.375" style="3452" customWidth="1"/>
    <col min="2566" max="2566" width="3.5" style="3452" customWidth="1"/>
    <col min="2567" max="2567" width="19.375" style="3452" customWidth="1"/>
    <col min="2568" max="2568" width="19.5" style="3452" customWidth="1"/>
    <col min="2569" max="2569" width="8.625" style="3452" customWidth="1"/>
    <col min="2570" max="2570" width="10.5" style="3452" customWidth="1"/>
    <col min="2571" max="2571" width="4.875" style="3452" customWidth="1"/>
    <col min="2572" max="2572" width="16.375" style="3452" customWidth="1"/>
    <col min="2573" max="2576" width="8.125" style="3452" customWidth="1"/>
    <col min="2577" max="2816" width="9" style="3452"/>
    <col min="2817" max="2817" width="6.375" style="3452" customWidth="1"/>
    <col min="2818" max="2818" width="19.375" style="3452" customWidth="1"/>
    <col min="2819" max="2819" width="7" style="3452" customWidth="1"/>
    <col min="2820" max="2820" width="3.25" style="3452" customWidth="1"/>
    <col min="2821" max="2821" width="7.375" style="3452" customWidth="1"/>
    <col min="2822" max="2822" width="3.5" style="3452" customWidth="1"/>
    <col min="2823" max="2823" width="19.375" style="3452" customWidth="1"/>
    <col min="2824" max="2824" width="19.5" style="3452" customWidth="1"/>
    <col min="2825" max="2825" width="8.625" style="3452" customWidth="1"/>
    <col min="2826" max="2826" width="10.5" style="3452" customWidth="1"/>
    <col min="2827" max="2827" width="4.875" style="3452" customWidth="1"/>
    <col min="2828" max="2828" width="16.375" style="3452" customWidth="1"/>
    <col min="2829" max="2832" width="8.125" style="3452" customWidth="1"/>
    <col min="2833" max="3072" width="9" style="3452"/>
    <col min="3073" max="3073" width="6.375" style="3452" customWidth="1"/>
    <col min="3074" max="3074" width="19.375" style="3452" customWidth="1"/>
    <col min="3075" max="3075" width="7" style="3452" customWidth="1"/>
    <col min="3076" max="3076" width="3.25" style="3452" customWidth="1"/>
    <col min="3077" max="3077" width="7.375" style="3452" customWidth="1"/>
    <col min="3078" max="3078" width="3.5" style="3452" customWidth="1"/>
    <col min="3079" max="3079" width="19.375" style="3452" customWidth="1"/>
    <col min="3080" max="3080" width="19.5" style="3452" customWidth="1"/>
    <col min="3081" max="3081" width="8.625" style="3452" customWidth="1"/>
    <col min="3082" max="3082" width="10.5" style="3452" customWidth="1"/>
    <col min="3083" max="3083" width="4.875" style="3452" customWidth="1"/>
    <col min="3084" max="3084" width="16.375" style="3452" customWidth="1"/>
    <col min="3085" max="3088" width="8.125" style="3452" customWidth="1"/>
    <col min="3089" max="3328" width="9" style="3452"/>
    <col min="3329" max="3329" width="6.375" style="3452" customWidth="1"/>
    <col min="3330" max="3330" width="19.375" style="3452" customWidth="1"/>
    <col min="3331" max="3331" width="7" style="3452" customWidth="1"/>
    <col min="3332" max="3332" width="3.25" style="3452" customWidth="1"/>
    <col min="3333" max="3333" width="7.375" style="3452" customWidth="1"/>
    <col min="3334" max="3334" width="3.5" style="3452" customWidth="1"/>
    <col min="3335" max="3335" width="19.375" style="3452" customWidth="1"/>
    <col min="3336" max="3336" width="19.5" style="3452" customWidth="1"/>
    <col min="3337" max="3337" width="8.625" style="3452" customWidth="1"/>
    <col min="3338" max="3338" width="10.5" style="3452" customWidth="1"/>
    <col min="3339" max="3339" width="4.875" style="3452" customWidth="1"/>
    <col min="3340" max="3340" width="16.375" style="3452" customWidth="1"/>
    <col min="3341" max="3344" width="8.125" style="3452" customWidth="1"/>
    <col min="3345" max="3584" width="9" style="3452"/>
    <col min="3585" max="3585" width="6.375" style="3452" customWidth="1"/>
    <col min="3586" max="3586" width="19.375" style="3452" customWidth="1"/>
    <col min="3587" max="3587" width="7" style="3452" customWidth="1"/>
    <col min="3588" max="3588" width="3.25" style="3452" customWidth="1"/>
    <col min="3589" max="3589" width="7.375" style="3452" customWidth="1"/>
    <col min="3590" max="3590" width="3.5" style="3452" customWidth="1"/>
    <col min="3591" max="3591" width="19.375" style="3452" customWidth="1"/>
    <col min="3592" max="3592" width="19.5" style="3452" customWidth="1"/>
    <col min="3593" max="3593" width="8.625" style="3452" customWidth="1"/>
    <col min="3594" max="3594" width="10.5" style="3452" customWidth="1"/>
    <col min="3595" max="3595" width="4.875" style="3452" customWidth="1"/>
    <col min="3596" max="3596" width="16.375" style="3452" customWidth="1"/>
    <col min="3597" max="3600" width="8.125" style="3452" customWidth="1"/>
    <col min="3601" max="3840" width="9" style="3452"/>
    <col min="3841" max="3841" width="6.375" style="3452" customWidth="1"/>
    <col min="3842" max="3842" width="19.375" style="3452" customWidth="1"/>
    <col min="3843" max="3843" width="7" style="3452" customWidth="1"/>
    <col min="3844" max="3844" width="3.25" style="3452" customWidth="1"/>
    <col min="3845" max="3845" width="7.375" style="3452" customWidth="1"/>
    <col min="3846" max="3846" width="3.5" style="3452" customWidth="1"/>
    <col min="3847" max="3847" width="19.375" style="3452" customWidth="1"/>
    <col min="3848" max="3848" width="19.5" style="3452" customWidth="1"/>
    <col min="3849" max="3849" width="8.625" style="3452" customWidth="1"/>
    <col min="3850" max="3850" width="10.5" style="3452" customWidth="1"/>
    <col min="3851" max="3851" width="4.875" style="3452" customWidth="1"/>
    <col min="3852" max="3852" width="16.375" style="3452" customWidth="1"/>
    <col min="3853" max="3856" width="8.125" style="3452" customWidth="1"/>
    <col min="3857" max="4096" width="9" style="3452"/>
    <col min="4097" max="4097" width="6.375" style="3452" customWidth="1"/>
    <col min="4098" max="4098" width="19.375" style="3452" customWidth="1"/>
    <col min="4099" max="4099" width="7" style="3452" customWidth="1"/>
    <col min="4100" max="4100" width="3.25" style="3452" customWidth="1"/>
    <col min="4101" max="4101" width="7.375" style="3452" customWidth="1"/>
    <col min="4102" max="4102" width="3.5" style="3452" customWidth="1"/>
    <col min="4103" max="4103" width="19.375" style="3452" customWidth="1"/>
    <col min="4104" max="4104" width="19.5" style="3452" customWidth="1"/>
    <col min="4105" max="4105" width="8.625" style="3452" customWidth="1"/>
    <col min="4106" max="4106" width="10.5" style="3452" customWidth="1"/>
    <col min="4107" max="4107" width="4.875" style="3452" customWidth="1"/>
    <col min="4108" max="4108" width="16.375" style="3452" customWidth="1"/>
    <col min="4109" max="4112" width="8.125" style="3452" customWidth="1"/>
    <col min="4113" max="4352" width="9" style="3452"/>
    <col min="4353" max="4353" width="6.375" style="3452" customWidth="1"/>
    <col min="4354" max="4354" width="19.375" style="3452" customWidth="1"/>
    <col min="4355" max="4355" width="7" style="3452" customWidth="1"/>
    <col min="4356" max="4356" width="3.25" style="3452" customWidth="1"/>
    <col min="4357" max="4357" width="7.375" style="3452" customWidth="1"/>
    <col min="4358" max="4358" width="3.5" style="3452" customWidth="1"/>
    <col min="4359" max="4359" width="19.375" style="3452" customWidth="1"/>
    <col min="4360" max="4360" width="19.5" style="3452" customWidth="1"/>
    <col min="4361" max="4361" width="8.625" style="3452" customWidth="1"/>
    <col min="4362" max="4362" width="10.5" style="3452" customWidth="1"/>
    <col min="4363" max="4363" width="4.875" style="3452" customWidth="1"/>
    <col min="4364" max="4364" width="16.375" style="3452" customWidth="1"/>
    <col min="4365" max="4368" width="8.125" style="3452" customWidth="1"/>
    <col min="4369" max="4608" width="9" style="3452"/>
    <col min="4609" max="4609" width="6.375" style="3452" customWidth="1"/>
    <col min="4610" max="4610" width="19.375" style="3452" customWidth="1"/>
    <col min="4611" max="4611" width="7" style="3452" customWidth="1"/>
    <col min="4612" max="4612" width="3.25" style="3452" customWidth="1"/>
    <col min="4613" max="4613" width="7.375" style="3452" customWidth="1"/>
    <col min="4614" max="4614" width="3.5" style="3452" customWidth="1"/>
    <col min="4615" max="4615" width="19.375" style="3452" customWidth="1"/>
    <col min="4616" max="4616" width="19.5" style="3452" customWidth="1"/>
    <col min="4617" max="4617" width="8.625" style="3452" customWidth="1"/>
    <col min="4618" max="4618" width="10.5" style="3452" customWidth="1"/>
    <col min="4619" max="4619" width="4.875" style="3452" customWidth="1"/>
    <col min="4620" max="4620" width="16.375" style="3452" customWidth="1"/>
    <col min="4621" max="4624" width="8.125" style="3452" customWidth="1"/>
    <col min="4625" max="4864" width="9" style="3452"/>
    <col min="4865" max="4865" width="6.375" style="3452" customWidth="1"/>
    <col min="4866" max="4866" width="19.375" style="3452" customWidth="1"/>
    <col min="4867" max="4867" width="7" style="3452" customWidth="1"/>
    <col min="4868" max="4868" width="3.25" style="3452" customWidth="1"/>
    <col min="4869" max="4869" width="7.375" style="3452" customWidth="1"/>
    <col min="4870" max="4870" width="3.5" style="3452" customWidth="1"/>
    <col min="4871" max="4871" width="19.375" style="3452" customWidth="1"/>
    <col min="4872" max="4872" width="19.5" style="3452" customWidth="1"/>
    <col min="4873" max="4873" width="8.625" style="3452" customWidth="1"/>
    <col min="4874" max="4874" width="10.5" style="3452" customWidth="1"/>
    <col min="4875" max="4875" width="4.875" style="3452" customWidth="1"/>
    <col min="4876" max="4876" width="16.375" style="3452" customWidth="1"/>
    <col min="4877" max="4880" width="8.125" style="3452" customWidth="1"/>
    <col min="4881" max="5120" width="9" style="3452"/>
    <col min="5121" max="5121" width="6.375" style="3452" customWidth="1"/>
    <col min="5122" max="5122" width="19.375" style="3452" customWidth="1"/>
    <col min="5123" max="5123" width="7" style="3452" customWidth="1"/>
    <col min="5124" max="5124" width="3.25" style="3452" customWidth="1"/>
    <col min="5125" max="5125" width="7.375" style="3452" customWidth="1"/>
    <col min="5126" max="5126" width="3.5" style="3452" customWidth="1"/>
    <col min="5127" max="5127" width="19.375" style="3452" customWidth="1"/>
    <col min="5128" max="5128" width="19.5" style="3452" customWidth="1"/>
    <col min="5129" max="5129" width="8.625" style="3452" customWidth="1"/>
    <col min="5130" max="5130" width="10.5" style="3452" customWidth="1"/>
    <col min="5131" max="5131" width="4.875" style="3452" customWidth="1"/>
    <col min="5132" max="5132" width="16.375" style="3452" customWidth="1"/>
    <col min="5133" max="5136" width="8.125" style="3452" customWidth="1"/>
    <col min="5137" max="5376" width="9" style="3452"/>
    <col min="5377" max="5377" width="6.375" style="3452" customWidth="1"/>
    <col min="5378" max="5378" width="19.375" style="3452" customWidth="1"/>
    <col min="5379" max="5379" width="7" style="3452" customWidth="1"/>
    <col min="5380" max="5380" width="3.25" style="3452" customWidth="1"/>
    <col min="5381" max="5381" width="7.375" style="3452" customWidth="1"/>
    <col min="5382" max="5382" width="3.5" style="3452" customWidth="1"/>
    <col min="5383" max="5383" width="19.375" style="3452" customWidth="1"/>
    <col min="5384" max="5384" width="19.5" style="3452" customWidth="1"/>
    <col min="5385" max="5385" width="8.625" style="3452" customWidth="1"/>
    <col min="5386" max="5386" width="10.5" style="3452" customWidth="1"/>
    <col min="5387" max="5387" width="4.875" style="3452" customWidth="1"/>
    <col min="5388" max="5388" width="16.375" style="3452" customWidth="1"/>
    <col min="5389" max="5392" width="8.125" style="3452" customWidth="1"/>
    <col min="5393" max="5632" width="9" style="3452"/>
    <col min="5633" max="5633" width="6.375" style="3452" customWidth="1"/>
    <col min="5634" max="5634" width="19.375" style="3452" customWidth="1"/>
    <col min="5635" max="5635" width="7" style="3452" customWidth="1"/>
    <col min="5636" max="5636" width="3.25" style="3452" customWidth="1"/>
    <col min="5637" max="5637" width="7.375" style="3452" customWidth="1"/>
    <col min="5638" max="5638" width="3.5" style="3452" customWidth="1"/>
    <col min="5639" max="5639" width="19.375" style="3452" customWidth="1"/>
    <col min="5640" max="5640" width="19.5" style="3452" customWidth="1"/>
    <col min="5641" max="5641" width="8.625" style="3452" customWidth="1"/>
    <col min="5642" max="5642" width="10.5" style="3452" customWidth="1"/>
    <col min="5643" max="5643" width="4.875" style="3452" customWidth="1"/>
    <col min="5644" max="5644" width="16.375" style="3452" customWidth="1"/>
    <col min="5645" max="5648" width="8.125" style="3452" customWidth="1"/>
    <col min="5649" max="5888" width="9" style="3452"/>
    <col min="5889" max="5889" width="6.375" style="3452" customWidth="1"/>
    <col min="5890" max="5890" width="19.375" style="3452" customWidth="1"/>
    <col min="5891" max="5891" width="7" style="3452" customWidth="1"/>
    <col min="5892" max="5892" width="3.25" style="3452" customWidth="1"/>
    <col min="5893" max="5893" width="7.375" style="3452" customWidth="1"/>
    <col min="5894" max="5894" width="3.5" style="3452" customWidth="1"/>
    <col min="5895" max="5895" width="19.375" style="3452" customWidth="1"/>
    <col min="5896" max="5896" width="19.5" style="3452" customWidth="1"/>
    <col min="5897" max="5897" width="8.625" style="3452" customWidth="1"/>
    <col min="5898" max="5898" width="10.5" style="3452" customWidth="1"/>
    <col min="5899" max="5899" width="4.875" style="3452" customWidth="1"/>
    <col min="5900" max="5900" width="16.375" style="3452" customWidth="1"/>
    <col min="5901" max="5904" width="8.125" style="3452" customWidth="1"/>
    <col min="5905" max="6144" width="9" style="3452"/>
    <col min="6145" max="6145" width="6.375" style="3452" customWidth="1"/>
    <col min="6146" max="6146" width="19.375" style="3452" customWidth="1"/>
    <col min="6147" max="6147" width="7" style="3452" customWidth="1"/>
    <col min="6148" max="6148" width="3.25" style="3452" customWidth="1"/>
    <col min="6149" max="6149" width="7.375" style="3452" customWidth="1"/>
    <col min="6150" max="6150" width="3.5" style="3452" customWidth="1"/>
    <col min="6151" max="6151" width="19.375" style="3452" customWidth="1"/>
    <col min="6152" max="6152" width="19.5" style="3452" customWidth="1"/>
    <col min="6153" max="6153" width="8.625" style="3452" customWidth="1"/>
    <col min="6154" max="6154" width="10.5" style="3452" customWidth="1"/>
    <col min="6155" max="6155" width="4.875" style="3452" customWidth="1"/>
    <col min="6156" max="6156" width="16.375" style="3452" customWidth="1"/>
    <col min="6157" max="6160" width="8.125" style="3452" customWidth="1"/>
    <col min="6161" max="6400" width="9" style="3452"/>
    <col min="6401" max="6401" width="6.375" style="3452" customWidth="1"/>
    <col min="6402" max="6402" width="19.375" style="3452" customWidth="1"/>
    <col min="6403" max="6403" width="7" style="3452" customWidth="1"/>
    <col min="6404" max="6404" width="3.25" style="3452" customWidth="1"/>
    <col min="6405" max="6405" width="7.375" style="3452" customWidth="1"/>
    <col min="6406" max="6406" width="3.5" style="3452" customWidth="1"/>
    <col min="6407" max="6407" width="19.375" style="3452" customWidth="1"/>
    <col min="6408" max="6408" width="19.5" style="3452" customWidth="1"/>
    <col min="6409" max="6409" width="8.625" style="3452" customWidth="1"/>
    <col min="6410" max="6410" width="10.5" style="3452" customWidth="1"/>
    <col min="6411" max="6411" width="4.875" style="3452" customWidth="1"/>
    <col min="6412" max="6412" width="16.375" style="3452" customWidth="1"/>
    <col min="6413" max="6416" width="8.125" style="3452" customWidth="1"/>
    <col min="6417" max="6656" width="9" style="3452"/>
    <col min="6657" max="6657" width="6.375" style="3452" customWidth="1"/>
    <col min="6658" max="6658" width="19.375" style="3452" customWidth="1"/>
    <col min="6659" max="6659" width="7" style="3452" customWidth="1"/>
    <col min="6660" max="6660" width="3.25" style="3452" customWidth="1"/>
    <col min="6661" max="6661" width="7.375" style="3452" customWidth="1"/>
    <col min="6662" max="6662" width="3.5" style="3452" customWidth="1"/>
    <col min="6663" max="6663" width="19.375" style="3452" customWidth="1"/>
    <col min="6664" max="6664" width="19.5" style="3452" customWidth="1"/>
    <col min="6665" max="6665" width="8.625" style="3452" customWidth="1"/>
    <col min="6666" max="6666" width="10.5" style="3452" customWidth="1"/>
    <col min="6667" max="6667" width="4.875" style="3452" customWidth="1"/>
    <col min="6668" max="6668" width="16.375" style="3452" customWidth="1"/>
    <col min="6669" max="6672" width="8.125" style="3452" customWidth="1"/>
    <col min="6673" max="6912" width="9" style="3452"/>
    <col min="6913" max="6913" width="6.375" style="3452" customWidth="1"/>
    <col min="6914" max="6914" width="19.375" style="3452" customWidth="1"/>
    <col min="6915" max="6915" width="7" style="3452" customWidth="1"/>
    <col min="6916" max="6916" width="3.25" style="3452" customWidth="1"/>
    <col min="6917" max="6917" width="7.375" style="3452" customWidth="1"/>
    <col min="6918" max="6918" width="3.5" style="3452" customWidth="1"/>
    <col min="6919" max="6919" width="19.375" style="3452" customWidth="1"/>
    <col min="6920" max="6920" width="19.5" style="3452" customWidth="1"/>
    <col min="6921" max="6921" width="8.625" style="3452" customWidth="1"/>
    <col min="6922" max="6922" width="10.5" style="3452" customWidth="1"/>
    <col min="6923" max="6923" width="4.875" style="3452" customWidth="1"/>
    <col min="6924" max="6924" width="16.375" style="3452" customWidth="1"/>
    <col min="6925" max="6928" width="8.125" style="3452" customWidth="1"/>
    <col min="6929" max="7168" width="9" style="3452"/>
    <col min="7169" max="7169" width="6.375" style="3452" customWidth="1"/>
    <col min="7170" max="7170" width="19.375" style="3452" customWidth="1"/>
    <col min="7171" max="7171" width="7" style="3452" customWidth="1"/>
    <col min="7172" max="7172" width="3.25" style="3452" customWidth="1"/>
    <col min="7173" max="7173" width="7.375" style="3452" customWidth="1"/>
    <col min="7174" max="7174" width="3.5" style="3452" customWidth="1"/>
    <col min="7175" max="7175" width="19.375" style="3452" customWidth="1"/>
    <col min="7176" max="7176" width="19.5" style="3452" customWidth="1"/>
    <col min="7177" max="7177" width="8.625" style="3452" customWidth="1"/>
    <col min="7178" max="7178" width="10.5" style="3452" customWidth="1"/>
    <col min="7179" max="7179" width="4.875" style="3452" customWidth="1"/>
    <col min="7180" max="7180" width="16.375" style="3452" customWidth="1"/>
    <col min="7181" max="7184" width="8.125" style="3452" customWidth="1"/>
    <col min="7185" max="7424" width="9" style="3452"/>
    <col min="7425" max="7425" width="6.375" style="3452" customWidth="1"/>
    <col min="7426" max="7426" width="19.375" style="3452" customWidth="1"/>
    <col min="7427" max="7427" width="7" style="3452" customWidth="1"/>
    <col min="7428" max="7428" width="3.25" style="3452" customWidth="1"/>
    <col min="7429" max="7429" width="7.375" style="3452" customWidth="1"/>
    <col min="7430" max="7430" width="3.5" style="3452" customWidth="1"/>
    <col min="7431" max="7431" width="19.375" style="3452" customWidth="1"/>
    <col min="7432" max="7432" width="19.5" style="3452" customWidth="1"/>
    <col min="7433" max="7433" width="8.625" style="3452" customWidth="1"/>
    <col min="7434" max="7434" width="10.5" style="3452" customWidth="1"/>
    <col min="7435" max="7435" width="4.875" style="3452" customWidth="1"/>
    <col min="7436" max="7436" width="16.375" style="3452" customWidth="1"/>
    <col min="7437" max="7440" width="8.125" style="3452" customWidth="1"/>
    <col min="7441" max="7680" width="9" style="3452"/>
    <col min="7681" max="7681" width="6.375" style="3452" customWidth="1"/>
    <col min="7682" max="7682" width="19.375" style="3452" customWidth="1"/>
    <col min="7683" max="7683" width="7" style="3452" customWidth="1"/>
    <col min="7684" max="7684" width="3.25" style="3452" customWidth="1"/>
    <col min="7685" max="7685" width="7.375" style="3452" customWidth="1"/>
    <col min="7686" max="7686" width="3.5" style="3452" customWidth="1"/>
    <col min="7687" max="7687" width="19.375" style="3452" customWidth="1"/>
    <col min="7688" max="7688" width="19.5" style="3452" customWidth="1"/>
    <col min="7689" max="7689" width="8.625" style="3452" customWidth="1"/>
    <col min="7690" max="7690" width="10.5" style="3452" customWidth="1"/>
    <col min="7691" max="7691" width="4.875" style="3452" customWidth="1"/>
    <col min="7692" max="7692" width="16.375" style="3452" customWidth="1"/>
    <col min="7693" max="7696" width="8.125" style="3452" customWidth="1"/>
    <col min="7697" max="7936" width="9" style="3452"/>
    <col min="7937" max="7937" width="6.375" style="3452" customWidth="1"/>
    <col min="7938" max="7938" width="19.375" style="3452" customWidth="1"/>
    <col min="7939" max="7939" width="7" style="3452" customWidth="1"/>
    <col min="7940" max="7940" width="3.25" style="3452" customWidth="1"/>
    <col min="7941" max="7941" width="7.375" style="3452" customWidth="1"/>
    <col min="7942" max="7942" width="3.5" style="3452" customWidth="1"/>
    <col min="7943" max="7943" width="19.375" style="3452" customWidth="1"/>
    <col min="7944" max="7944" width="19.5" style="3452" customWidth="1"/>
    <col min="7945" max="7945" width="8.625" style="3452" customWidth="1"/>
    <col min="7946" max="7946" width="10.5" style="3452" customWidth="1"/>
    <col min="7947" max="7947" width="4.875" style="3452" customWidth="1"/>
    <col min="7948" max="7948" width="16.375" style="3452" customWidth="1"/>
    <col min="7949" max="7952" width="8.125" style="3452" customWidth="1"/>
    <col min="7953" max="8192" width="9" style="3452"/>
    <col min="8193" max="8193" width="6.375" style="3452" customWidth="1"/>
    <col min="8194" max="8194" width="19.375" style="3452" customWidth="1"/>
    <col min="8195" max="8195" width="7" style="3452" customWidth="1"/>
    <col min="8196" max="8196" width="3.25" style="3452" customWidth="1"/>
    <col min="8197" max="8197" width="7.375" style="3452" customWidth="1"/>
    <col min="8198" max="8198" width="3.5" style="3452" customWidth="1"/>
    <col min="8199" max="8199" width="19.375" style="3452" customWidth="1"/>
    <col min="8200" max="8200" width="19.5" style="3452" customWidth="1"/>
    <col min="8201" max="8201" width="8.625" style="3452" customWidth="1"/>
    <col min="8202" max="8202" width="10.5" style="3452" customWidth="1"/>
    <col min="8203" max="8203" width="4.875" style="3452" customWidth="1"/>
    <col min="8204" max="8204" width="16.375" style="3452" customWidth="1"/>
    <col min="8205" max="8208" width="8.125" style="3452" customWidth="1"/>
    <col min="8209" max="8448" width="9" style="3452"/>
    <col min="8449" max="8449" width="6.375" style="3452" customWidth="1"/>
    <col min="8450" max="8450" width="19.375" style="3452" customWidth="1"/>
    <col min="8451" max="8451" width="7" style="3452" customWidth="1"/>
    <col min="8452" max="8452" width="3.25" style="3452" customWidth="1"/>
    <col min="8453" max="8453" width="7.375" style="3452" customWidth="1"/>
    <col min="8454" max="8454" width="3.5" style="3452" customWidth="1"/>
    <col min="8455" max="8455" width="19.375" style="3452" customWidth="1"/>
    <col min="8456" max="8456" width="19.5" style="3452" customWidth="1"/>
    <col min="8457" max="8457" width="8.625" style="3452" customWidth="1"/>
    <col min="8458" max="8458" width="10.5" style="3452" customWidth="1"/>
    <col min="8459" max="8459" width="4.875" style="3452" customWidth="1"/>
    <col min="8460" max="8460" width="16.375" style="3452" customWidth="1"/>
    <col min="8461" max="8464" width="8.125" style="3452" customWidth="1"/>
    <col min="8465" max="8704" width="9" style="3452"/>
    <col min="8705" max="8705" width="6.375" style="3452" customWidth="1"/>
    <col min="8706" max="8706" width="19.375" style="3452" customWidth="1"/>
    <col min="8707" max="8707" width="7" style="3452" customWidth="1"/>
    <col min="8708" max="8708" width="3.25" style="3452" customWidth="1"/>
    <col min="8709" max="8709" width="7.375" style="3452" customWidth="1"/>
    <col min="8710" max="8710" width="3.5" style="3452" customWidth="1"/>
    <col min="8711" max="8711" width="19.375" style="3452" customWidth="1"/>
    <col min="8712" max="8712" width="19.5" style="3452" customWidth="1"/>
    <col min="8713" max="8713" width="8.625" style="3452" customWidth="1"/>
    <col min="8714" max="8714" width="10.5" style="3452" customWidth="1"/>
    <col min="8715" max="8715" width="4.875" style="3452" customWidth="1"/>
    <col min="8716" max="8716" width="16.375" style="3452" customWidth="1"/>
    <col min="8717" max="8720" width="8.125" style="3452" customWidth="1"/>
    <col min="8721" max="8960" width="9" style="3452"/>
    <col min="8961" max="8961" width="6.375" style="3452" customWidth="1"/>
    <col min="8962" max="8962" width="19.375" style="3452" customWidth="1"/>
    <col min="8963" max="8963" width="7" style="3452" customWidth="1"/>
    <col min="8964" max="8964" width="3.25" style="3452" customWidth="1"/>
    <col min="8965" max="8965" width="7.375" style="3452" customWidth="1"/>
    <col min="8966" max="8966" width="3.5" style="3452" customWidth="1"/>
    <col min="8967" max="8967" width="19.375" style="3452" customWidth="1"/>
    <col min="8968" max="8968" width="19.5" style="3452" customWidth="1"/>
    <col min="8969" max="8969" width="8.625" style="3452" customWidth="1"/>
    <col min="8970" max="8970" width="10.5" style="3452" customWidth="1"/>
    <col min="8971" max="8971" width="4.875" style="3452" customWidth="1"/>
    <col min="8972" max="8972" width="16.375" style="3452" customWidth="1"/>
    <col min="8973" max="8976" width="8.125" style="3452" customWidth="1"/>
    <col min="8977" max="9216" width="9" style="3452"/>
    <col min="9217" max="9217" width="6.375" style="3452" customWidth="1"/>
    <col min="9218" max="9218" width="19.375" style="3452" customWidth="1"/>
    <col min="9219" max="9219" width="7" style="3452" customWidth="1"/>
    <col min="9220" max="9220" width="3.25" style="3452" customWidth="1"/>
    <col min="9221" max="9221" width="7.375" style="3452" customWidth="1"/>
    <col min="9222" max="9222" width="3.5" style="3452" customWidth="1"/>
    <col min="9223" max="9223" width="19.375" style="3452" customWidth="1"/>
    <col min="9224" max="9224" width="19.5" style="3452" customWidth="1"/>
    <col min="9225" max="9225" width="8.625" style="3452" customWidth="1"/>
    <col min="9226" max="9226" width="10.5" style="3452" customWidth="1"/>
    <col min="9227" max="9227" width="4.875" style="3452" customWidth="1"/>
    <col min="9228" max="9228" width="16.375" style="3452" customWidth="1"/>
    <col min="9229" max="9232" width="8.125" style="3452" customWidth="1"/>
    <col min="9233" max="9472" width="9" style="3452"/>
    <col min="9473" max="9473" width="6.375" style="3452" customWidth="1"/>
    <col min="9474" max="9474" width="19.375" style="3452" customWidth="1"/>
    <col min="9475" max="9475" width="7" style="3452" customWidth="1"/>
    <col min="9476" max="9476" width="3.25" style="3452" customWidth="1"/>
    <col min="9477" max="9477" width="7.375" style="3452" customWidth="1"/>
    <col min="9478" max="9478" width="3.5" style="3452" customWidth="1"/>
    <col min="9479" max="9479" width="19.375" style="3452" customWidth="1"/>
    <col min="9480" max="9480" width="19.5" style="3452" customWidth="1"/>
    <col min="9481" max="9481" width="8.625" style="3452" customWidth="1"/>
    <col min="9482" max="9482" width="10.5" style="3452" customWidth="1"/>
    <col min="9483" max="9483" width="4.875" style="3452" customWidth="1"/>
    <col min="9484" max="9484" width="16.375" style="3452" customWidth="1"/>
    <col min="9485" max="9488" width="8.125" style="3452" customWidth="1"/>
    <col min="9489" max="9728" width="9" style="3452"/>
    <col min="9729" max="9729" width="6.375" style="3452" customWidth="1"/>
    <col min="9730" max="9730" width="19.375" style="3452" customWidth="1"/>
    <col min="9731" max="9731" width="7" style="3452" customWidth="1"/>
    <col min="9732" max="9732" width="3.25" style="3452" customWidth="1"/>
    <col min="9733" max="9733" width="7.375" style="3452" customWidth="1"/>
    <col min="9734" max="9734" width="3.5" style="3452" customWidth="1"/>
    <col min="9735" max="9735" width="19.375" style="3452" customWidth="1"/>
    <col min="9736" max="9736" width="19.5" style="3452" customWidth="1"/>
    <col min="9737" max="9737" width="8.625" style="3452" customWidth="1"/>
    <col min="9738" max="9738" width="10.5" style="3452" customWidth="1"/>
    <col min="9739" max="9739" width="4.875" style="3452" customWidth="1"/>
    <col min="9740" max="9740" width="16.375" style="3452" customWidth="1"/>
    <col min="9741" max="9744" width="8.125" style="3452" customWidth="1"/>
    <col min="9745" max="9984" width="9" style="3452"/>
    <col min="9985" max="9985" width="6.375" style="3452" customWidth="1"/>
    <col min="9986" max="9986" width="19.375" style="3452" customWidth="1"/>
    <col min="9987" max="9987" width="7" style="3452" customWidth="1"/>
    <col min="9988" max="9988" width="3.25" style="3452" customWidth="1"/>
    <col min="9989" max="9989" width="7.375" style="3452" customWidth="1"/>
    <col min="9990" max="9990" width="3.5" style="3452" customWidth="1"/>
    <col min="9991" max="9991" width="19.375" style="3452" customWidth="1"/>
    <col min="9992" max="9992" width="19.5" style="3452" customWidth="1"/>
    <col min="9993" max="9993" width="8.625" style="3452" customWidth="1"/>
    <col min="9994" max="9994" width="10.5" style="3452" customWidth="1"/>
    <col min="9995" max="9995" width="4.875" style="3452" customWidth="1"/>
    <col min="9996" max="9996" width="16.375" style="3452" customWidth="1"/>
    <col min="9997" max="10000" width="8.125" style="3452" customWidth="1"/>
    <col min="10001" max="10240" width="9" style="3452"/>
    <col min="10241" max="10241" width="6.375" style="3452" customWidth="1"/>
    <col min="10242" max="10242" width="19.375" style="3452" customWidth="1"/>
    <col min="10243" max="10243" width="7" style="3452" customWidth="1"/>
    <col min="10244" max="10244" width="3.25" style="3452" customWidth="1"/>
    <col min="10245" max="10245" width="7.375" style="3452" customWidth="1"/>
    <col min="10246" max="10246" width="3.5" style="3452" customWidth="1"/>
    <col min="10247" max="10247" width="19.375" style="3452" customWidth="1"/>
    <col min="10248" max="10248" width="19.5" style="3452" customWidth="1"/>
    <col min="10249" max="10249" width="8.625" style="3452" customWidth="1"/>
    <col min="10250" max="10250" width="10.5" style="3452" customWidth="1"/>
    <col min="10251" max="10251" width="4.875" style="3452" customWidth="1"/>
    <col min="10252" max="10252" width="16.375" style="3452" customWidth="1"/>
    <col min="10253" max="10256" width="8.125" style="3452" customWidth="1"/>
    <col min="10257" max="10496" width="9" style="3452"/>
    <col min="10497" max="10497" width="6.375" style="3452" customWidth="1"/>
    <col min="10498" max="10498" width="19.375" style="3452" customWidth="1"/>
    <col min="10499" max="10499" width="7" style="3452" customWidth="1"/>
    <col min="10500" max="10500" width="3.25" style="3452" customWidth="1"/>
    <col min="10501" max="10501" width="7.375" style="3452" customWidth="1"/>
    <col min="10502" max="10502" width="3.5" style="3452" customWidth="1"/>
    <col min="10503" max="10503" width="19.375" style="3452" customWidth="1"/>
    <col min="10504" max="10504" width="19.5" style="3452" customWidth="1"/>
    <col min="10505" max="10505" width="8.625" style="3452" customWidth="1"/>
    <col min="10506" max="10506" width="10.5" style="3452" customWidth="1"/>
    <col min="10507" max="10507" width="4.875" style="3452" customWidth="1"/>
    <col min="10508" max="10508" width="16.375" style="3452" customWidth="1"/>
    <col min="10509" max="10512" width="8.125" style="3452" customWidth="1"/>
    <col min="10513" max="10752" width="9" style="3452"/>
    <col min="10753" max="10753" width="6.375" style="3452" customWidth="1"/>
    <col min="10754" max="10754" width="19.375" style="3452" customWidth="1"/>
    <col min="10755" max="10755" width="7" style="3452" customWidth="1"/>
    <col min="10756" max="10756" width="3.25" style="3452" customWidth="1"/>
    <col min="10757" max="10757" width="7.375" style="3452" customWidth="1"/>
    <col min="10758" max="10758" width="3.5" style="3452" customWidth="1"/>
    <col min="10759" max="10759" width="19.375" style="3452" customWidth="1"/>
    <col min="10760" max="10760" width="19.5" style="3452" customWidth="1"/>
    <col min="10761" max="10761" width="8.625" style="3452" customWidth="1"/>
    <col min="10762" max="10762" width="10.5" style="3452" customWidth="1"/>
    <col min="10763" max="10763" width="4.875" style="3452" customWidth="1"/>
    <col min="10764" max="10764" width="16.375" style="3452" customWidth="1"/>
    <col min="10765" max="10768" width="8.125" style="3452" customWidth="1"/>
    <col min="10769" max="11008" width="9" style="3452"/>
    <col min="11009" max="11009" width="6.375" style="3452" customWidth="1"/>
    <col min="11010" max="11010" width="19.375" style="3452" customWidth="1"/>
    <col min="11011" max="11011" width="7" style="3452" customWidth="1"/>
    <col min="11012" max="11012" width="3.25" style="3452" customWidth="1"/>
    <col min="11013" max="11013" width="7.375" style="3452" customWidth="1"/>
    <col min="11014" max="11014" width="3.5" style="3452" customWidth="1"/>
    <col min="11015" max="11015" width="19.375" style="3452" customWidth="1"/>
    <col min="11016" max="11016" width="19.5" style="3452" customWidth="1"/>
    <col min="11017" max="11017" width="8.625" style="3452" customWidth="1"/>
    <col min="11018" max="11018" width="10.5" style="3452" customWidth="1"/>
    <col min="11019" max="11019" width="4.875" style="3452" customWidth="1"/>
    <col min="11020" max="11020" width="16.375" style="3452" customWidth="1"/>
    <col min="11021" max="11024" width="8.125" style="3452" customWidth="1"/>
    <col min="11025" max="11264" width="9" style="3452"/>
    <col min="11265" max="11265" width="6.375" style="3452" customWidth="1"/>
    <col min="11266" max="11266" width="19.375" style="3452" customWidth="1"/>
    <col min="11267" max="11267" width="7" style="3452" customWidth="1"/>
    <col min="11268" max="11268" width="3.25" style="3452" customWidth="1"/>
    <col min="11269" max="11269" width="7.375" style="3452" customWidth="1"/>
    <col min="11270" max="11270" width="3.5" style="3452" customWidth="1"/>
    <col min="11271" max="11271" width="19.375" style="3452" customWidth="1"/>
    <col min="11272" max="11272" width="19.5" style="3452" customWidth="1"/>
    <col min="11273" max="11273" width="8.625" style="3452" customWidth="1"/>
    <col min="11274" max="11274" width="10.5" style="3452" customWidth="1"/>
    <col min="11275" max="11275" width="4.875" style="3452" customWidth="1"/>
    <col min="11276" max="11276" width="16.375" style="3452" customWidth="1"/>
    <col min="11277" max="11280" width="8.125" style="3452" customWidth="1"/>
    <col min="11281" max="11520" width="9" style="3452"/>
    <col min="11521" max="11521" width="6.375" style="3452" customWidth="1"/>
    <col min="11522" max="11522" width="19.375" style="3452" customWidth="1"/>
    <col min="11523" max="11523" width="7" style="3452" customWidth="1"/>
    <col min="11524" max="11524" width="3.25" style="3452" customWidth="1"/>
    <col min="11525" max="11525" width="7.375" style="3452" customWidth="1"/>
    <col min="11526" max="11526" width="3.5" style="3452" customWidth="1"/>
    <col min="11527" max="11527" width="19.375" style="3452" customWidth="1"/>
    <col min="11528" max="11528" width="19.5" style="3452" customWidth="1"/>
    <col min="11529" max="11529" width="8.625" style="3452" customWidth="1"/>
    <col min="11530" max="11530" width="10.5" style="3452" customWidth="1"/>
    <col min="11531" max="11531" width="4.875" style="3452" customWidth="1"/>
    <col min="11532" max="11532" width="16.375" style="3452" customWidth="1"/>
    <col min="11533" max="11536" width="8.125" style="3452" customWidth="1"/>
    <col min="11537" max="11776" width="9" style="3452"/>
    <col min="11777" max="11777" width="6.375" style="3452" customWidth="1"/>
    <col min="11778" max="11778" width="19.375" style="3452" customWidth="1"/>
    <col min="11779" max="11779" width="7" style="3452" customWidth="1"/>
    <col min="11780" max="11780" width="3.25" style="3452" customWidth="1"/>
    <col min="11781" max="11781" width="7.375" style="3452" customWidth="1"/>
    <col min="11782" max="11782" width="3.5" style="3452" customWidth="1"/>
    <col min="11783" max="11783" width="19.375" style="3452" customWidth="1"/>
    <col min="11784" max="11784" width="19.5" style="3452" customWidth="1"/>
    <col min="11785" max="11785" width="8.625" style="3452" customWidth="1"/>
    <col min="11786" max="11786" width="10.5" style="3452" customWidth="1"/>
    <col min="11787" max="11787" width="4.875" style="3452" customWidth="1"/>
    <col min="11788" max="11788" width="16.375" style="3452" customWidth="1"/>
    <col min="11789" max="11792" width="8.125" style="3452" customWidth="1"/>
    <col min="11793" max="12032" width="9" style="3452"/>
    <col min="12033" max="12033" width="6.375" style="3452" customWidth="1"/>
    <col min="12034" max="12034" width="19.375" style="3452" customWidth="1"/>
    <col min="12035" max="12035" width="7" style="3452" customWidth="1"/>
    <col min="12036" max="12036" width="3.25" style="3452" customWidth="1"/>
    <col min="12037" max="12037" width="7.375" style="3452" customWidth="1"/>
    <col min="12038" max="12038" width="3.5" style="3452" customWidth="1"/>
    <col min="12039" max="12039" width="19.375" style="3452" customWidth="1"/>
    <col min="12040" max="12040" width="19.5" style="3452" customWidth="1"/>
    <col min="12041" max="12041" width="8.625" style="3452" customWidth="1"/>
    <col min="12042" max="12042" width="10.5" style="3452" customWidth="1"/>
    <col min="12043" max="12043" width="4.875" style="3452" customWidth="1"/>
    <col min="12044" max="12044" width="16.375" style="3452" customWidth="1"/>
    <col min="12045" max="12048" width="8.125" style="3452" customWidth="1"/>
    <col min="12049" max="12288" width="9" style="3452"/>
    <col min="12289" max="12289" width="6.375" style="3452" customWidth="1"/>
    <col min="12290" max="12290" width="19.375" style="3452" customWidth="1"/>
    <col min="12291" max="12291" width="7" style="3452" customWidth="1"/>
    <col min="12292" max="12292" width="3.25" style="3452" customWidth="1"/>
    <col min="12293" max="12293" width="7.375" style="3452" customWidth="1"/>
    <col min="12294" max="12294" width="3.5" style="3452" customWidth="1"/>
    <col min="12295" max="12295" width="19.375" style="3452" customWidth="1"/>
    <col min="12296" max="12296" width="19.5" style="3452" customWidth="1"/>
    <col min="12297" max="12297" width="8.625" style="3452" customWidth="1"/>
    <col min="12298" max="12298" width="10.5" style="3452" customWidth="1"/>
    <col min="12299" max="12299" width="4.875" style="3452" customWidth="1"/>
    <col min="12300" max="12300" width="16.375" style="3452" customWidth="1"/>
    <col min="12301" max="12304" width="8.125" style="3452" customWidth="1"/>
    <col min="12305" max="12544" width="9" style="3452"/>
    <col min="12545" max="12545" width="6.375" style="3452" customWidth="1"/>
    <col min="12546" max="12546" width="19.375" style="3452" customWidth="1"/>
    <col min="12547" max="12547" width="7" style="3452" customWidth="1"/>
    <col min="12548" max="12548" width="3.25" style="3452" customWidth="1"/>
    <col min="12549" max="12549" width="7.375" style="3452" customWidth="1"/>
    <col min="12550" max="12550" width="3.5" style="3452" customWidth="1"/>
    <col min="12551" max="12551" width="19.375" style="3452" customWidth="1"/>
    <col min="12552" max="12552" width="19.5" style="3452" customWidth="1"/>
    <col min="12553" max="12553" width="8.625" style="3452" customWidth="1"/>
    <col min="12554" max="12554" width="10.5" style="3452" customWidth="1"/>
    <col min="12555" max="12555" width="4.875" style="3452" customWidth="1"/>
    <col min="12556" max="12556" width="16.375" style="3452" customWidth="1"/>
    <col min="12557" max="12560" width="8.125" style="3452" customWidth="1"/>
    <col min="12561" max="12800" width="9" style="3452"/>
    <col min="12801" max="12801" width="6.375" style="3452" customWidth="1"/>
    <col min="12802" max="12802" width="19.375" style="3452" customWidth="1"/>
    <col min="12803" max="12803" width="7" style="3452" customWidth="1"/>
    <col min="12804" max="12804" width="3.25" style="3452" customWidth="1"/>
    <col min="12805" max="12805" width="7.375" style="3452" customWidth="1"/>
    <col min="12806" max="12806" width="3.5" style="3452" customWidth="1"/>
    <col min="12807" max="12807" width="19.375" style="3452" customWidth="1"/>
    <col min="12808" max="12808" width="19.5" style="3452" customWidth="1"/>
    <col min="12809" max="12809" width="8.625" style="3452" customWidth="1"/>
    <col min="12810" max="12810" width="10.5" style="3452" customWidth="1"/>
    <col min="12811" max="12811" width="4.875" style="3452" customWidth="1"/>
    <col min="12812" max="12812" width="16.375" style="3452" customWidth="1"/>
    <col min="12813" max="12816" width="8.125" style="3452" customWidth="1"/>
    <col min="12817" max="13056" width="9" style="3452"/>
    <col min="13057" max="13057" width="6.375" style="3452" customWidth="1"/>
    <col min="13058" max="13058" width="19.375" style="3452" customWidth="1"/>
    <col min="13059" max="13059" width="7" style="3452" customWidth="1"/>
    <col min="13060" max="13060" width="3.25" style="3452" customWidth="1"/>
    <col min="13061" max="13061" width="7.375" style="3452" customWidth="1"/>
    <col min="13062" max="13062" width="3.5" style="3452" customWidth="1"/>
    <col min="13063" max="13063" width="19.375" style="3452" customWidth="1"/>
    <col min="13064" max="13064" width="19.5" style="3452" customWidth="1"/>
    <col min="13065" max="13065" width="8.625" style="3452" customWidth="1"/>
    <col min="13066" max="13066" width="10.5" style="3452" customWidth="1"/>
    <col min="13067" max="13067" width="4.875" style="3452" customWidth="1"/>
    <col min="13068" max="13068" width="16.375" style="3452" customWidth="1"/>
    <col min="13069" max="13072" width="8.125" style="3452" customWidth="1"/>
    <col min="13073" max="13312" width="9" style="3452"/>
    <col min="13313" max="13313" width="6.375" style="3452" customWidth="1"/>
    <col min="13314" max="13314" width="19.375" style="3452" customWidth="1"/>
    <col min="13315" max="13315" width="7" style="3452" customWidth="1"/>
    <col min="13316" max="13316" width="3.25" style="3452" customWidth="1"/>
    <col min="13317" max="13317" width="7.375" style="3452" customWidth="1"/>
    <col min="13318" max="13318" width="3.5" style="3452" customWidth="1"/>
    <col min="13319" max="13319" width="19.375" style="3452" customWidth="1"/>
    <col min="13320" max="13320" width="19.5" style="3452" customWidth="1"/>
    <col min="13321" max="13321" width="8.625" style="3452" customWidth="1"/>
    <col min="13322" max="13322" width="10.5" style="3452" customWidth="1"/>
    <col min="13323" max="13323" width="4.875" style="3452" customWidth="1"/>
    <col min="13324" max="13324" width="16.375" style="3452" customWidth="1"/>
    <col min="13325" max="13328" width="8.125" style="3452" customWidth="1"/>
    <col min="13329" max="13568" width="9" style="3452"/>
    <col min="13569" max="13569" width="6.375" style="3452" customWidth="1"/>
    <col min="13570" max="13570" width="19.375" style="3452" customWidth="1"/>
    <col min="13571" max="13571" width="7" style="3452" customWidth="1"/>
    <col min="13572" max="13572" width="3.25" style="3452" customWidth="1"/>
    <col min="13573" max="13573" width="7.375" style="3452" customWidth="1"/>
    <col min="13574" max="13574" width="3.5" style="3452" customWidth="1"/>
    <col min="13575" max="13575" width="19.375" style="3452" customWidth="1"/>
    <col min="13576" max="13576" width="19.5" style="3452" customWidth="1"/>
    <col min="13577" max="13577" width="8.625" style="3452" customWidth="1"/>
    <col min="13578" max="13578" width="10.5" style="3452" customWidth="1"/>
    <col min="13579" max="13579" width="4.875" style="3452" customWidth="1"/>
    <col min="13580" max="13580" width="16.375" style="3452" customWidth="1"/>
    <col min="13581" max="13584" width="8.125" style="3452" customWidth="1"/>
    <col min="13585" max="13824" width="9" style="3452"/>
    <col min="13825" max="13825" width="6.375" style="3452" customWidth="1"/>
    <col min="13826" max="13826" width="19.375" style="3452" customWidth="1"/>
    <col min="13827" max="13827" width="7" style="3452" customWidth="1"/>
    <col min="13828" max="13828" width="3.25" style="3452" customWidth="1"/>
    <col min="13829" max="13829" width="7.375" style="3452" customWidth="1"/>
    <col min="13830" max="13830" width="3.5" style="3452" customWidth="1"/>
    <col min="13831" max="13831" width="19.375" style="3452" customWidth="1"/>
    <col min="13832" max="13832" width="19.5" style="3452" customWidth="1"/>
    <col min="13833" max="13833" width="8.625" style="3452" customWidth="1"/>
    <col min="13834" max="13834" width="10.5" style="3452" customWidth="1"/>
    <col min="13835" max="13835" width="4.875" style="3452" customWidth="1"/>
    <col min="13836" max="13836" width="16.375" style="3452" customWidth="1"/>
    <col min="13837" max="13840" width="8.125" style="3452" customWidth="1"/>
    <col min="13841" max="14080" width="9" style="3452"/>
    <col min="14081" max="14081" width="6.375" style="3452" customWidth="1"/>
    <col min="14082" max="14082" width="19.375" style="3452" customWidth="1"/>
    <col min="14083" max="14083" width="7" style="3452" customWidth="1"/>
    <col min="14084" max="14084" width="3.25" style="3452" customWidth="1"/>
    <col min="14085" max="14085" width="7.375" style="3452" customWidth="1"/>
    <col min="14086" max="14086" width="3.5" style="3452" customWidth="1"/>
    <col min="14087" max="14087" width="19.375" style="3452" customWidth="1"/>
    <col min="14088" max="14088" width="19.5" style="3452" customWidth="1"/>
    <col min="14089" max="14089" width="8.625" style="3452" customWidth="1"/>
    <col min="14090" max="14090" width="10.5" style="3452" customWidth="1"/>
    <col min="14091" max="14091" width="4.875" style="3452" customWidth="1"/>
    <col min="14092" max="14092" width="16.375" style="3452" customWidth="1"/>
    <col min="14093" max="14096" width="8.125" style="3452" customWidth="1"/>
    <col min="14097" max="14336" width="9" style="3452"/>
    <col min="14337" max="14337" width="6.375" style="3452" customWidth="1"/>
    <col min="14338" max="14338" width="19.375" style="3452" customWidth="1"/>
    <col min="14339" max="14339" width="7" style="3452" customWidth="1"/>
    <col min="14340" max="14340" width="3.25" style="3452" customWidth="1"/>
    <col min="14341" max="14341" width="7.375" style="3452" customWidth="1"/>
    <col min="14342" max="14342" width="3.5" style="3452" customWidth="1"/>
    <col min="14343" max="14343" width="19.375" style="3452" customWidth="1"/>
    <col min="14344" max="14344" width="19.5" style="3452" customWidth="1"/>
    <col min="14345" max="14345" width="8.625" style="3452" customWidth="1"/>
    <col min="14346" max="14346" width="10.5" style="3452" customWidth="1"/>
    <col min="14347" max="14347" width="4.875" style="3452" customWidth="1"/>
    <col min="14348" max="14348" width="16.375" style="3452" customWidth="1"/>
    <col min="14349" max="14352" width="8.125" style="3452" customWidth="1"/>
    <col min="14353" max="14592" width="9" style="3452"/>
    <col min="14593" max="14593" width="6.375" style="3452" customWidth="1"/>
    <col min="14594" max="14594" width="19.375" style="3452" customWidth="1"/>
    <col min="14595" max="14595" width="7" style="3452" customWidth="1"/>
    <col min="14596" max="14596" width="3.25" style="3452" customWidth="1"/>
    <col min="14597" max="14597" width="7.375" style="3452" customWidth="1"/>
    <col min="14598" max="14598" width="3.5" style="3452" customWidth="1"/>
    <col min="14599" max="14599" width="19.375" style="3452" customWidth="1"/>
    <col min="14600" max="14600" width="19.5" style="3452" customWidth="1"/>
    <col min="14601" max="14601" width="8.625" style="3452" customWidth="1"/>
    <col min="14602" max="14602" width="10.5" style="3452" customWidth="1"/>
    <col min="14603" max="14603" width="4.875" style="3452" customWidth="1"/>
    <col min="14604" max="14604" width="16.375" style="3452" customWidth="1"/>
    <col min="14605" max="14608" width="8.125" style="3452" customWidth="1"/>
    <col min="14609" max="14848" width="9" style="3452"/>
    <col min="14849" max="14849" width="6.375" style="3452" customWidth="1"/>
    <col min="14850" max="14850" width="19.375" style="3452" customWidth="1"/>
    <col min="14851" max="14851" width="7" style="3452" customWidth="1"/>
    <col min="14852" max="14852" width="3.25" style="3452" customWidth="1"/>
    <col min="14853" max="14853" width="7.375" style="3452" customWidth="1"/>
    <col min="14854" max="14854" width="3.5" style="3452" customWidth="1"/>
    <col min="14855" max="14855" width="19.375" style="3452" customWidth="1"/>
    <col min="14856" max="14856" width="19.5" style="3452" customWidth="1"/>
    <col min="14857" max="14857" width="8.625" style="3452" customWidth="1"/>
    <col min="14858" max="14858" width="10.5" style="3452" customWidth="1"/>
    <col min="14859" max="14859" width="4.875" style="3452" customWidth="1"/>
    <col min="14860" max="14860" width="16.375" style="3452" customWidth="1"/>
    <col min="14861" max="14864" width="8.125" style="3452" customWidth="1"/>
    <col min="14865" max="15104" width="9" style="3452"/>
    <col min="15105" max="15105" width="6.375" style="3452" customWidth="1"/>
    <col min="15106" max="15106" width="19.375" style="3452" customWidth="1"/>
    <col min="15107" max="15107" width="7" style="3452" customWidth="1"/>
    <col min="15108" max="15108" width="3.25" style="3452" customWidth="1"/>
    <col min="15109" max="15109" width="7.375" style="3452" customWidth="1"/>
    <col min="15110" max="15110" width="3.5" style="3452" customWidth="1"/>
    <col min="15111" max="15111" width="19.375" style="3452" customWidth="1"/>
    <col min="15112" max="15112" width="19.5" style="3452" customWidth="1"/>
    <col min="15113" max="15113" width="8.625" style="3452" customWidth="1"/>
    <col min="15114" max="15114" width="10.5" style="3452" customWidth="1"/>
    <col min="15115" max="15115" width="4.875" style="3452" customWidth="1"/>
    <col min="15116" max="15116" width="16.375" style="3452" customWidth="1"/>
    <col min="15117" max="15120" width="8.125" style="3452" customWidth="1"/>
    <col min="15121" max="15360" width="9" style="3452"/>
    <col min="15361" max="15361" width="6.375" style="3452" customWidth="1"/>
    <col min="15362" max="15362" width="19.375" style="3452" customWidth="1"/>
    <col min="15363" max="15363" width="7" style="3452" customWidth="1"/>
    <col min="15364" max="15364" width="3.25" style="3452" customWidth="1"/>
    <col min="15365" max="15365" width="7.375" style="3452" customWidth="1"/>
    <col min="15366" max="15366" width="3.5" style="3452" customWidth="1"/>
    <col min="15367" max="15367" width="19.375" style="3452" customWidth="1"/>
    <col min="15368" max="15368" width="19.5" style="3452" customWidth="1"/>
    <col min="15369" max="15369" width="8.625" style="3452" customWidth="1"/>
    <col min="15370" max="15370" width="10.5" style="3452" customWidth="1"/>
    <col min="15371" max="15371" width="4.875" style="3452" customWidth="1"/>
    <col min="15372" max="15372" width="16.375" style="3452" customWidth="1"/>
    <col min="15373" max="15376" width="8.125" style="3452" customWidth="1"/>
    <col min="15377" max="15616" width="9" style="3452"/>
    <col min="15617" max="15617" width="6.375" style="3452" customWidth="1"/>
    <col min="15618" max="15618" width="19.375" style="3452" customWidth="1"/>
    <col min="15619" max="15619" width="7" style="3452" customWidth="1"/>
    <col min="15620" max="15620" width="3.25" style="3452" customWidth="1"/>
    <col min="15621" max="15621" width="7.375" style="3452" customWidth="1"/>
    <col min="15622" max="15622" width="3.5" style="3452" customWidth="1"/>
    <col min="15623" max="15623" width="19.375" style="3452" customWidth="1"/>
    <col min="15624" max="15624" width="19.5" style="3452" customWidth="1"/>
    <col min="15625" max="15625" width="8.625" style="3452" customWidth="1"/>
    <col min="15626" max="15626" width="10.5" style="3452" customWidth="1"/>
    <col min="15627" max="15627" width="4.875" style="3452" customWidth="1"/>
    <col min="15628" max="15628" width="16.375" style="3452" customWidth="1"/>
    <col min="15629" max="15632" width="8.125" style="3452" customWidth="1"/>
    <col min="15633" max="15872" width="9" style="3452"/>
    <col min="15873" max="15873" width="6.375" style="3452" customWidth="1"/>
    <col min="15874" max="15874" width="19.375" style="3452" customWidth="1"/>
    <col min="15875" max="15875" width="7" style="3452" customWidth="1"/>
    <col min="15876" max="15876" width="3.25" style="3452" customWidth="1"/>
    <col min="15877" max="15877" width="7.375" style="3452" customWidth="1"/>
    <col min="15878" max="15878" width="3.5" style="3452" customWidth="1"/>
    <col min="15879" max="15879" width="19.375" style="3452" customWidth="1"/>
    <col min="15880" max="15880" width="19.5" style="3452" customWidth="1"/>
    <col min="15881" max="15881" width="8.625" style="3452" customWidth="1"/>
    <col min="15882" max="15882" width="10.5" style="3452" customWidth="1"/>
    <col min="15883" max="15883" width="4.875" style="3452" customWidth="1"/>
    <col min="15884" max="15884" width="16.375" style="3452" customWidth="1"/>
    <col min="15885" max="15888" width="8.125" style="3452" customWidth="1"/>
    <col min="15889" max="16128" width="9" style="3452"/>
    <col min="16129" max="16129" width="6.375" style="3452" customWidth="1"/>
    <col min="16130" max="16130" width="19.375" style="3452" customWidth="1"/>
    <col min="16131" max="16131" width="7" style="3452" customWidth="1"/>
    <col min="16132" max="16132" width="3.25" style="3452" customWidth="1"/>
    <col min="16133" max="16133" width="7.375" style="3452" customWidth="1"/>
    <col min="16134" max="16134" width="3.5" style="3452" customWidth="1"/>
    <col min="16135" max="16135" width="19.375" style="3452" customWidth="1"/>
    <col min="16136" max="16136" width="19.5" style="3452" customWidth="1"/>
    <col min="16137" max="16137" width="8.625" style="3452" customWidth="1"/>
    <col min="16138" max="16138" width="10.5" style="3452" customWidth="1"/>
    <col min="16139" max="16139" width="4.875" style="3452" customWidth="1"/>
    <col min="16140" max="16140" width="16.375" style="3452" customWidth="1"/>
    <col min="16141" max="16144" width="8.125" style="3452" customWidth="1"/>
    <col min="16145" max="16384" width="9" style="3452"/>
  </cols>
  <sheetData>
    <row r="1" spans="1:16">
      <c r="A1" s="3835" t="s">
        <v>3393</v>
      </c>
      <c r="B1" s="3835"/>
      <c r="C1" s="3835"/>
      <c r="D1" s="3835"/>
      <c r="E1" s="3835"/>
      <c r="F1" s="3835"/>
      <c r="G1" s="3835"/>
      <c r="H1" s="3835"/>
      <c r="I1" s="3835"/>
      <c r="J1" s="3516" t="s">
        <v>3530</v>
      </c>
      <c r="K1" s="3836" t="s">
        <v>3394</v>
      </c>
      <c r="L1" s="3449" t="s">
        <v>3395</v>
      </c>
      <c r="M1" s="3450">
        <v>0</v>
      </c>
      <c r="N1" s="3451"/>
      <c r="O1" s="3451"/>
    </row>
    <row r="2" spans="1:16" ht="15.75" customHeight="1">
      <c r="A2" s="3453" t="s">
        <v>2647</v>
      </c>
      <c r="B2" s="3454" t="s">
        <v>3396</v>
      </c>
      <c r="C2" s="3806" t="s">
        <v>3397</v>
      </c>
      <c r="D2" s="3807"/>
      <c r="E2" s="3807"/>
      <c r="F2" s="3808"/>
      <c r="G2" s="3455" t="s">
        <v>3398</v>
      </c>
      <c r="H2" s="3809" t="s">
        <v>3399</v>
      </c>
      <c r="I2" s="3809"/>
      <c r="J2" s="3517">
        <v>2800</v>
      </c>
      <c r="K2" s="3836"/>
      <c r="L2" s="3449" t="s">
        <v>3400</v>
      </c>
      <c r="M2" s="3456" t="s">
        <v>3401</v>
      </c>
      <c r="N2" s="3457"/>
      <c r="O2" s="3457"/>
    </row>
    <row r="3" spans="1:16">
      <c r="A3" s="3455" t="s">
        <v>3402</v>
      </c>
      <c r="B3" s="3458" t="s">
        <v>3403</v>
      </c>
      <c r="C3" s="3806">
        <f ca="1">(收益法!B2-J2)*10000</f>
        <v>24730000</v>
      </c>
      <c r="D3" s="3807"/>
      <c r="E3" s="3807"/>
      <c r="F3" s="3808"/>
      <c r="G3" s="3455" t="s">
        <v>3404</v>
      </c>
      <c r="H3" s="3458" t="s">
        <v>3405</v>
      </c>
      <c r="I3" s="3459">
        <f>'数据-基础表'!I13</f>
        <v>8327.76</v>
      </c>
      <c r="K3" s="3836"/>
      <c r="L3" s="3449" t="s">
        <v>3406</v>
      </c>
      <c r="M3" s="3456" t="s">
        <v>3407</v>
      </c>
      <c r="N3" s="3457"/>
      <c r="O3" s="3457"/>
    </row>
    <row r="4" spans="1:16">
      <c r="A4" s="3809" t="s">
        <v>3408</v>
      </c>
      <c r="B4" s="3814" t="s">
        <v>3409</v>
      </c>
      <c r="C4" s="3837">
        <f ca="1">ROUND(C3*(I4-I6)/(1-((1+I6)/(1+I4))^I5),0)</f>
        <v>1616667</v>
      </c>
      <c r="D4" s="3838"/>
      <c r="E4" s="3838"/>
      <c r="F4" s="3839"/>
      <c r="G4" s="3809" t="s">
        <v>3410</v>
      </c>
      <c r="H4" s="3460" t="s">
        <v>3411</v>
      </c>
      <c r="I4" s="3461">
        <v>0.05</v>
      </c>
      <c r="K4" s="3836"/>
      <c r="L4" s="3449" t="s">
        <v>3412</v>
      </c>
      <c r="M4" s="3462">
        <f>ROUND(1-(1-M1)*M2/M3,2)</f>
        <v>0.55000000000000004</v>
      </c>
      <c r="N4" s="3457"/>
      <c r="O4" s="3457"/>
    </row>
    <row r="5" spans="1:16" s="3466" customFormat="1" ht="18" customHeight="1">
      <c r="A5" s="3809"/>
      <c r="B5" s="3814"/>
      <c r="C5" s="3840"/>
      <c r="D5" s="3841"/>
      <c r="E5" s="3841"/>
      <c r="F5" s="3842"/>
      <c r="G5" s="3809"/>
      <c r="H5" s="3458" t="s">
        <v>3413</v>
      </c>
      <c r="I5" s="3463">
        <f>收益法!F41</f>
        <v>20</v>
      </c>
      <c r="J5" s="3464"/>
      <c r="K5" s="3836"/>
      <c r="L5" s="3449" t="s">
        <v>3414</v>
      </c>
      <c r="M5" s="3465">
        <v>0.5</v>
      </c>
      <c r="N5" s="3457"/>
      <c r="O5" s="3457"/>
    </row>
    <row r="6" spans="1:16" s="3466" customFormat="1" ht="18" customHeight="1">
      <c r="A6" s="3809"/>
      <c r="B6" s="3814"/>
      <c r="C6" s="3843"/>
      <c r="D6" s="3844"/>
      <c r="E6" s="3844"/>
      <c r="F6" s="3845"/>
      <c r="G6" s="3809"/>
      <c r="H6" s="3458" t="s">
        <v>3415</v>
      </c>
      <c r="I6" s="3461">
        <f>'数据-取费表'!V6</f>
        <v>2.5000000000000001E-2</v>
      </c>
      <c r="J6" s="3467">
        <f ca="1">C3*I4</f>
        <v>1236500</v>
      </c>
      <c r="K6" s="3846" t="s">
        <v>3416</v>
      </c>
      <c r="L6" s="3468" t="s">
        <v>3417</v>
      </c>
      <c r="M6" s="3469" t="s">
        <v>3418</v>
      </c>
      <c r="N6" s="3469" t="s">
        <v>3419</v>
      </c>
      <c r="O6" s="3469" t="s">
        <v>3420</v>
      </c>
      <c r="P6" s="3469" t="s">
        <v>3421</v>
      </c>
    </row>
    <row r="7" spans="1:16" s="3466" customFormat="1" ht="18" customHeight="1">
      <c r="A7" s="3455" t="s">
        <v>3422</v>
      </c>
      <c r="B7" s="3458" t="s">
        <v>3423</v>
      </c>
      <c r="C7" s="3806">
        <f ca="1">ROUND(C23*I7,0)</f>
        <v>9454060</v>
      </c>
      <c r="D7" s="3807"/>
      <c r="E7" s="3807"/>
      <c r="F7" s="3808"/>
      <c r="G7" s="3455" t="s">
        <v>3424</v>
      </c>
      <c r="H7" s="3458" t="s">
        <v>3425</v>
      </c>
      <c r="I7" s="3518">
        <v>0.25</v>
      </c>
      <c r="K7" s="3846"/>
      <c r="L7" s="3468" t="s">
        <v>3426</v>
      </c>
      <c r="M7" s="3469">
        <v>100</v>
      </c>
      <c r="N7" s="3469" t="s">
        <v>3427</v>
      </c>
      <c r="O7" s="3469">
        <v>80</v>
      </c>
      <c r="P7" s="3470">
        <v>0.3</v>
      </c>
    </row>
    <row r="8" spans="1:16" s="3466" customFormat="1" ht="18" customHeight="1">
      <c r="A8" s="3453" t="s">
        <v>3428</v>
      </c>
      <c r="B8" s="3458" t="s">
        <v>3429</v>
      </c>
      <c r="C8" s="3806">
        <f>ROUND(I8*I3,0)</f>
        <v>24983280</v>
      </c>
      <c r="D8" s="3807"/>
      <c r="E8" s="3807"/>
      <c r="F8" s="3808"/>
      <c r="G8" s="3455" t="s">
        <v>3430</v>
      </c>
      <c r="H8" s="3458" t="s">
        <v>3431</v>
      </c>
      <c r="I8" s="3455">
        <f>'数据-取费表'!L6</f>
        <v>3000</v>
      </c>
      <c r="J8" s="3471" t="e">
        <f>D35</f>
        <v>#DIV/0!</v>
      </c>
      <c r="K8" s="3846"/>
      <c r="L8" s="3468" t="s">
        <v>3432</v>
      </c>
      <c r="M8" s="3469">
        <v>100</v>
      </c>
      <c r="N8" s="3469" t="s">
        <v>3427</v>
      </c>
      <c r="O8" s="3469">
        <v>80</v>
      </c>
      <c r="P8" s="3470">
        <v>0.5</v>
      </c>
    </row>
    <row r="9" spans="1:16" s="3466" customFormat="1" ht="18" customHeight="1">
      <c r="A9" s="3453" t="s">
        <v>3433</v>
      </c>
      <c r="B9" s="3458" t="s">
        <v>3434</v>
      </c>
      <c r="C9" s="3806">
        <f>ROUND(C8*H9,0)</f>
        <v>2498328</v>
      </c>
      <c r="D9" s="3807"/>
      <c r="E9" s="3807"/>
      <c r="F9" s="3808"/>
      <c r="G9" s="3455" t="s">
        <v>3435</v>
      </c>
      <c r="H9" s="3832">
        <f>'数据-取费表'!B33</f>
        <v>0.1</v>
      </c>
      <c r="I9" s="3832"/>
      <c r="J9" s="3471">
        <f ca="1">D36</f>
        <v>1.1000000000000001</v>
      </c>
      <c r="K9" s="3846"/>
      <c r="L9" s="3468" t="s">
        <v>3436</v>
      </c>
      <c r="M9" s="3469">
        <v>100</v>
      </c>
      <c r="N9" s="3469" t="s">
        <v>3427</v>
      </c>
      <c r="O9" s="3469">
        <v>80</v>
      </c>
      <c r="P9" s="3470">
        <f>1-P7-P8</f>
        <v>0.19999999999999996</v>
      </c>
    </row>
    <row r="10" spans="1:16" s="3466" customFormat="1" ht="18" customHeight="1">
      <c r="A10" s="3453" t="s">
        <v>3437</v>
      </c>
      <c r="B10" s="3458" t="s">
        <v>3438</v>
      </c>
      <c r="C10" s="3806">
        <f>ROUND(C8*H10,0)</f>
        <v>0</v>
      </c>
      <c r="D10" s="3807"/>
      <c r="E10" s="3807"/>
      <c r="F10" s="3808"/>
      <c r="G10" s="3455" t="s">
        <v>3435</v>
      </c>
      <c r="H10" s="3832">
        <v>0</v>
      </c>
      <c r="I10" s="3832"/>
      <c r="J10" s="3471" t="e">
        <f ca="1">D37</f>
        <v>#DIV/0!</v>
      </c>
      <c r="K10" s="3846"/>
      <c r="L10" s="3472" t="s">
        <v>3414</v>
      </c>
      <c r="M10" s="3473">
        <f>1-M5</f>
        <v>0.5</v>
      </c>
      <c r="N10" s="3469" t="s">
        <v>3412</v>
      </c>
      <c r="O10" s="3474">
        <f>ROUND((O7*P7+O8*P8+O9*P9)/100,2)</f>
        <v>0.8</v>
      </c>
      <c r="P10" s="3475"/>
    </row>
    <row r="11" spans="1:16" s="3466" customFormat="1" ht="29.25" customHeight="1">
      <c r="A11" s="3453" t="s">
        <v>3439</v>
      </c>
      <c r="B11" s="3458" t="s">
        <v>3440</v>
      </c>
      <c r="C11" s="3806">
        <f>ROUND(I11*I3,0)</f>
        <v>1665552</v>
      </c>
      <c r="D11" s="3807"/>
      <c r="E11" s="3807"/>
      <c r="F11" s="3808"/>
      <c r="G11" s="3455" t="s">
        <v>3441</v>
      </c>
      <c r="H11" s="3458" t="s">
        <v>3442</v>
      </c>
      <c r="I11" s="3455">
        <f>'数据-取费表'!B28</f>
        <v>200</v>
      </c>
      <c r="J11" s="3464"/>
      <c r="K11" s="3448"/>
      <c r="L11" s="3448"/>
    </row>
    <row r="12" spans="1:16" s="3466" customFormat="1" ht="18" customHeight="1">
      <c r="A12" s="3453" t="s">
        <v>3443</v>
      </c>
      <c r="B12" s="3458" t="s">
        <v>3444</v>
      </c>
      <c r="C12" s="3806">
        <f>ROUND(C8*H12,0)</f>
        <v>374749</v>
      </c>
      <c r="D12" s="3807"/>
      <c r="E12" s="3807"/>
      <c r="F12" s="3808"/>
      <c r="G12" s="3455" t="s">
        <v>3435</v>
      </c>
      <c r="H12" s="3832">
        <v>1.4999999999999999E-2</v>
      </c>
      <c r="I12" s="3832"/>
      <c r="J12" s="3476" t="s">
        <v>3445</v>
      </c>
      <c r="L12" s="3477"/>
    </row>
    <row r="13" spans="1:16" s="3466" customFormat="1" ht="18" customHeight="1">
      <c r="A13" s="3453" t="s">
        <v>438</v>
      </c>
      <c r="B13" s="3458" t="s">
        <v>3446</v>
      </c>
      <c r="C13" s="3806">
        <f>SUM(C8:F12)</f>
        <v>29521909</v>
      </c>
      <c r="D13" s="3807"/>
      <c r="E13" s="3807"/>
      <c r="F13" s="3808"/>
      <c r="G13" s="3809" t="s">
        <v>3447</v>
      </c>
      <c r="H13" s="3809"/>
      <c r="I13" s="3809"/>
      <c r="J13" s="3476" t="s">
        <v>3448</v>
      </c>
      <c r="L13" s="3477"/>
    </row>
    <row r="14" spans="1:16" s="3466" customFormat="1" ht="18" customHeight="1">
      <c r="A14" s="3453" t="s">
        <v>3449</v>
      </c>
      <c r="B14" s="3458" t="s">
        <v>3450</v>
      </c>
      <c r="C14" s="3806">
        <f>ROUND(C13*H14,0)</f>
        <v>590438</v>
      </c>
      <c r="D14" s="3807"/>
      <c r="E14" s="3807"/>
      <c r="F14" s="3808"/>
      <c r="G14" s="3455" t="s">
        <v>3451</v>
      </c>
      <c r="H14" s="3832">
        <f>'数据-取费表'!B37</f>
        <v>0.02</v>
      </c>
      <c r="I14" s="3832"/>
      <c r="J14" s="3464"/>
      <c r="L14" s="3477"/>
    </row>
    <row r="15" spans="1:16" s="3466" customFormat="1" ht="18" customHeight="1">
      <c r="A15" s="3453" t="s">
        <v>393</v>
      </c>
      <c r="B15" s="3458" t="s">
        <v>3452</v>
      </c>
      <c r="C15" s="3821">
        <f>H15</f>
        <v>0.02</v>
      </c>
      <c r="D15" s="3822"/>
      <c r="E15" s="3830" t="str">
        <f>E18</f>
        <v>V</v>
      </c>
      <c r="F15" s="3831"/>
      <c r="G15" s="3455" t="s">
        <v>3453</v>
      </c>
      <c r="H15" s="3832">
        <f>'数据-取费表'!B38</f>
        <v>0.02</v>
      </c>
      <c r="I15" s="3832"/>
      <c r="J15" s="3478"/>
      <c r="K15" s="3479"/>
    </row>
    <row r="16" spans="1:16" s="3466" customFormat="1" ht="18" customHeight="1">
      <c r="A16" s="3480" t="s">
        <v>394</v>
      </c>
      <c r="B16" s="3481" t="s">
        <v>3454</v>
      </c>
      <c r="C16" s="3482">
        <f ca="1">C17</f>
        <v>327472</v>
      </c>
      <c r="D16" s="3483" t="s">
        <v>3455</v>
      </c>
      <c r="E16" s="3484">
        <f ca="1">C18</f>
        <v>2.175E-4</v>
      </c>
      <c r="F16" s="3485" t="str">
        <f>E18</f>
        <v>V</v>
      </c>
      <c r="G16" s="3806" t="s">
        <v>3456</v>
      </c>
      <c r="H16" s="3807"/>
      <c r="I16" s="3808"/>
      <c r="J16" s="3464"/>
      <c r="K16" s="3448"/>
    </row>
    <row r="17" spans="1:12" s="3466" customFormat="1" ht="18" customHeight="1">
      <c r="A17" s="3453" t="s">
        <v>3457</v>
      </c>
      <c r="B17" s="3458" t="s">
        <v>3458</v>
      </c>
      <c r="C17" s="3806">
        <f ca="1">ROUND((C13+C14)*I18*(I17/2),0)</f>
        <v>327472</v>
      </c>
      <c r="D17" s="3807"/>
      <c r="E17" s="3807"/>
      <c r="F17" s="3808"/>
      <c r="G17" s="3482" t="s">
        <v>3459</v>
      </c>
      <c r="H17" s="3458" t="s">
        <v>3460</v>
      </c>
      <c r="I17" s="3455">
        <f>'数据-取费表'!B20</f>
        <v>0.5</v>
      </c>
      <c r="J17" s="3476" t="s">
        <v>3461</v>
      </c>
      <c r="K17" s="3448"/>
      <c r="L17" s="3448"/>
    </row>
    <row r="18" spans="1:12" s="3466" customFormat="1" ht="18" customHeight="1">
      <c r="A18" s="3453" t="s">
        <v>3462</v>
      </c>
      <c r="B18" s="3458" t="s">
        <v>3463</v>
      </c>
      <c r="C18" s="3833">
        <f ca="1">H15*I18*I17/2</f>
        <v>2.175E-4</v>
      </c>
      <c r="D18" s="3834"/>
      <c r="E18" s="3830" t="s">
        <v>3464</v>
      </c>
      <c r="F18" s="3831"/>
      <c r="G18" s="3482" t="s">
        <v>3465</v>
      </c>
      <c r="H18" s="3458" t="s">
        <v>3466</v>
      </c>
      <c r="I18" s="3486">
        <f ca="1">'数据-取费表'!B40</f>
        <v>4.3499999999999997E-2</v>
      </c>
      <c r="J18" s="3476" t="s">
        <v>3467</v>
      </c>
      <c r="K18" s="3448"/>
      <c r="L18" s="3448"/>
    </row>
    <row r="19" spans="1:12" s="3466" customFormat="1" ht="27" customHeight="1">
      <c r="A19" s="3453" t="s">
        <v>395</v>
      </c>
      <c r="B19" s="3458" t="s">
        <v>3468</v>
      </c>
      <c r="C19" s="3482">
        <f>C20</f>
        <v>4516852</v>
      </c>
      <c r="D19" s="3483" t="s">
        <v>3455</v>
      </c>
      <c r="E19" s="3483">
        <f>C21</f>
        <v>3.0000000000000001E-3</v>
      </c>
      <c r="F19" s="3485" t="str">
        <f>E21</f>
        <v>V</v>
      </c>
      <c r="G19" s="3806" t="s">
        <v>3469</v>
      </c>
      <c r="H19" s="3807"/>
      <c r="I19" s="3808"/>
      <c r="J19" s="3464"/>
      <c r="K19" s="3448"/>
      <c r="L19" s="3448"/>
    </row>
    <row r="20" spans="1:12" s="3466" customFormat="1" ht="26.25" customHeight="1">
      <c r="A20" s="3453" t="s">
        <v>3470</v>
      </c>
      <c r="B20" s="3458" t="s">
        <v>3471</v>
      </c>
      <c r="C20" s="3806">
        <f>ROUND((C13+C14)*I20,0)</f>
        <v>4516852</v>
      </c>
      <c r="D20" s="3807"/>
      <c r="E20" s="3807"/>
      <c r="F20" s="3808"/>
      <c r="G20" s="3455" t="s">
        <v>3472</v>
      </c>
      <c r="H20" s="3827" t="s">
        <v>3473</v>
      </c>
      <c r="I20" s="3829">
        <v>0.15</v>
      </c>
      <c r="J20" s="3476" t="s">
        <v>3474</v>
      </c>
      <c r="K20" s="3448"/>
      <c r="L20" s="3448"/>
    </row>
    <row r="21" spans="1:12" s="3466" customFormat="1" ht="27" customHeight="1">
      <c r="A21" s="3453" t="s">
        <v>3470</v>
      </c>
      <c r="B21" s="3458" t="s">
        <v>3475</v>
      </c>
      <c r="C21" s="3821">
        <f>H15*I20</f>
        <v>3.0000000000000001E-3</v>
      </c>
      <c r="D21" s="3822"/>
      <c r="E21" s="3830" t="s">
        <v>3464</v>
      </c>
      <c r="F21" s="3831"/>
      <c r="G21" s="3455" t="s">
        <v>3476</v>
      </c>
      <c r="H21" s="3828"/>
      <c r="I21" s="3829"/>
      <c r="J21" s="3464"/>
      <c r="K21" s="3448"/>
      <c r="L21" s="3448"/>
    </row>
    <row r="22" spans="1:12" s="3466" customFormat="1" ht="18" customHeight="1">
      <c r="A22" s="3453" t="s">
        <v>396</v>
      </c>
      <c r="B22" s="3458" t="s">
        <v>3477</v>
      </c>
      <c r="C22" s="3821">
        <f>ROUND(H22/1.05,4)</f>
        <v>5.2400000000000002E-2</v>
      </c>
      <c r="D22" s="3822"/>
      <c r="E22" s="3830" t="s">
        <v>3464</v>
      </c>
      <c r="F22" s="3831"/>
      <c r="G22" s="3455" t="s">
        <v>3478</v>
      </c>
      <c r="H22" s="3832">
        <f>'数据-取费表'!B41</f>
        <v>5.5000000000000007E-2</v>
      </c>
      <c r="I22" s="3832"/>
      <c r="J22" s="3487"/>
      <c r="K22" s="3448"/>
      <c r="L22" s="3448"/>
    </row>
    <row r="23" spans="1:12" s="3466" customFormat="1" ht="18" customHeight="1">
      <c r="A23" s="3453" t="s">
        <v>3479</v>
      </c>
      <c r="B23" s="3458" t="s">
        <v>3480</v>
      </c>
      <c r="C23" s="3806">
        <f ca="1">ROUND((C13+C14+C17+C20)/(1-H15-C18-C21-C22),0)</f>
        <v>37816241</v>
      </c>
      <c r="D23" s="3807"/>
      <c r="E23" s="3807"/>
      <c r="F23" s="3808"/>
      <c r="G23" s="3806" t="s">
        <v>3481</v>
      </c>
      <c r="H23" s="3807"/>
      <c r="I23" s="3808"/>
      <c r="J23" s="3487"/>
      <c r="K23" s="3448"/>
      <c r="L23" s="3448"/>
    </row>
    <row r="24" spans="1:12" s="3466" customFormat="1" ht="18" customHeight="1">
      <c r="A24" s="3453" t="s">
        <v>3482</v>
      </c>
      <c r="B24" s="3458" t="s">
        <v>3483</v>
      </c>
      <c r="C24" s="3535">
        <f ca="1">C26+C27</f>
        <v>779960</v>
      </c>
      <c r="D24" s="3488" t="s">
        <v>3484</v>
      </c>
      <c r="E24" s="3823">
        <f>H25+H28</f>
        <v>0.20330000000000001</v>
      </c>
      <c r="F24" s="3824"/>
      <c r="G24" s="3809" t="s">
        <v>3485</v>
      </c>
      <c r="H24" s="3809"/>
      <c r="I24" s="3809"/>
      <c r="J24" s="3487"/>
      <c r="K24" s="3448"/>
      <c r="L24" s="3448"/>
    </row>
    <row r="25" spans="1:12" s="3466" customFormat="1" ht="18" customHeight="1">
      <c r="A25" s="3453" t="s">
        <v>438</v>
      </c>
      <c r="B25" s="3458" t="s">
        <v>3486</v>
      </c>
      <c r="C25" s="3821" t="s">
        <v>3487</v>
      </c>
      <c r="D25" s="3822"/>
      <c r="E25" s="3823">
        <f>H25</f>
        <v>0.17330000000000001</v>
      </c>
      <c r="F25" s="3824"/>
      <c r="G25" s="3455" t="s">
        <v>3488</v>
      </c>
      <c r="H25" s="3825">
        <f>ROUND(5.6%/1.05+12%,4)</f>
        <v>0.17330000000000001</v>
      </c>
      <c r="I25" s="3825"/>
      <c r="J25" s="3478"/>
      <c r="K25" s="3448"/>
      <c r="L25" s="3448"/>
    </row>
    <row r="26" spans="1:12" s="3466" customFormat="1" ht="18" customHeight="1">
      <c r="A26" s="3453" t="s">
        <v>3449</v>
      </c>
      <c r="B26" s="3458" t="s">
        <v>3489</v>
      </c>
      <c r="C26" s="3806">
        <f ca="1">ROUND(C23*H26,0)</f>
        <v>756325</v>
      </c>
      <c r="D26" s="3807"/>
      <c r="E26" s="3807"/>
      <c r="F26" s="3808"/>
      <c r="G26" s="3455" t="s">
        <v>3490</v>
      </c>
      <c r="H26" s="3805">
        <v>0.02</v>
      </c>
      <c r="I26" s="3805"/>
      <c r="J26" s="3478"/>
      <c r="K26" s="3448"/>
      <c r="L26" s="3448"/>
    </row>
    <row r="27" spans="1:12" s="3466" customFormat="1" ht="18" customHeight="1">
      <c r="A27" s="3453" t="s">
        <v>393</v>
      </c>
      <c r="B27" s="3458" t="s">
        <v>3491</v>
      </c>
      <c r="C27" s="3806">
        <f ca="1">ROUND(C7*H27,0)</f>
        <v>23635</v>
      </c>
      <c r="D27" s="3807"/>
      <c r="E27" s="3807"/>
      <c r="F27" s="3808"/>
      <c r="G27" s="3455" t="s">
        <v>3492</v>
      </c>
      <c r="H27" s="3826">
        <v>2.5000000000000001E-3</v>
      </c>
      <c r="I27" s="3826"/>
      <c r="J27" s="3464"/>
      <c r="K27" s="3448"/>
      <c r="L27" s="3448"/>
    </row>
    <row r="28" spans="1:12" s="3466" customFormat="1" ht="18" customHeight="1">
      <c r="A28" s="3453" t="s">
        <v>394</v>
      </c>
      <c r="B28" s="3458" t="s">
        <v>3493</v>
      </c>
      <c r="C28" s="3821" t="s">
        <v>3487</v>
      </c>
      <c r="D28" s="3822"/>
      <c r="E28" s="3823">
        <f>H28</f>
        <v>0.03</v>
      </c>
      <c r="F28" s="3824"/>
      <c r="G28" s="3455" t="s">
        <v>3494</v>
      </c>
      <c r="H28" s="3805">
        <v>0.03</v>
      </c>
      <c r="I28" s="3805"/>
      <c r="J28" s="3489"/>
      <c r="K28" s="3448"/>
      <c r="L28" s="3448"/>
    </row>
    <row r="29" spans="1:12" s="3466" customFormat="1" ht="18" customHeight="1">
      <c r="A29" s="3455" t="s">
        <v>3495</v>
      </c>
      <c r="B29" s="3458" t="s">
        <v>3496</v>
      </c>
      <c r="C29" s="3806">
        <f ca="1">ROUND((C4+C24)/(1-E24),0)</f>
        <v>3008193</v>
      </c>
      <c r="D29" s="3807"/>
      <c r="E29" s="3807"/>
      <c r="F29" s="3808"/>
      <c r="G29" s="3809" t="s">
        <v>3497</v>
      </c>
      <c r="H29" s="3809"/>
      <c r="I29" s="3809"/>
      <c r="J29" s="3490" t="s">
        <v>3498</v>
      </c>
      <c r="K29" s="3448"/>
      <c r="L29" s="3448"/>
    </row>
    <row r="30" spans="1:12" s="3466" customFormat="1" ht="18" customHeight="1">
      <c r="A30" s="3809" t="s">
        <v>3499</v>
      </c>
      <c r="B30" s="3814" t="s">
        <v>3500</v>
      </c>
      <c r="C30" s="3815">
        <f ca="1">ROUND(C29/I30/I31/I3,2)</f>
        <v>1.1000000000000001</v>
      </c>
      <c r="D30" s="3816"/>
      <c r="E30" s="3816"/>
      <c r="F30" s="3817"/>
      <c r="G30" s="3809" t="s">
        <v>3501</v>
      </c>
      <c r="H30" s="3458" t="s">
        <v>3502</v>
      </c>
      <c r="I30" s="3455">
        <v>365</v>
      </c>
      <c r="J30" s="3491"/>
      <c r="K30" s="3448"/>
      <c r="L30" s="3448"/>
    </row>
    <row r="31" spans="1:12" s="3466" customFormat="1" ht="18" customHeight="1">
      <c r="A31" s="3809"/>
      <c r="B31" s="3814"/>
      <c r="C31" s="3818"/>
      <c r="D31" s="3819"/>
      <c r="E31" s="3819"/>
      <c r="F31" s="3820"/>
      <c r="G31" s="3809"/>
      <c r="H31" s="3458" t="s">
        <v>3503</v>
      </c>
      <c r="I31" s="3530">
        <v>0.9</v>
      </c>
      <c r="J31" s="3492"/>
      <c r="K31" s="3448"/>
      <c r="L31" s="3448"/>
    </row>
    <row r="32" spans="1:12" s="3466" customFormat="1" ht="18" customHeight="1">
      <c r="A32" s="3452"/>
      <c r="B32" s="3493"/>
      <c r="C32" s="3452"/>
      <c r="D32" s="3452"/>
      <c r="E32" s="3452"/>
      <c r="F32" s="3452"/>
      <c r="G32" s="3494"/>
      <c r="H32" s="3452"/>
      <c r="I32" s="3452"/>
      <c r="J32" s="3464"/>
      <c r="K32" s="3448"/>
      <c r="L32" s="3448"/>
    </row>
    <row r="33" spans="1:13" s="3466" customFormat="1" ht="18" customHeight="1">
      <c r="A33" s="3452"/>
      <c r="B33" s="3811" t="s">
        <v>3504</v>
      </c>
      <c r="C33" s="3811"/>
      <c r="D33" s="3811"/>
      <c r="E33" s="3811"/>
      <c r="F33" s="3811"/>
      <c r="G33" s="3495"/>
      <c r="H33" s="3496"/>
      <c r="I33" s="3452"/>
      <c r="J33" s="3464"/>
      <c r="K33" s="3448"/>
      <c r="L33" s="3448"/>
      <c r="M33" s="3452"/>
    </row>
    <row r="34" spans="1:13" s="3466" customFormat="1" ht="18" customHeight="1">
      <c r="A34" s="3452"/>
      <c r="B34" s="3497" t="s">
        <v>3505</v>
      </c>
      <c r="C34" s="3497" t="s">
        <v>3421</v>
      </c>
      <c r="D34" s="3812" t="s">
        <v>3506</v>
      </c>
      <c r="E34" s="3812"/>
      <c r="F34" s="3812"/>
      <c r="G34" s="3495"/>
      <c r="H34" s="3496"/>
      <c r="I34" s="3452"/>
      <c r="J34" s="3487"/>
      <c r="K34" s="3452"/>
      <c r="L34" s="3452"/>
      <c r="M34" s="3452"/>
    </row>
    <row r="35" spans="1:13" hidden="1">
      <c r="B35" s="3497" t="s">
        <v>3507</v>
      </c>
      <c r="C35" s="3498">
        <v>0.5</v>
      </c>
      <c r="D35" s="3813" t="e">
        <f>[2]比较法—租金!N39</f>
        <v>#DIV/0!</v>
      </c>
      <c r="E35" s="3813"/>
      <c r="F35" s="3813"/>
      <c r="G35" s="3495" t="e">
        <f ca="1">(D35-D36)/D36</f>
        <v>#DIV/0!</v>
      </c>
      <c r="H35" s="3496"/>
      <c r="K35" s="3452"/>
      <c r="L35" s="3452"/>
    </row>
    <row r="36" spans="1:13" ht="20.100000000000001" customHeight="1">
      <c r="B36" s="3497" t="s">
        <v>3508</v>
      </c>
      <c r="C36" s="3498">
        <v>1</v>
      </c>
      <c r="D36" s="3813">
        <f ca="1">C30</f>
        <v>1.1000000000000001</v>
      </c>
      <c r="E36" s="3813"/>
      <c r="F36" s="3813"/>
      <c r="G36" s="3519">
        <f ca="1">ROUND(D36*'数据-汇总表'!F19*365/10000,2)</f>
        <v>334.36</v>
      </c>
      <c r="H36" s="3496"/>
      <c r="J36" s="3452"/>
      <c r="K36" s="3452"/>
      <c r="L36" s="3452"/>
    </row>
    <row r="37" spans="1:13" ht="22.5" customHeight="1">
      <c r="B37" s="3812" t="s">
        <v>3509</v>
      </c>
      <c r="C37" s="3812"/>
      <c r="D37" s="3810" t="e">
        <f ca="1">ROUND(C35*D35+C36*D36,1)</f>
        <v>#DIV/0!</v>
      </c>
      <c r="E37" s="3810"/>
      <c r="F37" s="3810"/>
      <c r="G37" s="3495">
        <f ca="1">ROUND(G36*0.9,2)</f>
        <v>300.92</v>
      </c>
      <c r="H37" s="3496">
        <f ca="1">ROUND(G36*1.1,2)</f>
        <v>367.8</v>
      </c>
      <c r="J37" s="3452"/>
      <c r="K37" s="3452"/>
      <c r="L37" s="3452"/>
    </row>
    <row r="38" spans="1:13" ht="22.5" customHeight="1">
      <c r="B38" s="3497" t="s">
        <v>3510</v>
      </c>
      <c r="C38" s="3497" t="e">
        <f ca="1">ROUND(D37*0.9,1)</f>
        <v>#DIV/0!</v>
      </c>
      <c r="D38" s="3499" t="s">
        <v>3511</v>
      </c>
      <c r="E38" s="3810" t="e">
        <f ca="1">ROUND(D37*1.1,1)</f>
        <v>#DIV/0!</v>
      </c>
      <c r="F38" s="3810"/>
      <c r="G38" s="3495" t="s">
        <v>3512</v>
      </c>
      <c r="H38" s="3500">
        <v>12</v>
      </c>
      <c r="J38" s="3452"/>
      <c r="K38" s="3452"/>
      <c r="L38" s="3452"/>
    </row>
    <row r="39" spans="1:13" ht="18" customHeight="1">
      <c r="B39" s="3497" t="s">
        <v>3513</v>
      </c>
      <c r="C39" s="3497" t="e">
        <f ca="1">ROUND(C38+H39,1)</f>
        <v>#DIV/0!</v>
      </c>
      <c r="D39" s="3499" t="s">
        <v>3511</v>
      </c>
      <c r="E39" s="3810" t="e">
        <f ca="1">ROUND(E38+H39,1)</f>
        <v>#DIV/0!</v>
      </c>
      <c r="F39" s="3810"/>
      <c r="G39" s="3501" t="s">
        <v>3514</v>
      </c>
      <c r="H39" s="3501">
        <v>0</v>
      </c>
      <c r="J39" s="3452"/>
      <c r="K39" s="3452"/>
      <c r="L39" s="3452"/>
    </row>
    <row r="40" spans="1:13" ht="18" customHeight="1">
      <c r="B40" s="3502"/>
      <c r="C40" s="3503"/>
      <c r="D40" s="3496"/>
      <c r="E40" s="3496"/>
      <c r="F40" s="3496"/>
      <c r="G40" s="3495"/>
      <c r="H40" s="3496"/>
      <c r="J40" s="3452"/>
    </row>
    <row r="41" spans="1:13" ht="18" customHeight="1">
      <c r="B41" s="3495" t="s">
        <v>3515</v>
      </c>
      <c r="C41" s="3496"/>
      <c r="D41" s="3496"/>
      <c r="E41" s="3495" t="s">
        <v>3516</v>
      </c>
      <c r="F41" s="3496"/>
      <c r="G41" s="3495"/>
      <c r="H41" s="3495" t="s">
        <v>3517</v>
      </c>
      <c r="J41" s="3452"/>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5" type="noConversion"/>
  <pageMargins left="0.7" right="0.7" top="0.75" bottom="0.75" header="0.3" footer="0.3"/>
  <pageSetup paperSize="9" scale="86" orientation="portrait" r:id="rId1"/>
  <colBreaks count="1" manualBreakCount="1">
    <brk id="10" max="1048575"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t="s">
        <v>3521</v>
      </c>
      <c r="C1" s="197"/>
      <c r="D1" s="197"/>
      <c r="E1" s="197"/>
      <c r="F1" s="197"/>
      <c r="G1" s="1124">
        <f>MATCH(B1,'数据-取费表'!A6:A16,0)+5</f>
        <v>6</v>
      </c>
    </row>
    <row r="2" spans="1:9" s="199" customFormat="1" ht="18" customHeight="1">
      <c r="A2" s="200" t="s">
        <v>1462</v>
      </c>
      <c r="B2" s="201">
        <f ca="1">IF(D2="——",C52,C52-E2)</f>
        <v>3585</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4305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167</v>
      </c>
      <c r="D5" s="210" t="s">
        <v>1469</v>
      </c>
      <c r="E5" s="211" t="s">
        <v>1470</v>
      </c>
      <c r="F5" s="211" t="s">
        <v>1471</v>
      </c>
      <c r="G5" s="212"/>
    </row>
    <row r="6" spans="1:9" s="213" customFormat="1" ht="13.5" customHeight="1">
      <c r="A6" s="776" t="s">
        <v>1472</v>
      </c>
      <c r="B6" s="214" t="s">
        <v>1473</v>
      </c>
      <c r="C6" s="215">
        <f>'基准地价修正（科研）'!E33-'基准地价修正（科研）'!E34</f>
        <v>0</v>
      </c>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167</v>
      </c>
      <c r="D8" s="221"/>
      <c r="E8" s="219"/>
      <c r="F8" s="220"/>
      <c r="G8" s="1854" t="s">
        <v>3518</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5" t="s">
        <v>3524</v>
      </c>
      <c r="H9" s="1135"/>
      <c r="I9" s="1856" t="s">
        <v>1479</v>
      </c>
    </row>
    <row r="10" spans="1:9" s="213" customFormat="1" ht="13.5" customHeight="1">
      <c r="A10" s="777" t="s">
        <v>356</v>
      </c>
      <c r="B10" s="223" t="s">
        <v>1480</v>
      </c>
      <c r="C10" s="224">
        <f ca="1">ROUND(D10*E10/10000,0)</f>
        <v>167</v>
      </c>
      <c r="D10" s="843">
        <f ca="1">IF(B1="",'数据-汇总表'!E6,IF(INDIRECT("'数据-取费表'!c"&amp;$G$1)="住宅",INDIRECT("'数据-取费表'!s"&amp;$G$1),INDIRECT("'数据-取费表'!k"&amp;$G$1)+INDIRECT("'数据-取费表'!s"&amp;$G$1)))</f>
        <v>8327.76</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8327.76</v>
      </c>
      <c r="E19" s="210">
        <f>'数据-取费表'!B31</f>
        <v>200</v>
      </c>
      <c r="F19" s="230"/>
      <c r="G19" s="1854" t="s">
        <v>3519</v>
      </c>
    </row>
    <row r="20" spans="1:7" s="213" customFormat="1" ht="13.5" customHeight="1">
      <c r="A20" s="254" t="s">
        <v>1493</v>
      </c>
      <c r="B20" s="209" t="s">
        <v>1494</v>
      </c>
      <c r="C20" s="231">
        <f ca="1">ROUND((C5+C19)*F20,0)</f>
        <v>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7</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3">
        <f ca="1">ROUND(IF('数据-取费表'!B22&lt;=1,C5*F22*'数据-取费表'!B23,C5*(POWER((1+F22),'数据-取费表'!B23)-1)),0)</f>
        <v>7</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0</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34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34</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229</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2952</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2498</v>
      </c>
      <c r="D34" s="216"/>
      <c r="E34" s="219"/>
      <c r="F34" s="256">
        <f ca="1">IF('数据-取费表'!B24=0,1,IF(B1="",'数据-取费表'!N16,INDIRECT("'数据-取费表'!n"&amp;$G$1)))</f>
        <v>1</v>
      </c>
      <c r="G34" s="218" t="s">
        <v>1526</v>
      </c>
    </row>
    <row r="35" spans="1:7" ht="13.5" customHeight="1">
      <c r="A35" s="778" t="s">
        <v>351</v>
      </c>
      <c r="B35" s="214" t="s">
        <v>1527</v>
      </c>
      <c r="C35" s="219">
        <f ca="1">ROUND(C34*F35,0)</f>
        <v>250</v>
      </c>
      <c r="D35" s="219"/>
      <c r="E35" s="219"/>
      <c r="F35" s="258">
        <f>'数据-取费表'!B33</f>
        <v>0.1</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167</v>
      </c>
      <c r="D37" s="216">
        <f ca="1">D19</f>
        <v>8327.76</v>
      </c>
      <c r="E37" s="248">
        <f>'数据-取费表'!B35</f>
        <v>200</v>
      </c>
      <c r="F37" s="258"/>
      <c r="G37" s="260" t="s">
        <v>1532</v>
      </c>
    </row>
    <row r="38" spans="1:7" ht="13.5" customHeight="1">
      <c r="A38" s="778" t="s">
        <v>354</v>
      </c>
      <c r="B38" s="214" t="s">
        <v>1533</v>
      </c>
      <c r="C38" s="219">
        <f ca="1">ROUND(C34*F38,0)</f>
        <v>37</v>
      </c>
      <c r="D38" s="219"/>
      <c r="E38" s="219"/>
      <c r="F38" s="258">
        <f>'数据-取费表'!B36</f>
        <v>1.4999999999999999E-2</v>
      </c>
      <c r="G38" s="218" t="s">
        <v>1528</v>
      </c>
    </row>
    <row r="39" spans="1:7" s="213" customFormat="1" ht="13.5" customHeight="1">
      <c r="A39" s="254" t="s">
        <v>1534</v>
      </c>
      <c r="B39" s="209" t="s">
        <v>1535</v>
      </c>
      <c r="C39" s="231">
        <f ca="1">ROUND(C33*F20,0)</f>
        <v>59</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33</v>
      </c>
      <c r="D41" s="234">
        <f ca="1">C44</f>
        <v>2.0000000000000001E-4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32</v>
      </c>
      <c r="D42" s="237"/>
      <c r="E42" s="237"/>
      <c r="F42" s="238"/>
      <c r="G42" s="3719" t="s">
        <v>1544</v>
      </c>
    </row>
    <row r="43" spans="1:7" ht="13.5" customHeight="1">
      <c r="A43" s="778" t="s">
        <v>347</v>
      </c>
      <c r="B43" s="214" t="s">
        <v>1545</v>
      </c>
      <c r="C43" s="237">
        <f ca="1">ROUND(IF('数据-取费表'!B22&lt;=1,C39*F22*'数据-取费表'!B21/2,C39*(POWER((1+F22),'数据-取费表'!B21/2)-1)),0)</f>
        <v>1</v>
      </c>
      <c r="D43" s="237"/>
      <c r="E43" s="237"/>
      <c r="F43" s="238"/>
      <c r="G43" s="3720"/>
    </row>
    <row r="44" spans="1:7" ht="13.5" customHeight="1">
      <c r="A44" s="778" t="s">
        <v>348</v>
      </c>
      <c r="B44" s="214" t="s">
        <v>1546</v>
      </c>
      <c r="C44" s="237">
        <f ca="1">ROUND(IF('数据-取费表'!B22&lt;=1,C40*F22*'数据-取费表'!B21/2,C40*(POWER((1+F22),'数据-取费表'!B21/2)-1)),4)</f>
        <v>2.0000000000000001E-4</v>
      </c>
      <c r="D44" s="237"/>
      <c r="E44" s="237"/>
      <c r="F44" s="238"/>
      <c r="G44" s="3721"/>
    </row>
    <row r="45" spans="1:7" s="213" customFormat="1" ht="13.5" customHeight="1">
      <c r="A45" s="254" t="s">
        <v>1547</v>
      </c>
      <c r="B45" s="243" t="s">
        <v>1513</v>
      </c>
      <c r="C45" s="244">
        <f ca="1">C46</f>
        <v>602</v>
      </c>
      <c r="D45" s="234">
        <f ca="1">C47</f>
        <v>4.0000000000000001E-3</v>
      </c>
      <c r="E45" s="235" t="s">
        <v>1539</v>
      </c>
      <c r="F45" s="245">
        <f ca="1">F27</f>
        <v>0.2</v>
      </c>
      <c r="G45" s="246" t="s">
        <v>1548</v>
      </c>
    </row>
    <row r="46" spans="1:7" s="213" customFormat="1" ht="13.5" customHeight="1">
      <c r="A46" s="778" t="s">
        <v>346</v>
      </c>
      <c r="B46" s="247" t="s">
        <v>1549</v>
      </c>
      <c r="C46" s="248">
        <f ca="1">ROUND((C33+C39)*F27,0)</f>
        <v>602</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3948</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3356</v>
      </c>
      <c r="D51" s="231"/>
      <c r="E51" s="231"/>
      <c r="F51" s="263"/>
      <c r="G51" s="233" t="s">
        <v>1560</v>
      </c>
    </row>
    <row r="52" spans="1:7" s="207" customFormat="1" ht="16.5" thickBot="1">
      <c r="A52" s="264" t="s">
        <v>1561</v>
      </c>
      <c r="B52" s="265"/>
      <c r="C52" s="266">
        <f ca="1">C31+C51</f>
        <v>3585</v>
      </c>
      <c r="D52" s="265"/>
      <c r="E52" s="265"/>
      <c r="F52" s="265"/>
      <c r="G52" s="267"/>
    </row>
    <row r="55" spans="1:7" ht="15">
      <c r="B55" s="269" t="s">
        <v>1562</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D35" sqref="D3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16655.52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20" t="s">
        <v>3381</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Ⅴ-通1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8" t="s">
        <v>2461</v>
      </c>
      <c r="F3" s="2002" t="s">
        <v>3392</v>
      </c>
      <c r="G3" s="750">
        <f>IF(F3="宗地容积率",'数据-汇总表'!I4,IF(F3="估价对象容积率",'数据-汇总表'!I6,'数据-汇总表'!I7))</f>
        <v>1</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854"/>
      <c r="B4" s="3855"/>
      <c r="C4" s="3855"/>
      <c r="D4" s="3856"/>
      <c r="E4" s="3856"/>
      <c r="F4" s="3856"/>
      <c r="G4" s="3856"/>
      <c r="H4" s="3856"/>
      <c r="I4" s="3856"/>
      <c r="J4" s="38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0</v>
      </c>
      <c r="D5" s="1337">
        <f>ROUND(C6*C17+C20,0)</f>
        <v>0</v>
      </c>
      <c r="E5" s="1337"/>
      <c r="F5" s="2005"/>
      <c r="G5" s="2006"/>
      <c r="H5" s="2006"/>
      <c r="I5" s="2006"/>
      <c r="J5" s="2007"/>
      <c r="K5" s="2008"/>
      <c r="L5" s="2001" t="s">
        <v>1948</v>
      </c>
      <c r="M5" s="862">
        <f>SUMPRODUCT((区片价!B87:B126=I2)*(区片价!C3:G3=E2)*(区片价!C87:G126))</f>
        <v>9040</v>
      </c>
      <c r="N5" s="864">
        <f>SUMPRODUCT((因素修正幅度!B87:B126=I2)*(因素修正幅度!C3:G3=E2)*(因素修正幅度!C87:G126))</f>
        <v>0.1</v>
      </c>
      <c r="O5" s="1117"/>
      <c r="P5" s="1117"/>
      <c r="Q5" s="1117"/>
      <c r="R5" s="1210">
        <v>4</v>
      </c>
      <c r="S5" s="3359">
        <f>ROUND(SUMPRODUCT((B106:B110=R5)*(C105:N105=G2)*(C106:N110)),4)</f>
        <v>0.82299999999999995</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十级</v>
      </c>
      <c r="Y7" s="1212" t="s">
        <v>1956</v>
      </c>
      <c r="Z7" s="1213">
        <f>G3</f>
        <v>1</v>
      </c>
      <c r="AA7" s="1214"/>
      <c r="AB7" s="1214"/>
      <c r="AC7" s="1215"/>
      <c r="AD7" s="1216"/>
      <c r="AE7" s="1216"/>
      <c r="AF7" s="1216"/>
      <c r="AG7" s="1216"/>
      <c r="AH7" s="1216"/>
      <c r="AI7" s="1216"/>
      <c r="AJ7" s="1217"/>
    </row>
    <row r="8" spans="1:36" ht="15">
      <c r="A8" s="3297"/>
      <c r="B8" s="169"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851" t="s">
        <v>1960</v>
      </c>
      <c r="X8" s="38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853"/>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8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6"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58" t="s">
        <v>3259</v>
      </c>
      <c r="B20" s="166" t="s">
        <v>1994</v>
      </c>
      <c r="C20" s="3323">
        <f>ROUND(IF(F21="与级别开发程度一致",0,(G21-E21)/C21),0)</f>
        <v>0</v>
      </c>
      <c r="D20" s="3339" t="s">
        <v>1998</v>
      </c>
      <c r="E20" s="3340"/>
      <c r="F20" s="3864" t="s">
        <v>1995</v>
      </c>
      <c r="G20" s="3865"/>
      <c r="H20" s="3324" t="s">
        <v>3385</v>
      </c>
      <c r="I20" s="3324" t="s">
        <v>3386</v>
      </c>
      <c r="J20" s="3325" t="s">
        <v>3387</v>
      </c>
      <c r="K20" s="2045" t="s">
        <v>3388</v>
      </c>
      <c r="L20" s="2045" t="s">
        <v>3389</v>
      </c>
      <c r="M20" s="2045" t="s">
        <v>3390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859"/>
      <c r="B21" s="2162" t="s">
        <v>1997</v>
      </c>
      <c r="C21" s="2163">
        <f>IF(E3="M4科研用地",SUMPRODUCT((修正!A2:A7=E3)*(修正!B1:M1=G2)*(修正!B2:M7)),SUMPRODUCT((修正!A2:A7=E2)*(修正!B1:M1=G2)*(修正!B2:M7)))</f>
        <v>1.5</v>
      </c>
      <c r="D21" s="186" t="str">
        <f>IF(OR(G2="八级",G2="九级",G2="十级",G2="十一级",G2="十二级"),"五通一平","七通一平")</f>
        <v>五通一平</v>
      </c>
      <c r="E21" s="2153">
        <f>SUMPRODUCT((修正!B1:M1=G2)*(修正!B17:M17))</f>
        <v>185</v>
      </c>
      <c r="F21" s="2154" t="s">
        <v>3384</v>
      </c>
      <c r="G21" s="2155">
        <f>SUM(H21:O21)</f>
        <v>185</v>
      </c>
      <c r="H21" s="2163">
        <f>SUMPRODUCT((七通一平=H20)*(修正!B1:M1=G2)*(修正!B8:M16))</f>
        <v>20</v>
      </c>
      <c r="I21" s="2163">
        <f>SUMPRODUCT((七通一平=I20)*(修正!B1:M1=G2)*(修正!B8:M16))</f>
        <v>35</v>
      </c>
      <c r="J21" s="2164">
        <f>SUMPRODUCT((七通一平=J20)*(修正!B1:M1=G2)*(修正!B8:M16))</f>
        <v>60</v>
      </c>
      <c r="K21" s="2163">
        <f>SUMPRODUCT((七通一平=K20)*(修正!B1:M1=G2)*(修正!B8:M16))</f>
        <v>50</v>
      </c>
      <c r="L21" s="2163">
        <f>SUMPRODUCT((七通一平=L20)*(修正!B1:M1=G2)*(修正!B8:M16))</f>
        <v>10</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0.8</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2" t="s">
        <v>2002</v>
      </c>
      <c r="E23" s="759">
        <v>44197</v>
      </c>
      <c r="F23" s="2052" t="s">
        <v>2003</v>
      </c>
      <c r="G23" s="760">
        <f>'数据-取费表'!B2</f>
        <v>45062</v>
      </c>
      <c r="H23" s="3341" t="s">
        <v>3260</v>
      </c>
      <c r="I23" s="3342" t="str">
        <f>IF(H23="季度增幅（自定义）",SUMIF(N25:N28,E2,O25:O28),"")</f>
        <v/>
      </c>
      <c r="J23" s="3444" t="s">
        <v>3391</v>
      </c>
      <c r="K23" s="1123"/>
      <c r="L23" s="2053" t="s">
        <v>2004</v>
      </c>
      <c r="M23" s="1326">
        <f>ROUND(SUMIF(地价!B2:G2,E2,地价!B16:G16),0)</f>
        <v>0</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1</v>
      </c>
      <c r="D24" s="2058" t="s">
        <v>2007</v>
      </c>
      <c r="E24" s="1333">
        <f>存贷款利率!E22/100</f>
        <v>4.3499999999999997E-2</v>
      </c>
      <c r="F24" s="2058" t="s">
        <v>1999</v>
      </c>
      <c r="G24" s="766">
        <f>SUMIF(M30:Q30,E2,M33:Q33)</f>
        <v>0.05</v>
      </c>
      <c r="H24" s="2058" t="s">
        <v>2008</v>
      </c>
      <c r="I24" s="767">
        <f>SUMIF('数据-取费表'!C6:C15,E2,'数据-取费表'!F6:F15)/COUNTIF('数据-取费表'!C6:C15,E2)</f>
        <v>50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1.1198999999999999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1.1198999999999999</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750">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0</v>
      </c>
      <c r="D33" s="2096">
        <f>'数据-基础表'!B3</f>
        <v>8327.76</v>
      </c>
      <c r="E33" s="771">
        <f>ROUND(C33*D33/10000,0)</f>
        <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0</v>
      </c>
      <c r="D34" s="2101">
        <f>D33</f>
        <v>8327.76</v>
      </c>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62"/>
      <c r="B37" s="2111" t="s">
        <v>2036</v>
      </c>
      <c r="C37" s="174">
        <f>ROUND(D5*C22*C23*C24*C28*F37,0)</f>
        <v>0</v>
      </c>
      <c r="D37" s="2096"/>
      <c r="E37" s="170">
        <f>ROUND(C37*D37/10000,0)</f>
        <v>0</v>
      </c>
      <c r="F37" s="170">
        <f>SUMIF(修正!A57:A68,G2,修正!B57:B68)</f>
        <v>0.5</v>
      </c>
      <c r="G37" s="170">
        <f>ROUND(IF(E2="工业",C37*$M$42,C37*$M$41),0)</f>
        <v>0</v>
      </c>
      <c r="H37" s="170">
        <f>D37</f>
        <v>0</v>
      </c>
      <c r="I37" s="170">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63"/>
      <c r="B38" s="2039" t="s">
        <v>2037</v>
      </c>
      <c r="C38" s="174">
        <f>ROUND(D5*C22*C23*C24*C28*F38,0)</f>
        <v>0</v>
      </c>
      <c r="D38" s="2096"/>
      <c r="E38" s="170">
        <f t="shared" ref="E38:E42" si="4">ROUND(C38*D38/10000,0)</f>
        <v>0</v>
      </c>
      <c r="F38" s="170">
        <f>SUMIF(修正!A57:A68,G2,修正!C57:C68)</f>
        <v>0.2</v>
      </c>
      <c r="G38" s="170">
        <f>ROUND(IF(E2="工业",C38*$M$42,C38*$M$41),0)</f>
        <v>0</v>
      </c>
      <c r="H38" s="170">
        <f t="shared" ref="H38:H42" si="5">D38</f>
        <v>0</v>
      </c>
      <c r="I38" s="170">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63"/>
      <c r="B39" s="2039" t="s">
        <v>3263</v>
      </c>
      <c r="C39" s="174">
        <f>ROUND(D5*C22*C23*C24*C28*F39,0)</f>
        <v>0</v>
      </c>
      <c r="D39" s="2096"/>
      <c r="E39" s="170">
        <f t="shared" si="4"/>
        <v>0</v>
      </c>
      <c r="F39" s="170">
        <f>SUMIF(修正!A57:A68,G2,修正!D57:D68)</f>
        <v>0.2</v>
      </c>
      <c r="G39" s="170">
        <f>ROUND(IF(E2="工业",C39*$M$42,C39*$M$41),0)</f>
        <v>0</v>
      </c>
      <c r="H39" s="170">
        <f t="shared" si="5"/>
        <v>0</v>
      </c>
      <c r="I39" s="170">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0</v>
      </c>
      <c r="D40" s="2096"/>
      <c r="E40" s="170">
        <f t="shared" si="4"/>
        <v>0</v>
      </c>
      <c r="F40" s="174">
        <f>SUMIF(修正!A57:A68,G2,修正!E57:E68)</f>
        <v>0.2</v>
      </c>
      <c r="G40" s="170">
        <f>ROUND(IF(E2="工业",C40*$M$42,C40*$M$41),0)</f>
        <v>0</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0</v>
      </c>
      <c r="D42" s="2101"/>
      <c r="E42" s="186">
        <f t="shared" si="4"/>
        <v>0</v>
      </c>
      <c r="F42" s="765">
        <f>SUMIF(修正!A57:A68,G2,修正!G57:G68)</f>
        <v>0.1</v>
      </c>
      <c r="G42" s="186">
        <f>ROUND(IF(E2="工业",C42*$M$42,C42*$M$41),0)</f>
        <v>0</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v>
      </c>
      <c r="D44" s="170" t="s">
        <v>1999</v>
      </c>
      <c r="E44" s="2151">
        <f>G24</f>
        <v>0.05</v>
      </c>
      <c r="F44" s="170" t="s">
        <v>2008</v>
      </c>
      <c r="G44" s="182"/>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f>IF(E2="公共服务",SUMIF(L1:L12,G2,N1:N12),"——")</f>
        <v>0</v>
      </c>
      <c r="G93" s="3371"/>
      <c r="H93" s="3419">
        <f>IFERROR(ROUNDDOWN($F$93*I93/2,4),"——")</f>
        <v>0</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f>IFERROR(ROUNDDOWN($F$93*I94/2,4),"——")</f>
        <v>0</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f t="shared" ref="H95:H101" si="31">IFERROR(ROUNDDOWN($F$93*I95/2,4),"——")</f>
        <v>0</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2"/>
      <c r="G96" s="3371"/>
      <c r="H96" s="3419">
        <f t="shared" si="31"/>
        <v>0</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f t="shared" si="31"/>
        <v>0</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2"/>
      <c r="G98" s="3371"/>
      <c r="H98" s="3419">
        <f t="shared" si="31"/>
        <v>0</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2"/>
      <c r="G99" s="3371"/>
      <c r="H99" s="3419">
        <f t="shared" si="31"/>
        <v>0</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2"/>
      <c r="G100" s="3371"/>
      <c r="H100" s="3419">
        <f t="shared" si="31"/>
        <v>0</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2"/>
      <c r="G101" s="3371"/>
      <c r="H101" s="3419">
        <f t="shared" si="31"/>
        <v>0</v>
      </c>
      <c r="I101" s="3366">
        <v>7.0000000000000007E-2</v>
      </c>
      <c r="J101" s="3343">
        <f t="shared" si="27"/>
        <v>0</v>
      </c>
      <c r="K101" s="3343">
        <f t="shared" si="28"/>
        <v>0</v>
      </c>
      <c r="L101" s="3343">
        <v>0</v>
      </c>
      <c r="M101" s="3343">
        <f t="shared" si="29"/>
        <v>0</v>
      </c>
      <c r="N101" s="3343">
        <f t="shared" si="29"/>
        <v>0</v>
      </c>
    </row>
    <row r="103" spans="1:14">
      <c r="A103" s="3860" t="s">
        <v>3298</v>
      </c>
      <c r="B103" s="3860"/>
      <c r="C103" s="3860"/>
      <c r="D103" s="3860"/>
      <c r="E103" s="3860"/>
      <c r="F103" s="3860"/>
      <c r="G103" s="3860"/>
      <c r="H103" s="3860"/>
      <c r="I103" s="3860"/>
      <c r="J103" s="3860"/>
      <c r="K103" s="3388"/>
      <c r="L103" s="3388"/>
      <c r="M103" s="3388"/>
      <c r="N103" s="3388"/>
    </row>
    <row r="104" spans="1:14">
      <c r="A104" s="3861" t="s">
        <v>3299</v>
      </c>
      <c r="B104" s="3861" t="s">
        <v>3300</v>
      </c>
      <c r="C104" s="3389" t="s">
        <v>3301</v>
      </c>
      <c r="D104" s="3390"/>
      <c r="E104" s="3390"/>
      <c r="F104" s="3390"/>
      <c r="G104" s="3390"/>
      <c r="H104" s="3390"/>
      <c r="I104" s="3390"/>
      <c r="J104" s="3391"/>
      <c r="K104" s="3392"/>
      <c r="L104" s="3392"/>
      <c r="M104" s="3392"/>
      <c r="N104" s="3392"/>
    </row>
    <row r="105" spans="1:14">
      <c r="A105" s="3861"/>
      <c r="B105" s="3861"/>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847"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48"/>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50" t="s">
        <v>3315</v>
      </c>
      <c r="B113" s="3850"/>
      <c r="C113" s="3850"/>
      <c r="D113" s="3850"/>
      <c r="E113" s="3850"/>
      <c r="F113" s="3850"/>
      <c r="G113" s="3850"/>
      <c r="H113" s="3850"/>
      <c r="I113" s="3850"/>
      <c r="J113" s="38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0.74660000000000004</v>
      </c>
      <c r="E116" s="1998" t="s">
        <v>3318</v>
      </c>
      <c r="F116" s="3400" t="str">
        <f>E2</f>
        <v>公共服务</v>
      </c>
      <c r="G116" s="1998" t="s">
        <v>3319</v>
      </c>
      <c r="H116" s="3400" t="str">
        <f>G2</f>
        <v>十级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3333</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3334</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3335</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75" t="s">
        <v>2610</v>
      </c>
      <c r="B20" s="3870" t="s">
        <v>2631</v>
      </c>
      <c r="C20" s="3101" t="s">
        <v>2442</v>
      </c>
      <c r="D20" s="3102"/>
      <c r="E20" s="3103">
        <v>1</v>
      </c>
      <c r="F20" s="3104" t="s">
        <v>2443</v>
      </c>
      <c r="G20" s="3104"/>
    </row>
    <row r="21" spans="1:13" ht="19.5" customHeight="1">
      <c r="A21" s="3876"/>
      <c r="B21" s="3869"/>
      <c r="C21" s="3105" t="s">
        <v>2444</v>
      </c>
      <c r="D21" s="3106"/>
      <c r="E21" s="3107">
        <v>1</v>
      </c>
      <c r="F21" s="3104" t="s">
        <v>2445</v>
      </c>
      <c r="G21" s="3104"/>
    </row>
    <row r="22" spans="1:13" ht="19.5" customHeight="1">
      <c r="A22" s="3876"/>
      <c r="B22" s="3869"/>
      <c r="C22" s="3105" t="s">
        <v>2446</v>
      </c>
      <c r="D22" s="3106"/>
      <c r="E22" s="3107">
        <v>0.9</v>
      </c>
      <c r="F22" s="3104" t="s">
        <v>2447</v>
      </c>
      <c r="G22" s="3104"/>
    </row>
    <row r="23" spans="1:13" ht="19.5" customHeight="1">
      <c r="A23" s="3876"/>
      <c r="B23" s="3869"/>
      <c r="C23" s="3105" t="s">
        <v>2448</v>
      </c>
      <c r="D23" s="3106"/>
      <c r="E23" s="3107">
        <v>0.9</v>
      </c>
      <c r="F23" s="3104" t="s">
        <v>2449</v>
      </c>
      <c r="G23" s="3104"/>
    </row>
    <row r="24" spans="1:13" ht="19.5" customHeight="1">
      <c r="A24" s="3876"/>
      <c r="B24" s="3869"/>
      <c r="C24" s="3105" t="s">
        <v>2450</v>
      </c>
      <c r="D24" s="3106"/>
      <c r="E24" s="3107">
        <v>0.8</v>
      </c>
      <c r="F24" s="3104" t="s">
        <v>2451</v>
      </c>
      <c r="G24" s="3104"/>
    </row>
    <row r="25" spans="1:13" ht="19.5" customHeight="1" thickBot="1">
      <c r="A25" s="3877"/>
      <c r="B25" s="38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72" t="s">
        <v>2634</v>
      </c>
      <c r="B27" s="3870" t="s">
        <v>2615</v>
      </c>
      <c r="C27" s="3101" t="s">
        <v>2455</v>
      </c>
      <c r="D27" s="3102"/>
      <c r="E27" s="3103">
        <v>1</v>
      </c>
      <c r="F27" s="3104" t="s">
        <v>2456</v>
      </c>
      <c r="G27" s="3104"/>
    </row>
    <row r="28" spans="1:13" ht="19.5" customHeight="1">
      <c r="A28" s="3873"/>
      <c r="B28" s="3869"/>
      <c r="C28" s="3105" t="s">
        <v>2457</v>
      </c>
      <c r="D28" s="3106"/>
      <c r="E28" s="3107">
        <v>1</v>
      </c>
      <c r="F28" s="3104" t="s">
        <v>2458</v>
      </c>
      <c r="G28" s="3104"/>
    </row>
    <row r="29" spans="1:13" ht="19.5" customHeight="1">
      <c r="A29" s="3873"/>
      <c r="B29" s="3869"/>
      <c r="C29" s="3105" t="s">
        <v>2459</v>
      </c>
      <c r="D29" s="3106"/>
      <c r="E29" s="3107">
        <v>0.8</v>
      </c>
      <c r="F29" s="3104" t="s">
        <v>2460</v>
      </c>
      <c r="G29" s="3104"/>
    </row>
    <row r="30" spans="1:13" ht="19.5" customHeight="1">
      <c r="A30" s="3873"/>
      <c r="B30" s="3869"/>
      <c r="C30" s="3105" t="s">
        <v>2461</v>
      </c>
      <c r="D30" s="3106"/>
      <c r="E30" s="3107">
        <v>0.8</v>
      </c>
      <c r="F30" s="3104" t="s">
        <v>2462</v>
      </c>
      <c r="G30" s="3104"/>
    </row>
    <row r="31" spans="1:13" ht="19.5" customHeight="1">
      <c r="A31" s="3873"/>
      <c r="B31" s="3869"/>
      <c r="C31" s="3105" t="s">
        <v>2463</v>
      </c>
      <c r="D31" s="3106"/>
      <c r="E31" s="3107">
        <v>0.8</v>
      </c>
      <c r="F31" s="3104" t="s">
        <v>2464</v>
      </c>
      <c r="G31" s="3104"/>
    </row>
    <row r="32" spans="1:13" ht="19.5" customHeight="1">
      <c r="A32" s="3873"/>
      <c r="B32" s="3869"/>
      <c r="C32" s="3105" t="s">
        <v>2465</v>
      </c>
      <c r="D32" s="3106"/>
      <c r="E32" s="3107">
        <v>0.7</v>
      </c>
      <c r="F32" s="3104" t="s">
        <v>2466</v>
      </c>
      <c r="G32" s="3104"/>
    </row>
    <row r="33" spans="1:7" ht="19.5" customHeight="1">
      <c r="A33" s="3873"/>
      <c r="B33" s="3869"/>
      <c r="C33" s="3105" t="s">
        <v>2467</v>
      </c>
      <c r="D33" s="3106"/>
      <c r="E33" s="3107">
        <v>0.8</v>
      </c>
      <c r="F33" s="3104" t="s">
        <v>2468</v>
      </c>
      <c r="G33" s="3104"/>
    </row>
    <row r="34" spans="1:7" ht="19.5" customHeight="1">
      <c r="A34" s="3873"/>
      <c r="B34" s="3869"/>
      <c r="C34" s="3105" t="s">
        <v>2469</v>
      </c>
      <c r="D34" s="3106"/>
      <c r="E34" s="3107">
        <v>0.6</v>
      </c>
      <c r="F34" s="3104" t="s">
        <v>2470</v>
      </c>
      <c r="G34" s="3104"/>
    </row>
    <row r="35" spans="1:7" ht="19.5" customHeight="1">
      <c r="A35" s="3873"/>
      <c r="B35" s="3869"/>
      <c r="C35" s="3105" t="s">
        <v>2471</v>
      </c>
      <c r="D35" s="3106"/>
      <c r="E35" s="3107">
        <v>0.2</v>
      </c>
      <c r="F35" s="3104" t="s">
        <v>2472</v>
      </c>
      <c r="G35" s="3104"/>
    </row>
    <row r="36" spans="1:7" ht="19.5" customHeight="1">
      <c r="A36" s="3873"/>
      <c r="B36" s="3869"/>
      <c r="C36" s="3105" t="s">
        <v>2473</v>
      </c>
      <c r="D36" s="3106"/>
      <c r="E36" s="3107">
        <v>0.2</v>
      </c>
      <c r="F36" s="3104" t="s">
        <v>2474</v>
      </c>
      <c r="G36" s="3104"/>
    </row>
    <row r="37" spans="1:7" ht="19.5" customHeight="1">
      <c r="A37" s="3873"/>
      <c r="B37" s="3867" t="s">
        <v>2635</v>
      </c>
      <c r="C37" s="3105" t="s">
        <v>2475</v>
      </c>
      <c r="D37" s="3106"/>
      <c r="E37" s="3107">
        <v>0.6</v>
      </c>
      <c r="F37" s="3104" t="s">
        <v>2476</v>
      </c>
      <c r="G37" s="3104"/>
    </row>
    <row r="38" spans="1:7" ht="19.5" customHeight="1">
      <c r="A38" s="3873"/>
      <c r="B38" s="3869"/>
      <c r="C38" s="3105" t="s">
        <v>2477</v>
      </c>
      <c r="D38" s="3106"/>
      <c r="E38" s="3107">
        <v>0.6</v>
      </c>
      <c r="F38" s="3104" t="s">
        <v>2478</v>
      </c>
      <c r="G38" s="3104"/>
    </row>
    <row r="39" spans="1:7" ht="19.5" customHeight="1" thickBot="1">
      <c r="A39" s="3874"/>
      <c r="B39" s="38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75" t="s">
        <v>2613</v>
      </c>
      <c r="B41" s="3870" t="s">
        <v>2637</v>
      </c>
      <c r="C41" s="3101" t="s">
        <v>2482</v>
      </c>
      <c r="D41" s="3102"/>
      <c r="E41" s="3103">
        <v>1</v>
      </c>
      <c r="F41" s="3104" t="s">
        <v>2483</v>
      </c>
      <c r="G41" s="3104"/>
    </row>
    <row r="42" spans="1:7" ht="19.5" customHeight="1">
      <c r="A42" s="3876"/>
      <c r="B42" s="3869"/>
      <c r="C42" s="3105" t="s">
        <v>2484</v>
      </c>
      <c r="D42" s="3106"/>
      <c r="E42" s="3107">
        <v>1</v>
      </c>
      <c r="F42" s="3104" t="s">
        <v>2485</v>
      </c>
      <c r="G42" s="3104"/>
    </row>
    <row r="43" spans="1:7" ht="19.5" customHeight="1">
      <c r="A43" s="3876"/>
      <c r="B43" s="3868"/>
      <c r="C43" s="3105" t="s">
        <v>2486</v>
      </c>
      <c r="D43" s="3106"/>
      <c r="E43" s="3107">
        <v>1.5</v>
      </c>
      <c r="F43" s="3104" t="s">
        <v>2487</v>
      </c>
      <c r="G43" s="3104"/>
    </row>
    <row r="44" spans="1:7" ht="19.5" customHeight="1">
      <c r="A44" s="3876"/>
      <c r="B44" s="3116" t="s">
        <v>2638</v>
      </c>
      <c r="C44" s="3105" t="s">
        <v>2639</v>
      </c>
      <c r="D44" s="3106"/>
      <c r="E44" s="3107">
        <v>2</v>
      </c>
      <c r="F44" s="3104" t="s">
        <v>2488</v>
      </c>
      <c r="G44" s="3104"/>
    </row>
    <row r="45" spans="1:7" ht="19.5" customHeight="1">
      <c r="A45" s="3876"/>
      <c r="B45" s="3867" t="s">
        <v>2640</v>
      </c>
      <c r="C45" s="3105" t="s">
        <v>2489</v>
      </c>
      <c r="D45" s="3106"/>
      <c r="E45" s="3107">
        <v>1</v>
      </c>
      <c r="F45" s="3104" t="s">
        <v>2490</v>
      </c>
      <c r="G45" s="3104"/>
    </row>
    <row r="46" spans="1:7" ht="19.5" customHeight="1">
      <c r="A46" s="3876"/>
      <c r="B46" s="3869"/>
      <c r="C46" s="3105" t="s">
        <v>2491</v>
      </c>
      <c r="D46" s="3106"/>
      <c r="E46" s="3107">
        <v>1</v>
      </c>
      <c r="F46" s="3104" t="s">
        <v>2492</v>
      </c>
      <c r="G46" s="3104"/>
    </row>
    <row r="47" spans="1:7" ht="19.5" customHeight="1">
      <c r="A47" s="3876"/>
      <c r="B47" s="3869"/>
      <c r="C47" s="3105" t="s">
        <v>2493</v>
      </c>
      <c r="D47" s="3106"/>
      <c r="E47" s="3107">
        <v>1</v>
      </c>
      <c r="F47" s="3104" t="s">
        <v>2494</v>
      </c>
      <c r="G47" s="3104"/>
    </row>
    <row r="48" spans="1:7" ht="19.5" customHeight="1">
      <c r="A48" s="3876"/>
      <c r="B48" s="3869"/>
      <c r="C48" s="3105" t="s">
        <v>2495</v>
      </c>
      <c r="D48" s="3106"/>
      <c r="E48" s="3107">
        <v>1</v>
      </c>
      <c r="F48" s="3104" t="s">
        <v>2496</v>
      </c>
      <c r="G48" s="3104"/>
    </row>
    <row r="49" spans="1:7" ht="19.5" customHeight="1">
      <c r="A49" s="3876"/>
      <c r="B49" s="3869"/>
      <c r="C49" s="3105" t="s">
        <v>2497</v>
      </c>
      <c r="D49" s="3106"/>
      <c r="E49" s="3107">
        <v>1</v>
      </c>
      <c r="F49" s="3104" t="s">
        <v>2498</v>
      </c>
      <c r="G49" s="3104"/>
    </row>
    <row r="50" spans="1:7" ht="19.5" customHeight="1">
      <c r="A50" s="3876"/>
      <c r="B50" s="3869"/>
      <c r="C50" s="3105" t="s">
        <v>2499</v>
      </c>
      <c r="D50" s="3106"/>
      <c r="E50" s="3107">
        <v>1</v>
      </c>
      <c r="F50" s="3104" t="s">
        <v>2500</v>
      </c>
      <c r="G50" s="3104"/>
    </row>
    <row r="51" spans="1:7" ht="19.5" customHeight="1" thickBot="1">
      <c r="A51" s="3877"/>
      <c r="B51" s="38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67" t="s">
        <v>2654</v>
      </c>
      <c r="C73" s="3090" t="s">
        <v>2655</v>
      </c>
      <c r="D73" s="3090" t="s">
        <v>2656</v>
      </c>
      <c r="E73" s="3116">
        <v>0.2</v>
      </c>
      <c r="F73" s="3116">
        <v>25</v>
      </c>
    </row>
    <row r="74" spans="1:7" ht="24">
      <c r="A74" s="3116">
        <v>2</v>
      </c>
      <c r="B74" s="3869"/>
      <c r="C74" s="3090" t="s">
        <v>2657</v>
      </c>
      <c r="D74" s="3090" t="s">
        <v>2658</v>
      </c>
      <c r="E74" s="3116">
        <v>0.2</v>
      </c>
      <c r="F74" s="3116">
        <v>25</v>
      </c>
    </row>
    <row r="75" spans="1:7" ht="24">
      <c r="A75" s="3116">
        <v>3</v>
      </c>
      <c r="B75" s="3869"/>
      <c r="C75" s="3090" t="s">
        <v>2659</v>
      </c>
      <c r="D75" s="3090" t="s">
        <v>2660</v>
      </c>
      <c r="E75" s="3116">
        <v>0.2</v>
      </c>
      <c r="F75" s="3116">
        <v>25</v>
      </c>
    </row>
    <row r="76" spans="1:7" ht="13.5">
      <c r="A76" s="3116">
        <v>4</v>
      </c>
      <c r="B76" s="3869"/>
      <c r="C76" s="3090" t="s">
        <v>2661</v>
      </c>
      <c r="D76" s="3090" t="s">
        <v>2662</v>
      </c>
      <c r="E76" s="3116">
        <v>0.15</v>
      </c>
      <c r="F76" s="3116">
        <v>20</v>
      </c>
    </row>
    <row r="77" spans="1:7" ht="24">
      <c r="A77" s="3116">
        <v>5</v>
      </c>
      <c r="B77" s="3869"/>
      <c r="C77" s="3090" t="s">
        <v>2663</v>
      </c>
      <c r="D77" s="3090" t="s">
        <v>2664</v>
      </c>
      <c r="E77" s="3116">
        <v>0.15</v>
      </c>
      <c r="F77" s="3116">
        <v>20</v>
      </c>
    </row>
    <row r="78" spans="1:7" ht="24">
      <c r="A78" s="3116">
        <v>6</v>
      </c>
      <c r="B78" s="3869"/>
      <c r="C78" s="3090" t="s">
        <v>2665</v>
      </c>
      <c r="D78" s="3090" t="s">
        <v>2666</v>
      </c>
      <c r="E78" s="3116">
        <v>0.15</v>
      </c>
      <c r="F78" s="3116">
        <v>20</v>
      </c>
    </row>
    <row r="79" spans="1:7" ht="24">
      <c r="A79" s="3116">
        <v>7</v>
      </c>
      <c r="B79" s="3869"/>
      <c r="C79" s="3090" t="s">
        <v>2667</v>
      </c>
      <c r="D79" s="3090" t="s">
        <v>2668</v>
      </c>
      <c r="E79" s="3116">
        <v>0.15</v>
      </c>
      <c r="F79" s="3116">
        <v>20</v>
      </c>
    </row>
    <row r="80" spans="1:7" ht="24">
      <c r="A80" s="3116">
        <v>8</v>
      </c>
      <c r="B80" s="3869"/>
      <c r="C80" s="3090" t="s">
        <v>2669</v>
      </c>
      <c r="D80" s="3090" t="s">
        <v>2670</v>
      </c>
      <c r="E80" s="3116">
        <v>0.1</v>
      </c>
      <c r="F80" s="3116">
        <v>15</v>
      </c>
    </row>
    <row r="81" spans="1:6" ht="24">
      <c r="A81" s="3116">
        <v>9</v>
      </c>
      <c r="B81" s="3869"/>
      <c r="C81" s="3090" t="s">
        <v>2671</v>
      </c>
      <c r="D81" s="3090" t="s">
        <v>2672</v>
      </c>
      <c r="E81" s="3116">
        <v>0.1</v>
      </c>
      <c r="F81" s="3116">
        <v>15</v>
      </c>
    </row>
    <row r="82" spans="1:6" ht="24">
      <c r="A82" s="3116">
        <v>10</v>
      </c>
      <c r="B82" s="3869"/>
      <c r="C82" s="3090" t="s">
        <v>2673</v>
      </c>
      <c r="D82" s="3090" t="s">
        <v>2674</v>
      </c>
      <c r="E82" s="3116">
        <v>0.1</v>
      </c>
      <c r="F82" s="3116">
        <v>15</v>
      </c>
    </row>
    <row r="83" spans="1:6" ht="24">
      <c r="A83" s="3116">
        <v>11</v>
      </c>
      <c r="B83" s="3869"/>
      <c r="C83" s="3090" t="s">
        <v>2675</v>
      </c>
      <c r="D83" s="3090" t="s">
        <v>2676</v>
      </c>
      <c r="E83" s="3116">
        <v>0.1</v>
      </c>
      <c r="F83" s="3116">
        <v>15</v>
      </c>
    </row>
    <row r="84" spans="1:6" ht="24">
      <c r="A84" s="3116">
        <v>12</v>
      </c>
      <c r="B84" s="3869"/>
      <c r="C84" s="3090" t="s">
        <v>2677</v>
      </c>
      <c r="D84" s="3090" t="s">
        <v>2678</v>
      </c>
      <c r="E84" s="3116">
        <v>0.1</v>
      </c>
      <c r="F84" s="3116">
        <v>15</v>
      </c>
    </row>
    <row r="85" spans="1:6" ht="13.5">
      <c r="A85" s="3116">
        <v>13</v>
      </c>
      <c r="B85" s="3869"/>
      <c r="C85" s="3090" t="s">
        <v>2679</v>
      </c>
      <c r="D85" s="3090" t="s">
        <v>2680</v>
      </c>
      <c r="E85" s="3116">
        <v>0.1</v>
      </c>
      <c r="F85" s="3116">
        <v>15</v>
      </c>
    </row>
    <row r="86" spans="1:6" ht="13.5">
      <c r="A86" s="3116">
        <v>14</v>
      </c>
      <c r="B86" s="3869"/>
      <c r="C86" s="3090" t="s">
        <v>2681</v>
      </c>
      <c r="D86" s="3090" t="s">
        <v>2682</v>
      </c>
      <c r="E86" s="3116">
        <v>0.1</v>
      </c>
      <c r="F86" s="3116">
        <v>15</v>
      </c>
    </row>
    <row r="87" spans="1:6" ht="13.5">
      <c r="A87" s="3116">
        <v>15</v>
      </c>
      <c r="B87" s="3869"/>
      <c r="C87" s="3090" t="s">
        <v>2683</v>
      </c>
      <c r="D87" s="3090" t="s">
        <v>2684</v>
      </c>
      <c r="E87" s="3116">
        <v>0.1</v>
      </c>
      <c r="F87" s="3116">
        <v>15</v>
      </c>
    </row>
    <row r="88" spans="1:6" ht="24">
      <c r="A88" s="3116">
        <v>16</v>
      </c>
      <c r="B88" s="3869"/>
      <c r="C88" s="3090" t="s">
        <v>2685</v>
      </c>
      <c r="D88" s="3090" t="s">
        <v>2686</v>
      </c>
      <c r="E88" s="3116">
        <v>0.1</v>
      </c>
      <c r="F88" s="3116">
        <v>15</v>
      </c>
    </row>
    <row r="89" spans="1:6" ht="24">
      <c r="A89" s="3116">
        <v>17</v>
      </c>
      <c r="B89" s="3868"/>
      <c r="C89" s="3090" t="s">
        <v>2687</v>
      </c>
      <c r="D89" s="3090" t="s">
        <v>2688</v>
      </c>
      <c r="E89" s="3116">
        <v>0.1</v>
      </c>
      <c r="F89" s="3116">
        <v>15</v>
      </c>
    </row>
    <row r="90" spans="1:6" ht="13.5">
      <c r="A90" s="3116">
        <v>18</v>
      </c>
      <c r="B90" s="3867" t="s">
        <v>2689</v>
      </c>
      <c r="C90" s="3090" t="s">
        <v>2690</v>
      </c>
      <c r="D90" s="3090" t="s">
        <v>2691</v>
      </c>
      <c r="E90" s="3116">
        <v>0.2</v>
      </c>
      <c r="F90" s="3116">
        <v>25</v>
      </c>
    </row>
    <row r="91" spans="1:6" ht="24">
      <c r="A91" s="3116">
        <v>19</v>
      </c>
      <c r="B91" s="3869"/>
      <c r="C91" s="3090" t="s">
        <v>2692</v>
      </c>
      <c r="D91" s="3090" t="s">
        <v>2693</v>
      </c>
      <c r="E91" s="3116">
        <v>0.2</v>
      </c>
      <c r="F91" s="3116">
        <v>25</v>
      </c>
    </row>
    <row r="92" spans="1:6" ht="13.5">
      <c r="A92" s="3116">
        <v>20</v>
      </c>
      <c r="B92" s="3869"/>
      <c r="C92" s="3090" t="s">
        <v>2694</v>
      </c>
      <c r="D92" s="3090" t="s">
        <v>2695</v>
      </c>
      <c r="E92" s="3116">
        <v>0.15</v>
      </c>
      <c r="F92" s="3116">
        <v>20</v>
      </c>
    </row>
    <row r="93" spans="1:6" ht="13.5">
      <c r="A93" s="3116">
        <v>21</v>
      </c>
      <c r="B93" s="3869"/>
      <c r="C93" s="3090" t="s">
        <v>2696</v>
      </c>
      <c r="D93" s="3090" t="s">
        <v>2697</v>
      </c>
      <c r="E93" s="3116">
        <v>0.15</v>
      </c>
      <c r="F93" s="3116">
        <v>20</v>
      </c>
    </row>
    <row r="94" spans="1:6" ht="13.5">
      <c r="A94" s="3116">
        <v>22</v>
      </c>
      <c r="B94" s="3869"/>
      <c r="C94" s="3090" t="s">
        <v>2698</v>
      </c>
      <c r="D94" s="3090" t="s">
        <v>2699</v>
      </c>
      <c r="E94" s="3116">
        <v>0.15</v>
      </c>
      <c r="F94" s="3116">
        <v>20</v>
      </c>
    </row>
    <row r="95" spans="1:6" ht="36">
      <c r="A95" s="3116">
        <v>23</v>
      </c>
      <c r="B95" s="3869"/>
      <c r="C95" s="3090" t="s">
        <v>2700</v>
      </c>
      <c r="D95" s="3090" t="s">
        <v>2701</v>
      </c>
      <c r="E95" s="3116">
        <v>0.15</v>
      </c>
      <c r="F95" s="3116">
        <v>20</v>
      </c>
    </row>
    <row r="96" spans="1:6" ht="13.5">
      <c r="A96" s="3116">
        <v>24</v>
      </c>
      <c r="B96" s="3869"/>
      <c r="C96" s="3090" t="s">
        <v>2702</v>
      </c>
      <c r="D96" s="3090" t="s">
        <v>2703</v>
      </c>
      <c r="E96" s="3116">
        <v>0.1</v>
      </c>
      <c r="F96" s="3116">
        <v>15</v>
      </c>
    </row>
    <row r="97" spans="1:6" ht="13.5">
      <c r="A97" s="3116">
        <v>25</v>
      </c>
      <c r="B97" s="3869"/>
      <c r="C97" s="3090" t="s">
        <v>2704</v>
      </c>
      <c r="D97" s="3090" t="s">
        <v>2705</v>
      </c>
      <c r="E97" s="3116">
        <v>0.1</v>
      </c>
      <c r="F97" s="3116">
        <v>15</v>
      </c>
    </row>
    <row r="98" spans="1:6" ht="24">
      <c r="A98" s="3116">
        <v>26</v>
      </c>
      <c r="B98" s="3869"/>
      <c r="C98" s="3090" t="s">
        <v>2706</v>
      </c>
      <c r="D98" s="3090" t="s">
        <v>2707</v>
      </c>
      <c r="E98" s="3116">
        <v>0.1</v>
      </c>
      <c r="F98" s="3116">
        <v>15</v>
      </c>
    </row>
    <row r="99" spans="1:6" ht="24">
      <c r="A99" s="3116">
        <v>27</v>
      </c>
      <c r="B99" s="3869"/>
      <c r="C99" s="3090" t="s">
        <v>2708</v>
      </c>
      <c r="D99" s="3090" t="s">
        <v>2709</v>
      </c>
      <c r="E99" s="3116">
        <v>0.1</v>
      </c>
      <c r="F99" s="3116">
        <v>15</v>
      </c>
    </row>
    <row r="100" spans="1:6" ht="13.5">
      <c r="A100" s="3116">
        <v>28</v>
      </c>
      <c r="B100" s="3869"/>
      <c r="C100" s="3090" t="s">
        <v>2710</v>
      </c>
      <c r="D100" s="3090" t="s">
        <v>2711</v>
      </c>
      <c r="E100" s="3116">
        <v>0.1</v>
      </c>
      <c r="F100" s="3116">
        <v>15</v>
      </c>
    </row>
    <row r="101" spans="1:6" ht="13.5">
      <c r="A101" s="3116">
        <v>29</v>
      </c>
      <c r="B101" s="3869"/>
      <c r="C101" s="3090" t="s">
        <v>2712</v>
      </c>
      <c r="D101" s="3090" t="s">
        <v>2713</v>
      </c>
      <c r="E101" s="3116">
        <v>0.1</v>
      </c>
      <c r="F101" s="3116">
        <v>15</v>
      </c>
    </row>
    <row r="102" spans="1:6" ht="13.5">
      <c r="A102" s="3116">
        <v>30</v>
      </c>
      <c r="B102" s="3869"/>
      <c r="C102" s="3090" t="s">
        <v>2714</v>
      </c>
      <c r="D102" s="3090" t="s">
        <v>2715</v>
      </c>
      <c r="E102" s="3116">
        <v>0.1</v>
      </c>
      <c r="F102" s="3116">
        <v>15</v>
      </c>
    </row>
    <row r="103" spans="1:6" ht="24">
      <c r="A103" s="3116">
        <v>31</v>
      </c>
      <c r="B103" s="3869"/>
      <c r="C103" s="3090" t="s">
        <v>2716</v>
      </c>
      <c r="D103" s="3090" t="s">
        <v>2717</v>
      </c>
      <c r="E103" s="3116">
        <v>0.1</v>
      </c>
      <c r="F103" s="3116">
        <v>15</v>
      </c>
    </row>
    <row r="104" spans="1:6" ht="24">
      <c r="A104" s="3116">
        <v>32</v>
      </c>
      <c r="B104" s="3869"/>
      <c r="C104" s="3090" t="s">
        <v>2718</v>
      </c>
      <c r="D104" s="3090" t="s">
        <v>2719</v>
      </c>
      <c r="E104" s="3116">
        <v>0.1</v>
      </c>
      <c r="F104" s="3116">
        <v>15</v>
      </c>
    </row>
    <row r="105" spans="1:6" ht="24">
      <c r="A105" s="3116">
        <v>33</v>
      </c>
      <c r="B105" s="3869"/>
      <c r="C105" s="3090" t="s">
        <v>2720</v>
      </c>
      <c r="D105" s="3090" t="s">
        <v>2721</v>
      </c>
      <c r="E105" s="3116">
        <v>0.1</v>
      </c>
      <c r="F105" s="3116">
        <v>15</v>
      </c>
    </row>
    <row r="106" spans="1:6" ht="24">
      <c r="A106" s="3116">
        <v>34</v>
      </c>
      <c r="B106" s="3868"/>
      <c r="C106" s="3090" t="s">
        <v>2722</v>
      </c>
      <c r="D106" s="3090" t="s">
        <v>2723</v>
      </c>
      <c r="E106" s="3116">
        <v>0.1</v>
      </c>
      <c r="F106" s="3116">
        <v>15</v>
      </c>
    </row>
    <row r="107" spans="1:6" ht="24">
      <c r="A107" s="3116">
        <v>35</v>
      </c>
      <c r="B107" s="3867" t="s">
        <v>2724</v>
      </c>
      <c r="C107" s="3116" t="s">
        <v>2725</v>
      </c>
      <c r="D107" s="3090" t="s">
        <v>2726</v>
      </c>
      <c r="E107" s="3116">
        <v>0.15</v>
      </c>
      <c r="F107" s="3116">
        <v>20</v>
      </c>
    </row>
    <row r="108" spans="1:6" ht="13.5">
      <c r="A108" s="3116">
        <v>36</v>
      </c>
      <c r="B108" s="3869"/>
      <c r="C108" s="3116" t="s">
        <v>2727</v>
      </c>
      <c r="D108" s="3090" t="s">
        <v>2728</v>
      </c>
      <c r="E108" s="3116">
        <v>0.15</v>
      </c>
      <c r="F108" s="3116">
        <v>20</v>
      </c>
    </row>
    <row r="109" spans="1:6" ht="13.5">
      <c r="A109" s="3116">
        <v>37</v>
      </c>
      <c r="B109" s="3869"/>
      <c r="C109" s="3116" t="s">
        <v>2729</v>
      </c>
      <c r="D109" s="3090" t="s">
        <v>2730</v>
      </c>
      <c r="E109" s="3116">
        <v>0.15</v>
      </c>
      <c r="F109" s="3116">
        <v>20</v>
      </c>
    </row>
    <row r="110" spans="1:6" ht="13.5">
      <c r="A110" s="3116">
        <v>38</v>
      </c>
      <c r="B110" s="3869"/>
      <c r="C110" s="3116" t="s">
        <v>2731</v>
      </c>
      <c r="D110" s="3090" t="s">
        <v>2732</v>
      </c>
      <c r="E110" s="3116">
        <v>0.1</v>
      </c>
      <c r="F110" s="3116">
        <v>15</v>
      </c>
    </row>
    <row r="111" spans="1:6" ht="24">
      <c r="A111" s="3116">
        <v>39</v>
      </c>
      <c r="B111" s="3869"/>
      <c r="C111" s="3116" t="s">
        <v>2733</v>
      </c>
      <c r="D111" s="3090" t="s">
        <v>2734</v>
      </c>
      <c r="E111" s="3116">
        <v>0.1</v>
      </c>
      <c r="F111" s="3116">
        <v>15</v>
      </c>
    </row>
    <row r="112" spans="1:6" ht="24">
      <c r="A112" s="3116">
        <v>40</v>
      </c>
      <c r="B112" s="3868"/>
      <c r="C112" s="3116" t="s">
        <v>2735</v>
      </c>
      <c r="D112" s="3090" t="s">
        <v>2736</v>
      </c>
      <c r="E112" s="3116">
        <v>0.1</v>
      </c>
      <c r="F112" s="3116">
        <v>15</v>
      </c>
    </row>
    <row r="113" spans="1:6" ht="13.5">
      <c r="A113" s="3116">
        <v>41</v>
      </c>
      <c r="B113" s="3866" t="s">
        <v>2737</v>
      </c>
      <c r="C113" s="3116" t="s">
        <v>2738</v>
      </c>
      <c r="D113" s="3090" t="s">
        <v>2739</v>
      </c>
      <c r="E113" s="3116">
        <v>0.1</v>
      </c>
      <c r="F113" s="3116">
        <v>15</v>
      </c>
    </row>
    <row r="114" spans="1:6" ht="13.5">
      <c r="A114" s="3116">
        <v>42</v>
      </c>
      <c r="B114" s="3866"/>
      <c r="C114" s="3116" t="s">
        <v>2740</v>
      </c>
      <c r="D114" s="3090" t="s">
        <v>2741</v>
      </c>
      <c r="E114" s="3116">
        <v>0.1</v>
      </c>
      <c r="F114" s="3116">
        <v>15</v>
      </c>
    </row>
    <row r="115" spans="1:6" ht="24">
      <c r="A115" s="3116">
        <v>43</v>
      </c>
      <c r="B115" s="3866"/>
      <c r="C115" s="3116" t="s">
        <v>2742</v>
      </c>
      <c r="D115" s="3090" t="s">
        <v>2743</v>
      </c>
      <c r="E115" s="3116">
        <v>0.1</v>
      </c>
      <c r="F115" s="3116">
        <v>15</v>
      </c>
    </row>
    <row r="116" spans="1:6" ht="13.5">
      <c r="A116" s="3116">
        <v>44</v>
      </c>
      <c r="B116" s="3867" t="s">
        <v>2744</v>
      </c>
      <c r="C116" s="3116" t="s">
        <v>2745</v>
      </c>
      <c r="D116" s="3090" t="s">
        <v>2746</v>
      </c>
      <c r="E116" s="3116">
        <v>0.1</v>
      </c>
      <c r="F116" s="3116">
        <v>15</v>
      </c>
    </row>
    <row r="117" spans="1:6" ht="24">
      <c r="A117" s="3116">
        <v>45</v>
      </c>
      <c r="B117" s="3868"/>
      <c r="C117" s="3090" t="s">
        <v>2747</v>
      </c>
      <c r="D117" s="3090" t="s">
        <v>2748</v>
      </c>
      <c r="E117" s="3116">
        <v>0.1</v>
      </c>
      <c r="F117" s="3116">
        <v>15</v>
      </c>
    </row>
    <row r="118" spans="1:6" ht="24">
      <c r="A118" s="3116">
        <v>46</v>
      </c>
      <c r="B118" s="3867" t="s">
        <v>2749</v>
      </c>
      <c r="C118" s="3116" t="s">
        <v>2750</v>
      </c>
      <c r="D118" s="3090" t="s">
        <v>2751</v>
      </c>
      <c r="E118" s="3116">
        <v>0.1</v>
      </c>
      <c r="F118" s="3116">
        <v>15</v>
      </c>
    </row>
    <row r="119" spans="1:6" ht="24">
      <c r="A119" s="3116">
        <v>47</v>
      </c>
      <c r="B119" s="3868"/>
      <c r="C119" s="3116" t="s">
        <v>2752</v>
      </c>
      <c r="D119" s="3090" t="s">
        <v>2753</v>
      </c>
      <c r="E119" s="3116">
        <v>0.1</v>
      </c>
      <c r="F119" s="3116">
        <v>15</v>
      </c>
    </row>
    <row r="120" spans="1:6" ht="13.5">
      <c r="A120" s="3116">
        <v>48</v>
      </c>
      <c r="B120" s="3867" t="s">
        <v>2754</v>
      </c>
      <c r="C120" s="3116" t="s">
        <v>2755</v>
      </c>
      <c r="D120" s="3090" t="s">
        <v>2756</v>
      </c>
      <c r="E120" s="3116">
        <v>0.1</v>
      </c>
      <c r="F120" s="3116">
        <v>15</v>
      </c>
    </row>
    <row r="121" spans="1:6" ht="13.5">
      <c r="A121" s="3116">
        <v>49</v>
      </c>
      <c r="B121" s="3868"/>
      <c r="C121" s="3116" t="s">
        <v>2757</v>
      </c>
      <c r="D121" s="3090" t="s">
        <v>2758</v>
      </c>
      <c r="E121" s="3116">
        <v>0.1</v>
      </c>
      <c r="F121" s="3116">
        <v>15</v>
      </c>
    </row>
    <row r="122" spans="1:6" ht="24">
      <c r="A122" s="3116">
        <v>50</v>
      </c>
      <c r="B122" s="3866" t="s">
        <v>2759</v>
      </c>
      <c r="C122" s="3116" t="s">
        <v>2760</v>
      </c>
      <c r="D122" s="3090" t="s">
        <v>2761</v>
      </c>
      <c r="E122" s="3116">
        <v>0.1</v>
      </c>
      <c r="F122" s="3116">
        <v>15</v>
      </c>
    </row>
    <row r="123" spans="1:6" ht="24">
      <c r="A123" s="3116">
        <v>51</v>
      </c>
      <c r="B123" s="3866"/>
      <c r="C123" s="3116" t="s">
        <v>2762</v>
      </c>
      <c r="D123" s="3090" t="s">
        <v>2763</v>
      </c>
      <c r="E123" s="3116">
        <v>0.1</v>
      </c>
      <c r="F123" s="3116">
        <v>15</v>
      </c>
    </row>
    <row r="124" spans="1:6" ht="24">
      <c r="A124" s="3116">
        <v>52</v>
      </c>
      <c r="B124" s="3866" t="s">
        <v>2764</v>
      </c>
      <c r="C124" s="3116" t="s">
        <v>2765</v>
      </c>
      <c r="D124" s="3090" t="s">
        <v>2766</v>
      </c>
      <c r="E124" s="3116">
        <v>0.1</v>
      </c>
      <c r="F124" s="3116">
        <v>15</v>
      </c>
    </row>
    <row r="125" spans="1:6" ht="24">
      <c r="A125" s="3116">
        <v>53</v>
      </c>
      <c r="B125" s="38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66" t="s">
        <v>2772</v>
      </c>
      <c r="C127" s="3116" t="s">
        <v>2773</v>
      </c>
      <c r="D127" s="3090" t="s">
        <v>2774</v>
      </c>
      <c r="E127" s="3116">
        <v>0.1</v>
      </c>
      <c r="F127" s="3116">
        <v>15</v>
      </c>
    </row>
    <row r="128" spans="1:6" ht="13.5">
      <c r="A128" s="3116">
        <v>56</v>
      </c>
      <c r="B128" s="3866"/>
      <c r="C128" s="3116" t="s">
        <v>2775</v>
      </c>
      <c r="D128" s="3090" t="s">
        <v>2776</v>
      </c>
      <c r="E128" s="3116">
        <v>0.1</v>
      </c>
      <c r="F128" s="3116">
        <v>15</v>
      </c>
    </row>
    <row r="129" spans="1:6" ht="24">
      <c r="A129" s="3116">
        <v>57</v>
      </c>
      <c r="B129" s="3866"/>
      <c r="C129" s="3116" t="s">
        <v>2777</v>
      </c>
      <c r="D129" s="3090" t="s">
        <v>2778</v>
      </c>
      <c r="E129" s="3116">
        <v>0.1</v>
      </c>
      <c r="F129" s="3116">
        <v>15</v>
      </c>
    </row>
    <row r="130" spans="1:6" ht="24">
      <c r="A130" s="3116">
        <v>58</v>
      </c>
      <c r="B130" s="3866" t="s">
        <v>2779</v>
      </c>
      <c r="C130" s="3116" t="s">
        <v>2780</v>
      </c>
      <c r="D130" s="3090" t="s">
        <v>2781</v>
      </c>
      <c r="E130" s="3116">
        <v>0.1</v>
      </c>
      <c r="F130" s="3116">
        <v>15</v>
      </c>
    </row>
    <row r="131" spans="1:6" ht="13.5">
      <c r="A131" s="3116">
        <v>59</v>
      </c>
      <c r="B131" s="3866"/>
      <c r="C131" s="3116" t="s">
        <v>2782</v>
      </c>
      <c r="D131" s="3090" t="s">
        <v>2783</v>
      </c>
      <c r="E131" s="3116">
        <v>0.1</v>
      </c>
      <c r="F131" s="3116">
        <v>15</v>
      </c>
    </row>
    <row r="132" spans="1:6" ht="13.5">
      <c r="A132" s="3116">
        <v>60</v>
      </c>
      <c r="B132" s="3867" t="s">
        <v>2784</v>
      </c>
      <c r="C132" s="3116" t="s">
        <v>2785</v>
      </c>
      <c r="D132" s="3090" t="s">
        <v>2786</v>
      </c>
      <c r="E132" s="3116">
        <v>0.1</v>
      </c>
      <c r="F132" s="3116">
        <v>15</v>
      </c>
    </row>
    <row r="133" spans="1:6" ht="13.5">
      <c r="A133" s="3116">
        <v>61</v>
      </c>
      <c r="B133" s="38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66" t="s">
        <v>2792</v>
      </c>
      <c r="C135" s="3116" t="s">
        <v>2793</v>
      </c>
      <c r="D135" s="3090" t="s">
        <v>2794</v>
      </c>
      <c r="E135" s="3116">
        <v>0.1</v>
      </c>
      <c r="F135" s="3116">
        <v>15</v>
      </c>
    </row>
    <row r="136" spans="1:6" ht="13.5">
      <c r="A136" s="3116">
        <v>64</v>
      </c>
      <c r="B136" s="38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70F3-9AE7-44A5-95FE-A0117FA27F57}">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16655.52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20" t="s">
        <v>3</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Ⅴ-通1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1.5418000000000001</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8" t="s">
        <v>2486</v>
      </c>
      <c r="F3" s="2002" t="s">
        <v>3392</v>
      </c>
      <c r="G3" s="750">
        <f>IF(F3="宗地容积率",'数据-汇总表'!I4,IF(F3="估价对象容积率",'数据-汇总表'!I6,'数据-汇总表'!I7))</f>
        <v>1</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1.1883999999999999</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854"/>
      <c r="B4" s="3855"/>
      <c r="C4" s="3855"/>
      <c r="D4" s="3856"/>
      <c r="E4" s="3856"/>
      <c r="F4" s="3856"/>
      <c r="G4" s="3856"/>
      <c r="H4" s="3856"/>
      <c r="I4" s="3856"/>
      <c r="J4" s="38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0.96940000000000004</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0</v>
      </c>
      <c r="D5" s="1337">
        <f>ROUND(C6*C17+C20,0)</f>
        <v>0</v>
      </c>
      <c r="E5" s="1337"/>
      <c r="F5" s="2005"/>
      <c r="G5" s="2006"/>
      <c r="H5" s="2006"/>
      <c r="I5" s="2006"/>
      <c r="J5" s="2007"/>
      <c r="K5" s="2008"/>
      <c r="L5" s="2001" t="s">
        <v>1948</v>
      </c>
      <c r="M5" s="862">
        <f>SUMPRODUCT((区片价!B87:B126=I2)*(区片价!C3:G3=E2)*(区片价!C87:G126))</f>
        <v>2880</v>
      </c>
      <c r="N5" s="864">
        <f>SUMPRODUCT((因素修正幅度!B87:B126=I2)*(因素修正幅度!C3:G3=E2)*(因素修正幅度!C87:G126))</f>
        <v>0.1</v>
      </c>
      <c r="O5" s="1117"/>
      <c r="P5" s="1117"/>
      <c r="Q5" s="1117"/>
      <c r="R5" s="1210">
        <v>4</v>
      </c>
      <c r="S5" s="3359">
        <f>ROUND(SUMPRODUCT((B106:B110=R5)*(C105:N105=G2)*(C106:N110)),4)</f>
        <v>0.82299999999999995</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0.74980000000000002</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3507"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3511" t="s">
        <v>1955</v>
      </c>
      <c r="X7" s="1212" t="str">
        <f>G2</f>
        <v>十级</v>
      </c>
      <c r="Y7" s="1212" t="s">
        <v>1956</v>
      </c>
      <c r="Z7" s="1213">
        <f>G3</f>
        <v>1</v>
      </c>
      <c r="AA7" s="1214"/>
      <c r="AB7" s="1214"/>
      <c r="AC7" s="1215"/>
      <c r="AD7" s="1216"/>
      <c r="AE7" s="1216"/>
      <c r="AF7" s="1216"/>
      <c r="AG7" s="1216"/>
      <c r="AH7" s="1216"/>
      <c r="AI7" s="1216"/>
      <c r="AJ7" s="1217"/>
    </row>
    <row r="8" spans="1:36" ht="15">
      <c r="A8" s="3297"/>
      <c r="B8" s="169"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851" t="s">
        <v>1960</v>
      </c>
      <c r="X8" s="38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853"/>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8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3505" t="s">
        <v>1985</v>
      </c>
      <c r="C14" s="2039" t="s">
        <v>1986</v>
      </c>
      <c r="D14" s="1348" t="s">
        <v>1987</v>
      </c>
      <c r="E14" s="26"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3506"/>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504"/>
      <c r="C18" s="3326"/>
      <c r="D18" s="3321" t="s">
        <v>3253</v>
      </c>
      <c r="E18" s="3327"/>
      <c r="F18" s="3322" t="s">
        <v>3256</v>
      </c>
      <c r="G18" s="3326">
        <f>ROUND(1-(1/(POWER(1+G24,E18))),4)</f>
        <v>0</v>
      </c>
      <c r="H18" s="3322" t="s">
        <v>3258</v>
      </c>
      <c r="I18" s="3326">
        <f>ROUND(1-(1/(POWER(1+G24,J24))),4)</f>
        <v>0.91279999999999994</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858" t="s">
        <v>3259</v>
      </c>
      <c r="B20" s="166" t="s">
        <v>1994</v>
      </c>
      <c r="C20" s="3323">
        <f>ROUND(IF(F21="与级别开发程度一致",0,(G21-E21)/C21),0)</f>
        <v>0</v>
      </c>
      <c r="D20" s="3339" t="s">
        <v>1998</v>
      </c>
      <c r="E20" s="3340"/>
      <c r="F20" s="3864" t="s">
        <v>1995</v>
      </c>
      <c r="G20" s="3865"/>
      <c r="H20" s="3324" t="s">
        <v>3385</v>
      </c>
      <c r="I20" s="3324" t="s">
        <v>3386</v>
      </c>
      <c r="J20" s="3325" t="s">
        <v>3387</v>
      </c>
      <c r="K20" s="2045" t="s">
        <v>3388</v>
      </c>
      <c r="L20" s="2045" t="s">
        <v>3389</v>
      </c>
      <c r="M20" s="2045" t="s">
        <v>3390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859"/>
      <c r="B21" s="2162" t="s">
        <v>1997</v>
      </c>
      <c r="C21" s="2163">
        <f>IF(E3="M4科研用地",SUMPRODUCT((修正!A2:A7=E3)*(修正!B1:M1=G2)*(修正!B2:M7)),SUMPRODUCT((修正!A2:A7=E2)*(修正!B1:M1=G2)*(修正!B2:M7)))</f>
        <v>1</v>
      </c>
      <c r="D21" s="186" t="str">
        <f>IF(OR(G2="八级",G2="九级",G2="十级",G2="十一级",G2="十二级"),"五通一平","七通一平")</f>
        <v>五通一平</v>
      </c>
      <c r="E21" s="2153">
        <f>SUMPRODUCT((修正!B1:M1=G2)*(修正!B17:M17))</f>
        <v>185</v>
      </c>
      <c r="F21" s="2154" t="s">
        <v>3384</v>
      </c>
      <c r="G21" s="2155">
        <f>SUM(H21:O21)</f>
        <v>185</v>
      </c>
      <c r="H21" s="2163">
        <f>SUMPRODUCT((七通一平=H20)*(修正!B1:M1=G2)*(修正!B8:M16))</f>
        <v>20</v>
      </c>
      <c r="I21" s="2163">
        <f>SUMPRODUCT((七通一平=I20)*(修正!B1:M1=G2)*(修正!B8:M16))</f>
        <v>35</v>
      </c>
      <c r="J21" s="2164">
        <f>SUMPRODUCT((七通一平=J20)*(修正!B1:M1=G2)*(修正!B8:M16))</f>
        <v>60</v>
      </c>
      <c r="K21" s="2163">
        <f>SUMPRODUCT((七通一平=K20)*(修正!B1:M1=G2)*(修正!B8:M16))</f>
        <v>50</v>
      </c>
      <c r="L21" s="2163">
        <f>SUMPRODUCT((七通一平=L20)*(修正!B1:M1=G2)*(修正!B8:M16))</f>
        <v>10</v>
      </c>
      <c r="M21" s="2163">
        <f>SUMPRODUCT((七通一平=M20)*(修正!B1:M1=G2)*(修正!B8:M16))</f>
        <v>10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1.5</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2" t="s">
        <v>2002</v>
      </c>
      <c r="E23" s="759">
        <v>44197</v>
      </c>
      <c r="F23" s="2052" t="s">
        <v>2003</v>
      </c>
      <c r="G23" s="760">
        <f>'数据-取费表'!B2</f>
        <v>45062</v>
      </c>
      <c r="H23" s="3341" t="s">
        <v>3260</v>
      </c>
      <c r="I23" s="3342" t="str">
        <f>IF(H23="季度增幅（自定义）",SUMIF(N25:N28,E2,O25:O28),"")</f>
        <v/>
      </c>
      <c r="J23" s="3444" t="s">
        <v>3531</v>
      </c>
      <c r="K23" s="1123"/>
      <c r="L23" s="2053" t="s">
        <v>2004</v>
      </c>
      <c r="M23" s="1326">
        <f>ROUND(SUMIF(地价!B2:G2,E2,地价!B16:G16),0)</f>
        <v>318</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1</v>
      </c>
      <c r="D24" s="2058" t="s">
        <v>2007</v>
      </c>
      <c r="E24" s="1333">
        <f>存贷款利率!E22/100</f>
        <v>4.3499999999999997E-2</v>
      </c>
      <c r="F24" s="2058" t="s">
        <v>1999</v>
      </c>
      <c r="G24" s="766">
        <f>SUMIF(M30:Q30,E2,M33:Q33)</f>
        <v>0.05</v>
      </c>
      <c r="H24" s="2058" t="s">
        <v>2008</v>
      </c>
      <c r="I24" s="767">
        <f>SUMIF('数据-取费表'!C6:C15,E2,'数据-取费表'!F6:F15)/COUNTIF('数据-取费表'!C6:C15,E2)</f>
        <v>50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350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3508">
        <f>IF(E26=G26,F26,IF(G3&lt;10,ROUND(F26+(H26-F26)*(G3-E26)/(G26-E26),4),"——"))</f>
        <v>1</v>
      </c>
      <c r="E26" s="750">
        <f>ROUNDDOWN(G3,1)</f>
        <v>1</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1</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0</v>
      </c>
      <c r="D33" s="2096">
        <f>'数据-基础表'!B3</f>
        <v>8327.76</v>
      </c>
      <c r="E33" s="771">
        <f>ROUND(C33*D33/10000,0)</f>
        <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0</v>
      </c>
      <c r="D34" s="2101">
        <f>D33</f>
        <v>8327.76</v>
      </c>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3269</v>
      </c>
      <c r="L36" s="3445">
        <f ca="1">'数据-取费表'!B40</f>
        <v>4.3499999999999997E-2</v>
      </c>
      <c r="M36" s="3356">
        <f ca="1">ROUND($L$36*(1+M31),3)</f>
        <v>5.3999999999999999E-2</v>
      </c>
      <c r="N36" s="3356">
        <f ca="1">ROUND($L$36*(1+N31),3)</f>
        <v>5.1999999999999998E-2</v>
      </c>
      <c r="O36" s="3356">
        <f ca="1">ROUND($L$36*(1+O31),3)</f>
        <v>0.05</v>
      </c>
      <c r="P36" s="3356">
        <f ca="1">ROUND($L$36*(1+P31),3)</f>
        <v>4.8000000000000001E-2</v>
      </c>
      <c r="Q36" s="3356">
        <f ca="1">ROUND($L$36*(1+Q31),3)</f>
        <v>0.05</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62"/>
      <c r="B37" s="2111" t="s">
        <v>2036</v>
      </c>
      <c r="C37" s="174">
        <f>ROUND(D5*C22*C23*C24*C28*F37,0)</f>
        <v>0</v>
      </c>
      <c r="D37" s="2096"/>
      <c r="E37" s="170">
        <f>ROUND(C37*D37/10000,0)</f>
        <v>0</v>
      </c>
      <c r="F37" s="170">
        <f>SUMIF(修正!A57:A68,G2,修正!B57:B68)</f>
        <v>0.5</v>
      </c>
      <c r="G37" s="170">
        <f>ROUND(IF(E2="工业",C37*$M$42,C37*$M$41),0)</f>
        <v>0</v>
      </c>
      <c r="H37" s="170">
        <f>D37</f>
        <v>0</v>
      </c>
      <c r="I37" s="170">
        <f>ROUND(G37*H37/10000,0)</f>
        <v>0</v>
      </c>
      <c r="J37" s="3010"/>
      <c r="K37" s="3357" t="s">
        <v>3270</v>
      </c>
      <c r="L37" s="3355">
        <f ca="1">L36+K38</f>
        <v>4.8499999999999995E-2</v>
      </c>
      <c r="M37" s="3356">
        <f ca="1">ROUND($L$37*(1+M31),3)</f>
        <v>6.0999999999999999E-2</v>
      </c>
      <c r="N37" s="3356">
        <f t="shared" ref="N37:Q37" ca="1" si="3">ROUND($L$37*(1+N31),3)</f>
        <v>5.8000000000000003E-2</v>
      </c>
      <c r="O37" s="3356">
        <f t="shared" ca="1" si="3"/>
        <v>5.6000000000000001E-2</v>
      </c>
      <c r="P37" s="3356">
        <f t="shared" ca="1" si="3"/>
        <v>5.2999999999999999E-2</v>
      </c>
      <c r="Q37" s="3356">
        <f t="shared" ca="1" si="3"/>
        <v>5.6000000000000001E-2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63"/>
      <c r="B38" s="2039" t="s">
        <v>2037</v>
      </c>
      <c r="C38" s="174">
        <f>ROUND(D5*C22*C23*C24*C28*F38,0)</f>
        <v>0</v>
      </c>
      <c r="D38" s="2096"/>
      <c r="E38" s="170">
        <f t="shared" ref="E38:E42" si="4">ROUND(C38*D38/10000,0)</f>
        <v>0</v>
      </c>
      <c r="F38" s="170">
        <f>SUMIF(修正!A57:A68,G2,修正!C57:C68)</f>
        <v>0.2</v>
      </c>
      <c r="G38" s="170">
        <f>ROUND(IF(E2="工业",C38*$M$42,C38*$M$41),0)</f>
        <v>0</v>
      </c>
      <c r="H38" s="170">
        <f t="shared" ref="H38:H42" si="5">D38</f>
        <v>0</v>
      </c>
      <c r="I38" s="170">
        <f t="shared" ref="I38:I42" si="6">ROUND(G38*H38/10000,0)</f>
        <v>0</v>
      </c>
      <c r="J38" s="3514"/>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863"/>
      <c r="B39" s="2039" t="s">
        <v>3263</v>
      </c>
      <c r="C39" s="174">
        <f>ROUND(D5*C22*C23*C24*C28*F39,0)</f>
        <v>0</v>
      </c>
      <c r="D39" s="2096"/>
      <c r="E39" s="170">
        <f t="shared" si="4"/>
        <v>0</v>
      </c>
      <c r="F39" s="170">
        <f>SUMIF(修正!A57:A68,G2,修正!D57:D68)</f>
        <v>0.2</v>
      </c>
      <c r="G39" s="170">
        <f>ROUND(IF(E2="工业",C39*$M$42,C39*$M$41),0)</f>
        <v>0</v>
      </c>
      <c r="H39" s="170">
        <f t="shared" si="5"/>
        <v>0</v>
      </c>
      <c r="I39" s="170">
        <f t="shared" si="6"/>
        <v>0</v>
      </c>
      <c r="J39" s="351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0</v>
      </c>
      <c r="D40" s="2096"/>
      <c r="E40" s="170">
        <f t="shared" si="4"/>
        <v>0</v>
      </c>
      <c r="F40" s="174">
        <f>SUMIF(修正!A57:A68,G2,修正!E57:E68)</f>
        <v>0.2</v>
      </c>
      <c r="G40" s="170">
        <f>ROUND(IF(E2="工业",C40*$M$42,C40*$M$41),0)</f>
        <v>0</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0</v>
      </c>
      <c r="D41" s="2096"/>
      <c r="E41" s="170">
        <f t="shared" si="4"/>
        <v>0</v>
      </c>
      <c r="F41" s="174">
        <f>SUMIF(修正!A57:A68,G2,修正!F57:F68)</f>
        <v>0.2</v>
      </c>
      <c r="G41" s="170">
        <f>ROUND(IF(E2="工业",C41*$M$42,C41*$M$41),0)</f>
        <v>0</v>
      </c>
      <c r="H41" s="170">
        <f t="shared" si="5"/>
        <v>0</v>
      </c>
      <c r="I41" s="170">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0</v>
      </c>
      <c r="D42" s="2101"/>
      <c r="E42" s="186">
        <f t="shared" si="4"/>
        <v>0</v>
      </c>
      <c r="F42" s="765">
        <f>SUMIF(修正!A57:A68,G2,修正!G57:G68)</f>
        <v>0.1</v>
      </c>
      <c r="G42" s="186">
        <f>ROUND(IF(E2="工业",C42*$M$42,C42*$M$41),0)</f>
        <v>0</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v>
      </c>
      <c r="D44" s="170" t="s">
        <v>1999</v>
      </c>
      <c r="E44" s="2151">
        <f>G24</f>
        <v>0.05</v>
      </c>
      <c r="F44" s="170" t="s">
        <v>2008</v>
      </c>
      <c r="G44" s="182"/>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f>IF(E2="工业",SUMIF(L1:L12,G2,N1:N12),"——")</f>
        <v>0</v>
      </c>
      <c r="G83" s="1061"/>
      <c r="H83" s="1064">
        <f t="shared" ref="H83:H90" si="23">IFERROR(ROUNDDOWN($F$83*I83/2,4),"——")</f>
        <v>0</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f t="shared" si="23"/>
        <v>0</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f t="shared" si="23"/>
        <v>0</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f t="shared" si="23"/>
        <v>0</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f t="shared" si="23"/>
        <v>0</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f t="shared" si="23"/>
        <v>0</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f t="shared" si="23"/>
        <v>0</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f t="shared" si="23"/>
        <v>0</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2044</v>
      </c>
      <c r="B92" s="3364"/>
      <c r="C92" s="3364" t="s">
        <v>2046</v>
      </c>
      <c r="D92" s="3364" t="s">
        <v>2047</v>
      </c>
      <c r="E92" s="3346" t="s">
        <v>2048</v>
      </c>
      <c r="F92" s="3379" t="s">
        <v>3287</v>
      </c>
      <c r="G92" s="3364" t="s">
        <v>1989</v>
      </c>
      <c r="H92" s="3386" t="s">
        <v>3291</v>
      </c>
      <c r="I92" s="3364" t="s">
        <v>2051</v>
      </c>
      <c r="J92" s="3387" t="s">
        <v>1721</v>
      </c>
      <c r="K92" s="3387" t="s">
        <v>1722</v>
      </c>
      <c r="L92" s="3387" t="s">
        <v>1723</v>
      </c>
      <c r="M92" s="3387" t="s">
        <v>1724</v>
      </c>
      <c r="N92" s="3387" t="s">
        <v>1725</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2053</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2054</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2056</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2057</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2059</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2060</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2061</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60" t="s">
        <v>3298</v>
      </c>
      <c r="B103" s="3860"/>
      <c r="C103" s="3860"/>
      <c r="D103" s="3860"/>
      <c r="E103" s="3860"/>
      <c r="F103" s="3860"/>
      <c r="G103" s="3860"/>
      <c r="H103" s="3860"/>
      <c r="I103" s="3860"/>
      <c r="J103" s="3860"/>
      <c r="K103" s="3512"/>
      <c r="L103" s="3512"/>
      <c r="M103" s="3512"/>
      <c r="N103" s="3512"/>
    </row>
    <row r="104" spans="1:14">
      <c r="A104" s="3861" t="s">
        <v>3299</v>
      </c>
      <c r="B104" s="3861" t="s">
        <v>3300</v>
      </c>
      <c r="C104" s="3389" t="s">
        <v>3301</v>
      </c>
      <c r="D104" s="3390"/>
      <c r="E104" s="3390"/>
      <c r="F104" s="3390"/>
      <c r="G104" s="3390"/>
      <c r="H104" s="3390"/>
      <c r="I104" s="3390"/>
      <c r="J104" s="3391"/>
      <c r="K104" s="3392"/>
      <c r="L104" s="3392"/>
      <c r="M104" s="3392"/>
      <c r="N104" s="3392"/>
    </row>
    <row r="105" spans="1:14">
      <c r="A105" s="3861"/>
      <c r="B105" s="3861"/>
      <c r="C105" s="3513" t="s">
        <v>1961</v>
      </c>
      <c r="D105" s="3513" t="s">
        <v>1962</v>
      </c>
      <c r="E105" s="3513" t="s">
        <v>1963</v>
      </c>
      <c r="F105" s="3513" t="s">
        <v>1964</v>
      </c>
      <c r="G105" s="3513" t="s">
        <v>1965</v>
      </c>
      <c r="H105" s="3513" t="s">
        <v>1966</v>
      </c>
      <c r="I105" s="3513" t="s">
        <v>1967</v>
      </c>
      <c r="J105" s="3513" t="s">
        <v>1968</v>
      </c>
      <c r="K105" s="3513" t="s">
        <v>1969</v>
      </c>
      <c r="L105" s="3513" t="s">
        <v>1970</v>
      </c>
      <c r="M105" s="3513" t="s">
        <v>1971</v>
      </c>
      <c r="N105" s="3513" t="s">
        <v>1972</v>
      </c>
    </row>
    <row r="106" spans="1:14">
      <c r="A106" s="3847" t="s">
        <v>3314</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848"/>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848"/>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848"/>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848"/>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848"/>
      <c r="B111" s="351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49"/>
      <c r="B112" s="351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50" t="s">
        <v>3315</v>
      </c>
      <c r="B113" s="3850"/>
      <c r="C113" s="3850"/>
      <c r="D113" s="3850"/>
      <c r="E113" s="3850"/>
      <c r="F113" s="3850"/>
      <c r="G113" s="3850"/>
      <c r="H113" s="3850"/>
      <c r="I113" s="3850"/>
      <c r="J113" s="3850"/>
      <c r="K113" s="3510"/>
      <c r="L113" s="3510"/>
      <c r="M113" s="3510"/>
      <c r="N113" s="3510"/>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v>
      </c>
      <c r="C116" s="3398" t="s">
        <v>3317</v>
      </c>
      <c r="D116" s="3399">
        <f>SUMPRODUCT((A118:A122=F116)*(B117:M117=H116)*B118:M122)</f>
        <v>0.57150000000000001</v>
      </c>
      <c r="E116" s="1998" t="s">
        <v>1936</v>
      </c>
      <c r="F116" s="3400" t="str">
        <f>E2</f>
        <v>工业</v>
      </c>
      <c r="G116" s="1998" t="s">
        <v>1937</v>
      </c>
      <c r="H116" s="3400" t="str">
        <f>G2</f>
        <v>十级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1990</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1991</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1992</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1993</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3586AC28-0DDC-4118-9F21-C2820BF70DC1}">
      <formula1>"不用分区数据,中心城区,中心城区以外"</formula1>
    </dataValidation>
    <dataValidation type="list" allowBlank="1" showInputMessage="1" showErrorMessage="1" sqref="H20:O20" xr:uid="{DC5D0B3D-CFAE-4790-863C-F3BF7D20C133}">
      <formula1>七通一平</formula1>
    </dataValidation>
    <dataValidation type="list" allowBlank="1" showInputMessage="1" showErrorMessage="1" sqref="H23" xr:uid="{83F6B5D3-99C5-4E93-80CB-9E2DE32F99C7}">
      <formula1>"地价指数,季度增幅（自定义）,按公示增长率计算"</formula1>
    </dataValidation>
    <dataValidation type="list" allowBlank="1" showInputMessage="1" showErrorMessage="1" sqref="C61:C69 C72:C80 C50:C58 C83:C91 C93:C101" xr:uid="{0D31C6C4-521B-4F4A-AB31-8883B2A86FEE}">
      <formula1>五等判定</formula1>
    </dataValidation>
    <dataValidation type="list" allowBlank="1" showInputMessage="1" showErrorMessage="1" sqref="E3" xr:uid="{476AE1D2-6291-4439-B30D-52F8F29CCBDD}">
      <formula1>二级分类</formula1>
    </dataValidation>
    <dataValidation type="list" allowBlank="1" showInputMessage="1" showErrorMessage="1" sqref="C8" xr:uid="{881DB830-AE0C-4913-946C-E1AB0111D787}">
      <formula1>商业街名称</formula1>
    </dataValidation>
    <dataValidation type="list" allowBlank="1" showInputMessage="1" showErrorMessage="1" sqref="F3" xr:uid="{7B674F69-1298-4AE7-9E30-2CDE9C2880ED}">
      <formula1>"宗地容积率,估价对象容积率,自定义容积率"</formula1>
    </dataValidation>
    <dataValidation type="list" allowBlank="1" showInputMessage="1" showErrorMessage="1" sqref="E2" xr:uid="{62BA7B0E-DD02-4CA1-BA91-3D979EABB20C}">
      <formula1>"商业,办公,住宅,工业,公共服务"</formula1>
    </dataValidation>
    <dataValidation type="list" allowBlank="1" showInputMessage="1" showErrorMessage="1" sqref="F21" xr:uid="{9776EB6E-794D-4869-A3EA-ABBBA4C70449}">
      <formula1>"与级别开发程度一致,与级别开发程度不一致"</formula1>
    </dataValidation>
    <dataValidation type="list" allowBlank="1" showInputMessage="1" showErrorMessage="1" sqref="B25" xr:uid="{673CEE2C-9C28-45D1-A09D-8C4EB39BF68A}">
      <formula1>"容积率修正,楼层修正"</formula1>
    </dataValidation>
    <dataValidation type="list" allowBlank="1" showInputMessage="1" showErrorMessage="1" sqref="C15:D15" xr:uid="{871F0647-BF12-4CAB-8ABC-43FE858628B4}">
      <formula1>"有,无"</formula1>
    </dataValidation>
    <dataValidation type="list" allowBlank="1" showInputMessage="1" showErrorMessage="1" sqref="E15" xr:uid="{B6BE24F7-42B2-4B0D-AE9B-CA6A7391262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activeCell="M21" sqref="M21"/>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SUMPRODUCT((A95:A184=ROUNDDOWN('基准地价修正（科研）'!G3,1))*(B94:M94='基准地价修正（科研）'!G2)*(B95:M184))</f>
        <v>1.2302</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SUMPRODUCT((A371:A460=ROUNDDOWN('基准地价修正（科研）'!G3,1))*(B370:M370='基准地价修正（科研）'!G2)*(B371:M460))</f>
        <v>1.1198999999999999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spans="1:5" ht="18">
      <c r="A3" s="3542" t="str">
        <f>IF(项目基本情况!B9="房地产市场价值","估价结果一览表（市场价值不需“结果表-1”）","估价结果一览表")</f>
        <v>估价结果一览表（市场价值不需“结果表-1”）</v>
      </c>
      <c r="B3" s="3542"/>
      <c r="C3" s="3542"/>
      <c r="D3" s="3542"/>
      <c r="E3" s="3542"/>
    </row>
    <row r="4" spans="1:5" ht="19.5" thickBot="1">
      <c r="A4" s="1491"/>
      <c r="B4" s="3540" t="s">
        <v>917</v>
      </c>
      <c r="C4" s="3540"/>
      <c r="D4" s="3540"/>
      <c r="E4" s="1491"/>
    </row>
    <row r="5" spans="1:5" ht="16.5" thickTop="1">
      <c r="A5" s="1489"/>
      <c r="B5" s="3538" t="s">
        <v>909</v>
      </c>
      <c r="C5" s="1492" t="s">
        <v>910</v>
      </c>
      <c r="D5" s="848" t="e">
        <f ca="1">结果表!H101</f>
        <v>#REF!</v>
      </c>
      <c r="E5" s="1489"/>
    </row>
    <row r="6" spans="1:5" ht="15.75">
      <c r="A6" s="1489"/>
      <c r="B6" s="3538"/>
      <c r="C6" s="1492" t="s">
        <v>911</v>
      </c>
      <c r="D6" s="848" t="e">
        <f ca="1">NUMBERSTRING(INT(D5*10000),2)&amp;"元整"</f>
        <v>#REF!</v>
      </c>
      <c r="E6" s="1489"/>
    </row>
    <row r="7" spans="1:5" ht="15.75">
      <c r="A7" s="1489"/>
      <c r="B7" s="3543"/>
      <c r="C7" s="1493" t="s">
        <v>912</v>
      </c>
      <c r="D7" s="849" t="e">
        <f ca="1">结果表!H102</f>
        <v>#REF!</v>
      </c>
      <c r="E7" s="1489"/>
    </row>
    <row r="8" spans="1:5" ht="15.75">
      <c r="A8" s="1489"/>
      <c r="B8" s="3544" t="str">
        <f>结果表!E103</f>
        <v>2.估价师知悉的法定优先受偿款</v>
      </c>
      <c r="C8" s="1494" t="s">
        <v>913</v>
      </c>
      <c r="D8" s="849">
        <f>结果表!H103</f>
        <v>0</v>
      </c>
      <c r="E8" s="1489"/>
    </row>
    <row r="9" spans="1:5" ht="15.75">
      <c r="A9" s="1489"/>
      <c r="B9" s="354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37" t="str">
        <f>结果表!E107</f>
        <v>3.房地产抵押价值</v>
      </c>
      <c r="C13" s="1497" t="s">
        <v>910</v>
      </c>
      <c r="D13" s="851" t="e">
        <f ca="1">结果表!H107</f>
        <v>#REF!</v>
      </c>
      <c r="E13" s="1489"/>
    </row>
    <row r="14" spans="1:5" ht="15.75">
      <c r="A14" s="1489"/>
      <c r="B14" s="3538"/>
      <c r="C14" s="1492" t="s">
        <v>911</v>
      </c>
      <c r="D14" s="848" t="e">
        <f ca="1">NUMBERSTRING(INT(D13*10000),2)&amp;"元整"</f>
        <v>#REF!</v>
      </c>
      <c r="E14" s="1489"/>
    </row>
    <row r="15" spans="1:5" ht="15">
      <c r="A15" s="1489"/>
      <c r="B15" s="3543"/>
      <c r="C15" s="1493" t="s">
        <v>921</v>
      </c>
      <c r="D15" s="857" t="e">
        <f ca="1">结果表!H108</f>
        <v>#REF!</v>
      </c>
      <c r="E15" s="1489"/>
    </row>
    <row r="16" spans="1:5" ht="15">
      <c r="A16" s="1489"/>
      <c r="B16" s="3544" t="str">
        <f>结果表!E109</f>
        <v>——</v>
      </c>
      <c r="C16" s="1497" t="s">
        <v>922</v>
      </c>
      <c r="D16" s="1498" t="str">
        <f>结果表!H109</f>
        <v>——</v>
      </c>
      <c r="E16" s="1489"/>
    </row>
    <row r="17" spans="1:5" ht="15.75">
      <c r="A17" s="1489"/>
      <c r="B17" s="3545"/>
      <c r="C17" s="1492" t="s">
        <v>923</v>
      </c>
      <c r="D17" s="848" t="e">
        <f>NUMBERSTRING(INT(D16*10000),2)&amp;"元整"</f>
        <v>#VALUE!</v>
      </c>
      <c r="E17" s="1489"/>
    </row>
    <row r="18" spans="1:5" ht="15">
      <c r="A18" s="1489"/>
      <c r="B18" s="3546"/>
      <c r="C18" s="1493" t="s">
        <v>912</v>
      </c>
      <c r="D18" s="857" t="str">
        <f>结果表!H110</f>
        <v>——</v>
      </c>
      <c r="E18" s="1489"/>
    </row>
    <row r="19" spans="1:5" ht="15.75">
      <c r="A19" s="1489"/>
      <c r="B19" s="3537" t="str">
        <f>结果表!E111</f>
        <v>——</v>
      </c>
      <c r="C19" s="1497" t="s">
        <v>910</v>
      </c>
      <c r="D19" s="849" t="str">
        <f>结果表!H111</f>
        <v>——</v>
      </c>
      <c r="E19" s="1489"/>
    </row>
    <row r="20" spans="1:5" ht="15.75">
      <c r="A20" s="1489"/>
      <c r="B20" s="3538"/>
      <c r="C20" s="1492" t="s">
        <v>923</v>
      </c>
      <c r="D20" s="848" t="e">
        <f>NUMBERSTRING(INT(D19*10000),2)&amp;"元整"</f>
        <v>#VALUE!</v>
      </c>
      <c r="E20" s="1489"/>
    </row>
    <row r="21" spans="1:5" ht="15.75" thickBot="1">
      <c r="A21" s="1489"/>
      <c r="B21" s="353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31890</v>
      </c>
      <c r="C2" s="2" t="s">
        <v>106</v>
      </c>
      <c r="D2" s="198"/>
      <c r="E2" s="198"/>
      <c r="F2" s="198"/>
      <c r="G2" s="198"/>
    </row>
    <row r="3" spans="1:7" s="199" customFormat="1" ht="18" customHeight="1" thickBot="1">
      <c r="A3" s="202" t="s">
        <v>58</v>
      </c>
      <c r="B3" s="203">
        <f ca="1">ROUND(B2*10000/'数据-汇总表'!E3,0)</f>
        <v>38294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167</v>
      </c>
      <c r="D10" s="843">
        <f>'数据-汇总表'!E6</f>
        <v>8327.76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167</v>
      </c>
      <c r="D19" s="847">
        <f>'数据-汇总表'!E3</f>
        <v>8327.76</v>
      </c>
      <c r="E19" s="210">
        <f>'数据-取费表'!B31</f>
        <v>200</v>
      </c>
      <c r="F19" s="230"/>
      <c r="G19" s="1" t="s">
        <v>436</v>
      </c>
    </row>
    <row r="20" spans="1:7" s="213" customFormat="1" ht="13.5" customHeight="1">
      <c r="A20" s="775" t="s">
        <v>419</v>
      </c>
      <c r="B20" s="209" t="s">
        <v>77</v>
      </c>
      <c r="C20" s="231">
        <f>ROUND((C5+C19)*F20,0)</f>
        <v>416</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911</v>
      </c>
      <c r="D22" s="234">
        <f ca="1">C26</f>
        <v>4.0000000000000002E-4</v>
      </c>
      <c r="E22" s="235" t="s">
        <v>99</v>
      </c>
      <c r="F22" s="236">
        <f ca="1">'数据-取费表'!B40</f>
        <v>4.3499999999999997E-2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897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5</v>
      </c>
      <c r="D24" s="237"/>
      <c r="E24" s="237"/>
      <c r="F24" s="238"/>
      <c r="G24" s="239" t="s">
        <v>82</v>
      </c>
    </row>
    <row r="25" spans="1:7" s="213" customFormat="1" ht="24">
      <c r="A25" s="778" t="s">
        <v>348</v>
      </c>
      <c r="B25" s="214" t="s">
        <v>420</v>
      </c>
      <c r="C25" s="1103">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4239</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4239</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28534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2952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2498</v>
      </c>
      <c r="D34" s="216"/>
      <c r="E34" s="219"/>
      <c r="F34" s="256">
        <f>IF('数据-取费表'!B24=0,1,'数据-取费表'!N16)</f>
        <v>1</v>
      </c>
      <c r="G34" s="218" t="s">
        <v>89</v>
      </c>
    </row>
    <row r="35" spans="1:7" ht="13.5" customHeight="1">
      <c r="A35" s="778" t="s">
        <v>351</v>
      </c>
      <c r="B35" s="214" t="s">
        <v>33</v>
      </c>
      <c r="C35" s="219">
        <f>ROUND(C34*F35,0)</f>
        <v>250</v>
      </c>
      <c r="D35" s="219"/>
      <c r="E35" s="219"/>
      <c r="F35" s="258">
        <f>'数据-取费表'!B33</f>
        <v>0.1</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167</v>
      </c>
      <c r="D37" s="216">
        <f>'数据-汇总表'!E3</f>
        <v>8327.76</v>
      </c>
      <c r="E37" s="248">
        <f>'数据-取费表'!B35</f>
        <v>200</v>
      </c>
      <c r="F37" s="258"/>
      <c r="G37" s="260" t="s">
        <v>92</v>
      </c>
    </row>
    <row r="38" spans="1:7" ht="13.5" customHeight="1">
      <c r="A38" s="778" t="s">
        <v>354</v>
      </c>
      <c r="B38" s="214" t="s">
        <v>36</v>
      </c>
      <c r="C38" s="219">
        <f>ROUND(C34*F38,0)</f>
        <v>37</v>
      </c>
      <c r="D38" s="219"/>
      <c r="E38" s="219"/>
      <c r="F38" s="258">
        <f>'数据-取费表'!B36</f>
        <v>1.4999999999999999E-2</v>
      </c>
      <c r="G38" s="218" t="s">
        <v>90</v>
      </c>
    </row>
    <row r="39" spans="1:7" s="213" customFormat="1" ht="13.5" customHeight="1">
      <c r="A39" s="775" t="s">
        <v>338</v>
      </c>
      <c r="B39" s="209" t="s">
        <v>77</v>
      </c>
      <c r="C39" s="231">
        <f>ROUND(C33*F20,0)</f>
        <v>59</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33</v>
      </c>
      <c r="D41" s="234">
        <f ca="1">C44</f>
        <v>2.0000000000000001E-4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32</v>
      </c>
      <c r="D42" s="237"/>
      <c r="E42" s="237"/>
      <c r="F42" s="238"/>
      <c r="G42" s="3719" t="s">
        <v>94</v>
      </c>
    </row>
    <row r="43" spans="1:7" ht="13.5" customHeight="1">
      <c r="A43" s="778" t="s">
        <v>347</v>
      </c>
      <c r="B43" s="214" t="s">
        <v>426</v>
      </c>
      <c r="C43" s="237">
        <f ca="1">ROUND(IF('数据-取费表'!B22&lt;=1,C39*F22*'数据-取费表'!B21/2,C39*(POWER((1+F22),'数据-取费表'!B21/2)-1)),0)</f>
        <v>1</v>
      </c>
      <c r="D43" s="237"/>
      <c r="E43" s="237"/>
      <c r="F43" s="238"/>
      <c r="G43" s="3720"/>
    </row>
    <row r="44" spans="1:7" ht="13.5" customHeight="1">
      <c r="A44" s="778" t="s">
        <v>348</v>
      </c>
      <c r="B44" s="214" t="s">
        <v>428</v>
      </c>
      <c r="C44" s="237">
        <f ca="1">ROUND(IF('数据-取费表'!B22&lt;=1,C40*F22*'数据-取费表'!B21/2,C40*(POWER((1+F22),'数据-取费表'!B21/2)-1)),4)</f>
        <v>2.0000000000000001E-4</v>
      </c>
      <c r="D44" s="237"/>
      <c r="E44" s="237"/>
      <c r="F44" s="238"/>
      <c r="G44" s="3721"/>
    </row>
    <row r="45" spans="1:7" s="213" customFormat="1" ht="13.5" customHeight="1">
      <c r="A45" s="775" t="s">
        <v>341</v>
      </c>
      <c r="B45" s="243" t="s">
        <v>85</v>
      </c>
      <c r="C45" s="244">
        <f>C46</f>
        <v>602</v>
      </c>
      <c r="D45" s="234">
        <f>C47</f>
        <v>4.0000000000000001E-3</v>
      </c>
      <c r="E45" s="235" t="s">
        <v>102</v>
      </c>
      <c r="F45" s="245"/>
      <c r="G45" s="246" t="s">
        <v>434</v>
      </c>
    </row>
    <row r="46" spans="1:7" s="213" customFormat="1" ht="13.5" customHeight="1">
      <c r="A46" s="778" t="s">
        <v>349</v>
      </c>
      <c r="B46" s="247" t="s">
        <v>427</v>
      </c>
      <c r="C46" s="248">
        <f>ROUND((C33+C39)*F27,0)</f>
        <v>602</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3948</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3356</v>
      </c>
      <c r="D51" s="231"/>
      <c r="E51" s="231"/>
      <c r="F51" s="263"/>
      <c r="G51" s="233" t="s">
        <v>37</v>
      </c>
    </row>
    <row r="52" spans="1:7" s="207" customFormat="1" ht="16.5" thickBot="1">
      <c r="A52" s="264" t="s">
        <v>38</v>
      </c>
      <c r="B52" s="265"/>
      <c r="C52" s="266">
        <f ca="1">C31+C51</f>
        <v>31890</v>
      </c>
      <c r="D52" s="265"/>
      <c r="E52" s="265"/>
      <c r="F52" s="265"/>
      <c r="G52" s="267"/>
    </row>
    <row r="55" spans="1:7" ht="15">
      <c r="B55" s="269" t="s">
        <v>39</v>
      </c>
      <c r="C55" s="270"/>
    </row>
    <row r="56" spans="1:7">
      <c r="B56" s="272" t="s">
        <v>40</v>
      </c>
      <c r="C56" s="273">
        <f ca="1">ROUND(C51/C52,3)</f>
        <v>0.105</v>
      </c>
    </row>
    <row r="57" spans="1:7">
      <c r="B57" s="272" t="s">
        <v>41</v>
      </c>
      <c r="C57" s="274">
        <f ca="1">1-C56</f>
        <v>0.89500000000000002</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21" sqref="M21"/>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80" t="s">
        <v>2844</v>
      </c>
      <c r="B1" s="3880"/>
      <c r="C1" s="3880"/>
      <c r="D1" s="3880"/>
      <c r="E1" s="3880"/>
      <c r="F1" s="3880"/>
      <c r="G1" s="3881"/>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78"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79"/>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82" t="s">
        <v>3186</v>
      </c>
      <c r="B1" s="3882"/>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883" t="s">
        <v>3237</v>
      </c>
      <c r="B1" s="3883"/>
      <c r="C1" s="3883"/>
      <c r="D1" s="3883"/>
      <c r="E1" s="3883"/>
      <c r="F1" s="3884"/>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M21" sqref="M21"/>
    </sheetView>
  </sheetViews>
  <sheetFormatPr defaultRowHeight="13.5"/>
  <cols>
    <col min="1" max="1" width="13.875" customWidth="1"/>
    <col min="11" max="17" width="0" hidden="1" customWidth="1"/>
    <col min="25" max="30" width="0" hidden="1" customWidth="1"/>
  </cols>
  <sheetData>
    <row r="1" spans="1:30">
      <c r="A1" s="3219">
        <f>'基准地价修正（科研）'!G23</f>
        <v>45062</v>
      </c>
      <c r="B1" s="3208" t="s">
        <v>2843</v>
      </c>
      <c r="C1" s="3209"/>
      <c r="D1" s="3209"/>
      <c r="E1" s="3209"/>
      <c r="F1" s="3209"/>
      <c r="G1" s="3209"/>
      <c r="H1" s="3209"/>
      <c r="I1" s="3209"/>
      <c r="J1" s="3163"/>
      <c r="K1" s="3209" t="s">
        <v>454</v>
      </c>
      <c r="L1" s="3209"/>
      <c r="M1" s="3209"/>
      <c r="N1" s="3209"/>
      <c r="O1" s="3209"/>
      <c r="P1" s="3209"/>
      <c r="Q1" s="3163"/>
      <c r="R1" s="3885" t="s">
        <v>456</v>
      </c>
      <c r="S1" s="3886"/>
      <c r="T1" s="3886"/>
      <c r="U1" s="3886"/>
      <c r="V1" s="3886"/>
      <c r="W1" s="3886"/>
      <c r="X1" s="3163"/>
      <c r="Y1" s="3885" t="s">
        <v>457</v>
      </c>
      <c r="Z1" s="3886"/>
      <c r="AA1" s="3886"/>
      <c r="AB1" s="3886"/>
      <c r="AC1" s="3886"/>
      <c r="AD1" s="38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85" t="s">
        <v>2831</v>
      </c>
      <c r="S21" s="3886"/>
      <c r="T21" s="3886"/>
      <c r="U21" s="3886"/>
      <c r="V21" s="3886"/>
      <c r="W21" s="3886"/>
      <c r="X21" s="3163"/>
      <c r="Y21" s="3885" t="s">
        <v>2832</v>
      </c>
      <c r="Z21" s="3886"/>
      <c r="AA21" s="3886"/>
      <c r="AB21" s="3886"/>
      <c r="AC21" s="3886"/>
      <c r="AD21" s="3886"/>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92" t="s">
        <v>452</v>
      </c>
      <c r="C1" s="3892"/>
      <c r="D1" s="3892"/>
      <c r="E1" s="3892"/>
      <c r="F1" s="3892"/>
      <c r="G1" s="3891" t="s">
        <v>453</v>
      </c>
      <c r="H1" s="3891"/>
      <c r="I1" s="3891"/>
      <c r="J1" s="3891"/>
      <c r="K1" s="3891"/>
      <c r="L1" s="3891"/>
      <c r="N1" s="3891" t="s">
        <v>454</v>
      </c>
      <c r="O1" s="3891"/>
      <c r="P1" s="3891"/>
      <c r="Q1" s="3891"/>
      <c r="S1" s="3891" t="s">
        <v>455</v>
      </c>
      <c r="T1" s="3891"/>
      <c r="U1" s="3891"/>
      <c r="V1" s="3891"/>
      <c r="X1" s="3890" t="s">
        <v>456</v>
      </c>
      <c r="Y1" s="3891"/>
      <c r="Z1" s="3891"/>
      <c r="AA1" s="3891"/>
      <c r="AB1" s="3891"/>
      <c r="AD1" s="3890" t="s">
        <v>457</v>
      </c>
      <c r="AE1" s="3891"/>
      <c r="AF1" s="3891"/>
      <c r="AG1" s="3891"/>
      <c r="AH1" s="38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M21" sqref="M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45062</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2313</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90" zoomScaleNormal="90" workbookViewId="0">
      <selection activeCell="D6" sqref="D6"/>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f>IF(D2="——",C40,C40+E2)</f>
        <v>9288</v>
      </c>
      <c r="C2" s="2842" t="s">
        <v>2319</v>
      </c>
      <c r="D2" s="3441" t="s">
        <v>3362</v>
      </c>
      <c r="E2" s="3442"/>
      <c r="F2" s="2844"/>
      <c r="G2" s="2845"/>
      <c r="H2" s="2846"/>
      <c r="I2" s="2847"/>
      <c r="J2" s="3904" t="s">
        <v>2320</v>
      </c>
      <c r="K2" s="3905"/>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f>ROUND(B2*10000/B4,0)</f>
        <v>11153</v>
      </c>
      <c r="C3" s="2842" t="s">
        <v>2329</v>
      </c>
      <c r="D3" s="2842"/>
      <c r="E3" s="2843"/>
      <c r="F3" s="2844"/>
      <c r="G3" s="2845"/>
      <c r="H3" s="2846"/>
      <c r="I3" s="2847"/>
      <c r="J3" s="3906" t="s">
        <v>2330</v>
      </c>
      <c r="K3" s="3907"/>
      <c r="L3" s="2854"/>
      <c r="M3" s="2854"/>
      <c r="N3" s="2854"/>
      <c r="O3" s="2854"/>
      <c r="P3" s="2854"/>
      <c r="Q3" s="2855"/>
      <c r="R3" s="2856">
        <f>SUM(L3:Q3)</f>
        <v>0</v>
      </c>
      <c r="S3" s="2839"/>
      <c r="T3" s="2839"/>
      <c r="U3" s="2839"/>
      <c r="V3" s="2847"/>
    </row>
    <row r="4" spans="1:22" s="2851" customFormat="1" ht="13.15" customHeight="1">
      <c r="A4" s="2857" t="s">
        <v>2331</v>
      </c>
      <c r="B4" s="2858">
        <f>'数据-基础表'!I13</f>
        <v>8327.76</v>
      </c>
      <c r="C4" s="2842"/>
      <c r="D4" s="2842"/>
      <c r="E4" s="2843"/>
      <c r="F4" s="2844"/>
      <c r="G4" s="2845"/>
      <c r="H4" s="2846"/>
      <c r="I4" s="2847"/>
      <c r="J4" s="3906" t="s">
        <v>2332</v>
      </c>
      <c r="K4" s="3907"/>
      <c r="L4" s="2859"/>
      <c r="M4" s="2859"/>
      <c r="N4" s="2859"/>
      <c r="O4" s="2859"/>
      <c r="P4" s="2859"/>
      <c r="Q4" s="2860"/>
      <c r="R4" s="2861">
        <f>SUM(L4:Q4)</f>
        <v>0</v>
      </c>
      <c r="S4" s="2839"/>
      <c r="T4" s="2839"/>
      <c r="U4" s="2839"/>
      <c r="V4" s="2847"/>
    </row>
    <row r="5" spans="1:22" s="2851" customFormat="1" ht="13.15" customHeight="1" thickBot="1">
      <c r="A5" s="2862" t="s">
        <v>2333</v>
      </c>
      <c r="B5" s="2863">
        <f>'数据-基础表'!A3</f>
        <v>53147.141000000003</v>
      </c>
      <c r="C5" s="2842"/>
      <c r="D5" s="2864"/>
      <c r="E5" s="2844"/>
      <c r="F5" s="2844"/>
      <c r="G5" s="2845"/>
      <c r="H5" s="2846"/>
      <c r="I5" s="2847"/>
      <c r="J5" s="2865" t="s">
        <v>2334</v>
      </c>
      <c r="K5" s="2866"/>
      <c r="L5" s="2866"/>
      <c r="M5" s="2867"/>
      <c r="N5" s="2867"/>
      <c r="O5" s="2867"/>
      <c r="P5" s="2867"/>
      <c r="Q5" s="2867"/>
      <c r="R5" s="2850">
        <f>SUM(R14,R19,R24,R25,R27,R28)</f>
        <v>1448</v>
      </c>
      <c r="S5" s="2839"/>
      <c r="T5" s="2839" t="s">
        <v>2335</v>
      </c>
      <c r="U5" s="2839" t="e">
        <f>ROUND(R5*10000/365/R3,1)</f>
        <v>#DIV/0!</v>
      </c>
      <c r="V5" s="2847"/>
    </row>
    <row r="6" spans="1:22" s="2851" customFormat="1" ht="13.15" customHeight="1" thickBot="1">
      <c r="A6" s="3912" t="s">
        <v>2336</v>
      </c>
      <c r="B6" s="3913"/>
      <c r="C6" s="3914"/>
      <c r="D6" s="2868">
        <f>R5</f>
        <v>1448</v>
      </c>
      <c r="E6" s="2869"/>
      <c r="F6" s="2870"/>
      <c r="G6" s="2871"/>
      <c r="H6" s="2846"/>
      <c r="I6" s="2847"/>
      <c r="J6" s="3898">
        <v>1</v>
      </c>
      <c r="K6" s="389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740</v>
      </c>
      <c r="E7" s="2878">
        <f>E9+E10+E11+E17</f>
        <v>0.51077348066298345</v>
      </c>
      <c r="F7" s="2879"/>
      <c r="G7" s="2880"/>
      <c r="H7" s="2846"/>
      <c r="I7" s="2847"/>
      <c r="J7" s="3898"/>
      <c r="K7" s="390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915" t="s">
        <v>2350</v>
      </c>
      <c r="C8" s="3916"/>
      <c r="D8" s="2887" t="s">
        <v>2351</v>
      </c>
      <c r="E8" s="2888" t="s">
        <v>2352</v>
      </c>
      <c r="F8" s="2889" t="s">
        <v>2353</v>
      </c>
      <c r="G8" s="2890"/>
      <c r="H8" s="2846"/>
      <c r="I8" s="2847"/>
      <c r="J8" s="3898"/>
      <c r="K8" s="390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915" t="s">
        <v>2356</v>
      </c>
      <c r="C9" s="3916"/>
      <c r="D9" s="2887">
        <f>ROUND(D6*E9,0)</f>
        <v>290</v>
      </c>
      <c r="E9" s="2891">
        <v>0.2</v>
      </c>
      <c r="F9" s="2892" t="s">
        <v>2357</v>
      </c>
      <c r="G9" s="2871"/>
      <c r="H9" s="2846"/>
      <c r="I9" s="2847"/>
      <c r="J9" s="3898"/>
      <c r="K9" s="3900"/>
      <c r="L9" s="2881" t="s">
        <v>2358</v>
      </c>
      <c r="M9" s="2882"/>
      <c r="N9" s="2858"/>
      <c r="O9" s="2883"/>
      <c r="P9" s="2883"/>
      <c r="Q9" s="2884">
        <v>365</v>
      </c>
      <c r="R9" s="2885">
        <f t="shared" si="0"/>
        <v>0</v>
      </c>
      <c r="S9" s="2839"/>
      <c r="T9" s="2839"/>
      <c r="U9" s="2839"/>
      <c r="V9" s="2847"/>
    </row>
    <row r="10" spans="1:22" s="2851" customFormat="1" ht="13.15" customHeight="1">
      <c r="A10" s="2886">
        <v>2</v>
      </c>
      <c r="B10" s="3915" t="s">
        <v>2359</v>
      </c>
      <c r="C10" s="3916"/>
      <c r="D10" s="2887">
        <f>ROUND(D6*E10,0)</f>
        <v>217</v>
      </c>
      <c r="E10" s="2891">
        <v>0.15</v>
      </c>
      <c r="F10" s="2892" t="s">
        <v>2360</v>
      </c>
      <c r="G10" s="2871"/>
      <c r="H10" s="2846"/>
      <c r="I10" s="2847"/>
      <c r="J10" s="3898"/>
      <c r="K10" s="3900"/>
      <c r="L10" s="2881" t="s">
        <v>2361</v>
      </c>
      <c r="M10" s="2882">
        <f>ROUND(B4*0.7/25,0)</f>
        <v>233</v>
      </c>
      <c r="N10" s="2858">
        <v>260</v>
      </c>
      <c r="O10" s="2883">
        <v>0.85</v>
      </c>
      <c r="P10" s="2883">
        <v>0.7</v>
      </c>
      <c r="Q10" s="2884">
        <v>365</v>
      </c>
      <c r="R10" s="2885">
        <f t="shared" si="0"/>
        <v>1316</v>
      </c>
      <c r="S10" s="2839"/>
      <c r="T10" s="2839"/>
      <c r="U10" s="2839"/>
      <c r="V10" s="2847"/>
    </row>
    <row r="11" spans="1:22" s="2851" customFormat="1" ht="13.15" customHeight="1">
      <c r="A11" s="2886">
        <v>3</v>
      </c>
      <c r="B11" s="3915" t="s">
        <v>2362</v>
      </c>
      <c r="C11" s="3916"/>
      <c r="D11" s="2887">
        <f>D12+D14+D15+D16</f>
        <v>88</v>
      </c>
      <c r="E11" s="2893">
        <f>D11/D6</f>
        <v>6.0773480662983423E-2</v>
      </c>
      <c r="F11" s="2889"/>
      <c r="G11" s="2890"/>
      <c r="H11" s="2846"/>
      <c r="I11" s="2847"/>
      <c r="J11" s="3898"/>
      <c r="K11" s="390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908" t="s">
        <v>2365</v>
      </c>
      <c r="C12" s="3909"/>
      <c r="D12" s="2895">
        <f>ROUND(D13*1.2%*(1-30%),0)</f>
        <v>0</v>
      </c>
      <c r="E12" s="2896">
        <v>1.2E-2</v>
      </c>
      <c r="F12" s="2889" t="s">
        <v>2366</v>
      </c>
      <c r="G12" s="2890"/>
      <c r="H12" s="2846"/>
      <c r="I12" s="2847"/>
      <c r="J12" s="3898"/>
      <c r="K12" s="390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898"/>
      <c r="K13" s="390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908" t="s">
        <v>2371</v>
      </c>
      <c r="C14" s="3909"/>
      <c r="D14" s="2895">
        <f>ROUND(E14*B5/10000,0)</f>
        <v>8</v>
      </c>
      <c r="E14" s="2884">
        <f>'数据-取费表'!B59</f>
        <v>1.5</v>
      </c>
      <c r="F14" s="2889" t="s">
        <v>2372</v>
      </c>
      <c r="G14" s="2890"/>
      <c r="H14" s="2846"/>
      <c r="I14" s="2847"/>
      <c r="J14" s="3898"/>
      <c r="K14" s="3901"/>
      <c r="L14" s="2901" t="s">
        <v>2373</v>
      </c>
      <c r="M14" s="2902">
        <f>SUM(M7:M13)</f>
        <v>233</v>
      </c>
      <c r="N14" s="2902">
        <f>ROUND((N7*M7+N8*M8+N9*M9+N10*M10+N11*M11+N12*M12+N13*M13)/M14,0)</f>
        <v>260</v>
      </c>
      <c r="O14" s="2903"/>
      <c r="P14" s="2903"/>
      <c r="Q14" s="2904"/>
      <c r="R14" s="2850">
        <f>SUM(R7:R13)</f>
        <v>1316</v>
      </c>
      <c r="S14" s="2839"/>
      <c r="T14" s="2839"/>
      <c r="U14" s="2839"/>
      <c r="V14" s="2847"/>
    </row>
    <row r="15" spans="1:22" s="2851" customFormat="1" ht="13.15" customHeight="1">
      <c r="A15" s="2894" t="s">
        <v>2374</v>
      </c>
      <c r="B15" s="3908" t="s">
        <v>2375</v>
      </c>
      <c r="C15" s="3909"/>
      <c r="D15" s="2895">
        <f>ROUND(D6*E15,0)</f>
        <v>80</v>
      </c>
      <c r="E15" s="2896">
        <v>5.5E-2</v>
      </c>
      <c r="F15" s="2889" t="s">
        <v>2376</v>
      </c>
      <c r="G15" s="2871"/>
      <c r="H15" s="2846"/>
      <c r="I15" s="2847"/>
      <c r="J15" s="3898">
        <v>2</v>
      </c>
      <c r="K15" s="389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908" t="s">
        <v>2384</v>
      </c>
      <c r="C16" s="3909"/>
      <c r="D16" s="2906">
        <f>D6*E16</f>
        <v>0</v>
      </c>
      <c r="E16" s="2907"/>
      <c r="F16" s="2892" t="s">
        <v>2385</v>
      </c>
      <c r="G16" s="2871"/>
      <c r="H16" s="2846"/>
      <c r="I16" s="2847"/>
      <c r="J16" s="3898"/>
      <c r="K16" s="390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910" t="s">
        <v>2387</v>
      </c>
      <c r="C17" s="3911"/>
      <c r="D17" s="2909">
        <f>ROUND(D6*E17,0)</f>
        <v>145</v>
      </c>
      <c r="E17" s="2910">
        <v>0.1</v>
      </c>
      <c r="F17" s="2911" t="s">
        <v>2388</v>
      </c>
      <c r="G17" s="2871"/>
      <c r="H17" s="2846"/>
      <c r="I17" s="2847"/>
      <c r="J17" s="3898"/>
      <c r="K17" s="390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72</v>
      </c>
      <c r="E18" s="2913">
        <v>0.05</v>
      </c>
      <c r="F18" s="2914" t="s">
        <v>2391</v>
      </c>
      <c r="G18" s="2871"/>
      <c r="H18" s="2846"/>
      <c r="I18" s="2847"/>
      <c r="J18" s="3898"/>
      <c r="K18" s="390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898"/>
      <c r="K19" s="390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98">
        <v>3</v>
      </c>
      <c r="K20" s="389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898"/>
      <c r="K21" s="390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898"/>
      <c r="K22" s="390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1448</v>
      </c>
      <c r="D23" s="2932">
        <f>C23*(1+D24)</f>
        <v>1448</v>
      </c>
      <c r="E23" s="2933">
        <f>D23*(1+E24)</f>
        <v>1448</v>
      </c>
      <c r="F23" s="2934"/>
      <c r="G23" s="2935"/>
      <c r="H23" s="2846"/>
      <c r="I23" s="2847"/>
      <c r="J23" s="3898"/>
      <c r="K23" s="390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898"/>
      <c r="K24" s="390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0.1</v>
      </c>
      <c r="R25" s="2917">
        <f>ROUND(R14*Q25,0)</f>
        <v>132</v>
      </c>
      <c r="S25" s="2839"/>
      <c r="T25" s="2839"/>
      <c r="U25" s="2839"/>
      <c r="V25" s="2947"/>
    </row>
    <row r="26" spans="1:22" s="2948" customFormat="1" ht="13.15" customHeight="1">
      <c r="A26" s="2929">
        <v>2</v>
      </c>
      <c r="B26" s="2930" t="s">
        <v>2414</v>
      </c>
      <c r="C26" s="2931">
        <f>D7</f>
        <v>740</v>
      </c>
      <c r="D26" s="2932">
        <f>D23*D27</f>
        <v>0</v>
      </c>
      <c r="E26" s="2933">
        <f>E23*E27</f>
        <v>0</v>
      </c>
      <c r="F26" s="2934"/>
      <c r="G26" s="2935"/>
      <c r="H26" s="2846"/>
      <c r="I26" s="2847"/>
      <c r="J26" s="390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f>E7</f>
        <v>0.51077348066298345</v>
      </c>
      <c r="D27" s="2939"/>
      <c r="E27" s="2940"/>
      <c r="F27" s="2941"/>
      <c r="G27" s="2935"/>
      <c r="H27" s="2956"/>
      <c r="I27" s="2947"/>
      <c r="J27" s="390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72.400000000000006</v>
      </c>
      <c r="D29" s="2932">
        <f>D23*C30</f>
        <v>72.400000000000006</v>
      </c>
      <c r="E29" s="2933">
        <f>E23*C30</f>
        <v>72.400000000000006</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0.05</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635.6</v>
      </c>
      <c r="D32" s="2932">
        <f>D23-D26-D29</f>
        <v>1375.6</v>
      </c>
      <c r="E32" s="2933">
        <f>E23-E26-E29</f>
        <v>1375.6</v>
      </c>
      <c r="F32" s="2934"/>
      <c r="G32" s="2928"/>
      <c r="H32" s="2846"/>
      <c r="I32" s="2847"/>
      <c r="J32" s="3904" t="s">
        <v>2320</v>
      </c>
      <c r="K32" s="3905"/>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906" t="s">
        <v>2330</v>
      </c>
      <c r="K33" s="3907"/>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v>5.5E-2</v>
      </c>
      <c r="D34" s="2976">
        <v>0.01</v>
      </c>
      <c r="E34" s="2977">
        <v>0.01</v>
      </c>
      <c r="F34" s="2934"/>
      <c r="G34" s="2928"/>
      <c r="H34" s="2956"/>
      <c r="I34" s="2947"/>
      <c r="J34" s="3906" t="s">
        <v>2332</v>
      </c>
      <c r="K34" s="390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v>2.5000000000000001E-2</v>
      </c>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v>20</v>
      </c>
      <c r="D36" s="2986"/>
      <c r="E36" s="2987"/>
      <c r="F36" s="2988">
        <f>C36+D36+E36</f>
        <v>20</v>
      </c>
      <c r="G36" s="2928"/>
      <c r="H36" s="2846"/>
      <c r="I36" s="2847"/>
      <c r="J36" s="3898">
        <v>1</v>
      </c>
      <c r="K36" s="389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898"/>
      <c r="K37" s="3900"/>
      <c r="L37" s="2881"/>
      <c r="M37" s="2882"/>
      <c r="N37" s="2858"/>
      <c r="O37" s="2883"/>
      <c r="P37" s="2883"/>
      <c r="Q37" s="2884"/>
      <c r="R37" s="2885"/>
      <c r="S37" s="2920"/>
      <c r="T37" s="2839" t="s">
        <v>2348</v>
      </c>
      <c r="U37" s="2839"/>
      <c r="V37" s="2847"/>
    </row>
    <row r="38" spans="1:23" s="2851" customFormat="1" ht="13.15" customHeight="1">
      <c r="A38" s="2929">
        <v>8</v>
      </c>
      <c r="B38" s="2930"/>
      <c r="C38" s="2887">
        <f>ROUND(C32*(1-((1+C35)/(1+C34))^C36)/(C34-C35),0)</f>
        <v>9288</v>
      </c>
      <c r="D38" s="2887">
        <f>IF(D23=0,0,ROUND(D32*(1-((1+D35)/(1+D34))^D36)/(D34-D35),0))</f>
        <v>0</v>
      </c>
      <c r="E38" s="2887">
        <f>IF(E23=0,0,ROUND(E32*(1-((1+E35)/(1+E34))^E36)/(E34-E35),0))</f>
        <v>0</v>
      </c>
      <c r="F38" s="2934"/>
      <c r="G38" s="2928"/>
      <c r="H38" s="2846"/>
      <c r="I38" s="2847"/>
      <c r="J38" s="3898"/>
      <c r="K38" s="3900"/>
      <c r="L38" s="2881"/>
      <c r="M38" s="2882"/>
      <c r="N38" s="2858"/>
      <c r="O38" s="2883"/>
      <c r="P38" s="2883"/>
      <c r="Q38" s="2884"/>
      <c r="R38" s="2885"/>
      <c r="S38" s="2920"/>
      <c r="T38" s="2839" t="s">
        <v>2355</v>
      </c>
      <c r="U38" s="2839"/>
      <c r="V38" s="2847"/>
    </row>
    <row r="39" spans="1:23" s="2851" customFormat="1" ht="13.15" customHeight="1">
      <c r="A39" s="2929">
        <v>9</v>
      </c>
      <c r="B39" s="2930" t="s">
        <v>2433</v>
      </c>
      <c r="C39" s="2895">
        <f>C38</f>
        <v>9288</v>
      </c>
      <c r="D39" s="2930">
        <f>D38/(1+D34)^C36</f>
        <v>0</v>
      </c>
      <c r="E39" s="2930">
        <f>E38/(1+E34)^(C36+D36)</f>
        <v>0</v>
      </c>
      <c r="F39" s="2934"/>
      <c r="G39" s="2989"/>
      <c r="H39" s="2846"/>
      <c r="I39" s="2847"/>
      <c r="J39" s="3898"/>
      <c r="K39" s="3900"/>
      <c r="L39" s="2881"/>
      <c r="M39" s="2882"/>
      <c r="N39" s="2858"/>
      <c r="O39" s="2883"/>
      <c r="P39" s="2883"/>
      <c r="Q39" s="2884"/>
      <c r="R39" s="2885"/>
      <c r="S39" s="2920"/>
      <c r="T39" s="2839"/>
      <c r="U39" s="2839"/>
      <c r="V39" s="2847"/>
    </row>
    <row r="40" spans="1:23" s="2851" customFormat="1" ht="13.15" customHeight="1">
      <c r="A40" s="2990">
        <v>10</v>
      </c>
      <c r="B40" s="2930" t="s">
        <v>2434</v>
      </c>
      <c r="C40" s="2991">
        <f>C39+D39+E39</f>
        <v>9288</v>
      </c>
      <c r="D40" s="2992"/>
      <c r="E40" s="2992"/>
      <c r="F40" s="2993"/>
      <c r="G40" s="2928"/>
      <c r="H40" s="2846"/>
      <c r="I40" s="2847"/>
      <c r="J40" s="3898"/>
      <c r="K40" s="390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f>ROUND(C40*10000/B4,0)</f>
        <v>11153</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90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90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7A0D-87F6-4F1C-95F2-725795D443B1}">
  <dimension ref="A1:J30"/>
  <sheetViews>
    <sheetView workbookViewId="0">
      <pane xSplit="2" ySplit="1" topLeftCell="C2" activePane="bottomRight" state="frozen"/>
      <selection pane="topRight" activeCell="C1" sqref="C1"/>
      <selection pane="bottomLeft" activeCell="A2" sqref="A2"/>
      <selection pane="bottomRight" activeCell="J2" sqref="J2"/>
    </sheetView>
  </sheetViews>
  <sheetFormatPr defaultColWidth="8.875" defaultRowHeight="13.5"/>
  <cols>
    <col min="1" max="1" width="14.5" style="3520" customWidth="1"/>
    <col min="2" max="2" width="8.875" style="3520"/>
    <col min="3" max="3" width="15.75" style="3520" customWidth="1"/>
    <col min="4" max="4" width="8.875" style="3521"/>
    <col min="5" max="5" width="17.5" style="3520" customWidth="1"/>
    <col min="6" max="6" width="20.375" style="3520" customWidth="1"/>
    <col min="7" max="7" width="8.875" style="3520"/>
    <col min="8" max="8" width="13.625" style="3520" customWidth="1"/>
    <col min="9" max="16384" width="8.875" style="3520"/>
  </cols>
  <sheetData>
    <row r="1" spans="1:10">
      <c r="A1" s="3520" t="s">
        <v>3533</v>
      </c>
      <c r="B1" s="3520" t="s">
        <v>3534</v>
      </c>
      <c r="C1" s="3520" t="s">
        <v>3535</v>
      </c>
      <c r="D1" s="3521" t="s">
        <v>3536</v>
      </c>
      <c r="E1" s="3520" t="s">
        <v>3537</v>
      </c>
      <c r="F1" s="3520" t="s">
        <v>3538</v>
      </c>
      <c r="G1" s="3520" t="s">
        <v>3539</v>
      </c>
      <c r="H1" s="3520" t="s">
        <v>3540</v>
      </c>
    </row>
    <row r="2" spans="1:10">
      <c r="A2" s="3520" t="s">
        <v>3541</v>
      </c>
      <c r="B2" s="3520" t="s">
        <v>3542</v>
      </c>
      <c r="C2" s="3520">
        <v>52.34</v>
      </c>
      <c r="D2" s="3521" t="s">
        <v>3543</v>
      </c>
      <c r="E2" s="3521">
        <v>78</v>
      </c>
      <c r="F2" s="3520">
        <v>14902.56</v>
      </c>
      <c r="G2" s="3520" t="s">
        <v>3544</v>
      </c>
      <c r="H2" s="3522">
        <v>45101</v>
      </c>
      <c r="J2" s="3520" t="s">
        <v>3545</v>
      </c>
    </row>
    <row r="3" spans="1:10" ht="15" customHeight="1">
      <c r="A3" s="3520" t="s">
        <v>3541</v>
      </c>
      <c r="B3" s="3520" t="s">
        <v>3546</v>
      </c>
      <c r="C3" s="3520">
        <v>53.55</v>
      </c>
      <c r="D3" s="3521" t="s">
        <v>3547</v>
      </c>
      <c r="E3" s="3521">
        <v>92.5</v>
      </c>
      <c r="F3" s="3520">
        <v>17273.57</v>
      </c>
      <c r="G3" s="3520" t="s">
        <v>3548</v>
      </c>
      <c r="H3" s="3522">
        <v>45101</v>
      </c>
    </row>
    <row r="4" spans="1:10">
      <c r="A4" s="3520" t="s">
        <v>3541</v>
      </c>
      <c r="B4" s="3520" t="s">
        <v>3549</v>
      </c>
      <c r="C4" s="3520">
        <v>58.67</v>
      </c>
      <c r="D4" s="3521" t="s">
        <v>3550</v>
      </c>
      <c r="E4" s="3521">
        <v>83</v>
      </c>
      <c r="F4" s="3520">
        <v>14146.92</v>
      </c>
      <c r="G4" s="3520" t="s">
        <v>3551</v>
      </c>
      <c r="H4" s="3522">
        <v>45100</v>
      </c>
    </row>
    <row r="5" spans="1:10">
      <c r="A5" s="3520" t="s">
        <v>3541</v>
      </c>
      <c r="B5" s="3520" t="s">
        <v>3542</v>
      </c>
      <c r="C5" s="3520">
        <v>52.34</v>
      </c>
      <c r="D5" s="3521" t="s">
        <v>3552</v>
      </c>
      <c r="E5" s="3521">
        <v>78</v>
      </c>
      <c r="F5" s="3520">
        <v>14902.56</v>
      </c>
      <c r="G5" s="3520" t="s">
        <v>3553</v>
      </c>
      <c r="H5" s="3522">
        <v>45099</v>
      </c>
    </row>
    <row r="6" spans="1:10">
      <c r="A6" s="3520" t="s">
        <v>3541</v>
      </c>
      <c r="B6" s="3520" t="s">
        <v>3554</v>
      </c>
      <c r="C6" s="3520">
        <v>52.34</v>
      </c>
      <c r="D6" s="3521" t="s">
        <v>3543</v>
      </c>
      <c r="E6" s="3521">
        <v>79.8</v>
      </c>
      <c r="F6" s="3520">
        <v>15246.46</v>
      </c>
      <c r="G6" s="3520" t="s">
        <v>3555</v>
      </c>
      <c r="H6" s="3522">
        <v>45094</v>
      </c>
    </row>
    <row r="7" spans="1:10">
      <c r="A7" s="3520" t="s">
        <v>3541</v>
      </c>
      <c r="B7" s="3520" t="s">
        <v>3546</v>
      </c>
      <c r="C7" s="3520">
        <v>52.34</v>
      </c>
      <c r="D7" s="3521" t="s">
        <v>3556</v>
      </c>
      <c r="E7" s="3521">
        <v>78</v>
      </c>
      <c r="F7" s="3520">
        <v>14902.56</v>
      </c>
      <c r="G7" s="3520" t="s">
        <v>3557</v>
      </c>
      <c r="H7" s="3522">
        <v>45091</v>
      </c>
    </row>
    <row r="8" spans="1:10">
      <c r="A8" s="3520" t="s">
        <v>3541</v>
      </c>
      <c r="B8" s="3520" t="s">
        <v>3558</v>
      </c>
      <c r="C8" s="3520">
        <v>53.55</v>
      </c>
      <c r="D8" s="3521" t="s">
        <v>3559</v>
      </c>
      <c r="E8" s="3521">
        <v>83</v>
      </c>
      <c r="F8" s="3520">
        <v>15499.53</v>
      </c>
      <c r="G8" s="3520" t="s">
        <v>3560</v>
      </c>
      <c r="H8" s="3522">
        <v>45079</v>
      </c>
    </row>
    <row r="9" spans="1:10">
      <c r="A9" s="3520" t="s">
        <v>3541</v>
      </c>
      <c r="B9" s="3520" t="s">
        <v>3554</v>
      </c>
      <c r="C9" s="3520">
        <v>84.87</v>
      </c>
      <c r="D9" s="3521" t="s">
        <v>3561</v>
      </c>
      <c r="E9" s="3521">
        <v>100</v>
      </c>
      <c r="F9" s="3523">
        <v>11782.72</v>
      </c>
      <c r="G9" s="3520" t="s">
        <v>3562</v>
      </c>
      <c r="H9" s="3522">
        <v>45072</v>
      </c>
    </row>
    <row r="10" spans="1:10">
      <c r="A10" s="3520" t="s">
        <v>3541</v>
      </c>
      <c r="B10" s="3520" t="s">
        <v>3542</v>
      </c>
      <c r="C10" s="3520">
        <v>51.54</v>
      </c>
      <c r="D10" s="3521" t="s">
        <v>3563</v>
      </c>
      <c r="E10" s="3521">
        <v>62.5</v>
      </c>
      <c r="F10" s="3523">
        <v>12126.5</v>
      </c>
      <c r="G10" s="3520" t="s">
        <v>3564</v>
      </c>
      <c r="H10" s="3522">
        <v>45060</v>
      </c>
    </row>
    <row r="11" spans="1:10">
      <c r="A11" s="3520" t="s">
        <v>3541</v>
      </c>
      <c r="B11" s="3520" t="s">
        <v>3542</v>
      </c>
      <c r="C11" s="3520">
        <v>52.34</v>
      </c>
      <c r="D11" s="3521" t="s">
        <v>3563</v>
      </c>
      <c r="E11" s="3521">
        <v>62.5</v>
      </c>
      <c r="F11" s="3523">
        <v>11941.15</v>
      </c>
      <c r="G11" s="3520" t="s">
        <v>3564</v>
      </c>
      <c r="H11" s="3522">
        <v>45060</v>
      </c>
    </row>
    <row r="12" spans="1:10">
      <c r="A12" s="3520" t="s">
        <v>3541</v>
      </c>
      <c r="B12" s="3520" t="s">
        <v>3546</v>
      </c>
      <c r="C12" s="3520">
        <v>68.03</v>
      </c>
      <c r="D12" s="3521" t="s">
        <v>3543</v>
      </c>
      <c r="E12" s="3521">
        <v>101</v>
      </c>
      <c r="F12" s="3520">
        <v>14846.39</v>
      </c>
      <c r="G12" s="3520" t="s">
        <v>3565</v>
      </c>
      <c r="H12" s="3522">
        <v>45058</v>
      </c>
    </row>
    <row r="13" spans="1:10">
      <c r="A13" s="3520" t="s">
        <v>3541</v>
      </c>
      <c r="B13" s="3520" t="s">
        <v>3542</v>
      </c>
      <c r="C13" s="3520">
        <v>68.92</v>
      </c>
      <c r="D13" s="3521" t="s">
        <v>3559</v>
      </c>
      <c r="E13" s="3521">
        <v>123</v>
      </c>
      <c r="F13" s="3520">
        <v>17846.77</v>
      </c>
      <c r="G13" s="3520" t="s">
        <v>3566</v>
      </c>
      <c r="H13" s="3522">
        <v>45053</v>
      </c>
    </row>
    <row r="14" spans="1:10">
      <c r="A14" s="3520" t="s">
        <v>3567</v>
      </c>
      <c r="B14" s="3520" t="s">
        <v>3542</v>
      </c>
      <c r="C14" s="3520">
        <v>68.48</v>
      </c>
      <c r="D14" s="3521" t="s">
        <v>3561</v>
      </c>
      <c r="E14" s="3521">
        <v>71</v>
      </c>
      <c r="F14" s="3523">
        <v>10367.99</v>
      </c>
      <c r="G14" s="3520" t="s">
        <v>3568</v>
      </c>
      <c r="H14" s="3522">
        <v>45053</v>
      </c>
    </row>
    <row r="15" spans="1:10">
      <c r="A15" s="3520" t="s">
        <v>3541</v>
      </c>
      <c r="B15" s="3520" t="s">
        <v>3542</v>
      </c>
      <c r="C15" s="3520">
        <v>52.76</v>
      </c>
      <c r="D15" s="3521" t="s">
        <v>3569</v>
      </c>
      <c r="E15" s="3521">
        <v>84</v>
      </c>
      <c r="F15" s="3520">
        <v>15921.15</v>
      </c>
      <c r="G15" s="3520" t="s">
        <v>3570</v>
      </c>
      <c r="H15" s="3522">
        <v>45053</v>
      </c>
    </row>
    <row r="16" spans="1:10">
      <c r="A16" s="3520" t="s">
        <v>3541</v>
      </c>
      <c r="B16" s="3520" t="s">
        <v>3542</v>
      </c>
      <c r="C16" s="3520">
        <v>53</v>
      </c>
      <c r="D16" s="3521" t="s">
        <v>3556</v>
      </c>
      <c r="E16" s="3521">
        <v>89.5</v>
      </c>
      <c r="F16" s="3520">
        <v>16886.79</v>
      </c>
      <c r="G16" s="3520" t="s">
        <v>3571</v>
      </c>
      <c r="H16" s="3522">
        <v>45051</v>
      </c>
    </row>
    <row r="17" spans="1:8">
      <c r="A17" s="3520" t="s">
        <v>3541</v>
      </c>
      <c r="B17" s="3520" t="s">
        <v>3549</v>
      </c>
      <c r="C17" s="3520">
        <v>54.16</v>
      </c>
      <c r="D17" s="3521" t="s">
        <v>3559</v>
      </c>
      <c r="E17" s="3521">
        <v>80</v>
      </c>
      <c r="F17" s="3520">
        <v>14771.04</v>
      </c>
      <c r="G17" s="3520" t="s">
        <v>3572</v>
      </c>
      <c r="H17" s="3522">
        <v>45046</v>
      </c>
    </row>
    <row r="18" spans="1:8">
      <c r="A18" s="3520" t="s">
        <v>3541</v>
      </c>
      <c r="B18" s="3520" t="s">
        <v>3542</v>
      </c>
      <c r="C18" s="3520">
        <v>61.34</v>
      </c>
      <c r="D18" s="3521" t="s">
        <v>3543</v>
      </c>
      <c r="E18" s="3521">
        <v>85.5</v>
      </c>
      <c r="F18" s="3520">
        <v>13938.7</v>
      </c>
      <c r="G18" s="3520" t="s">
        <v>3572</v>
      </c>
      <c r="H18" s="3522">
        <v>45032</v>
      </c>
    </row>
    <row r="19" spans="1:8">
      <c r="A19" s="3520" t="s">
        <v>3541</v>
      </c>
      <c r="B19" s="3520" t="s">
        <v>3546</v>
      </c>
      <c r="C19" s="3520">
        <v>53.56</v>
      </c>
      <c r="D19" s="3521" t="s">
        <v>3547</v>
      </c>
      <c r="E19" s="3521">
        <v>92.5</v>
      </c>
      <c r="F19" s="3520">
        <v>17270.349999999999</v>
      </c>
      <c r="G19" s="3520" t="s">
        <v>3573</v>
      </c>
      <c r="H19" s="3522">
        <v>45031</v>
      </c>
    </row>
    <row r="20" spans="1:8">
      <c r="A20" s="3520" t="s">
        <v>3541</v>
      </c>
      <c r="B20" s="3520" t="s">
        <v>3546</v>
      </c>
      <c r="C20" s="3520">
        <v>67.53</v>
      </c>
      <c r="D20" s="3521" t="s">
        <v>3559</v>
      </c>
      <c r="E20" s="3521">
        <v>112</v>
      </c>
      <c r="F20" s="3520">
        <v>16585.22</v>
      </c>
      <c r="G20" s="3520" t="s">
        <v>3574</v>
      </c>
      <c r="H20" s="3522">
        <v>45026</v>
      </c>
    </row>
    <row r="21" spans="1:8">
      <c r="A21" s="3520" t="s">
        <v>3541</v>
      </c>
      <c r="B21" s="3520" t="s">
        <v>3546</v>
      </c>
      <c r="C21" s="3520">
        <v>67.89</v>
      </c>
      <c r="D21" s="3521" t="s">
        <v>3556</v>
      </c>
      <c r="E21" s="3521">
        <v>110</v>
      </c>
      <c r="F21" s="3520">
        <v>16202.68</v>
      </c>
      <c r="G21" s="3520" t="s">
        <v>3575</v>
      </c>
      <c r="H21" s="3522">
        <v>45022</v>
      </c>
    </row>
    <row r="22" spans="1:8">
      <c r="A22" s="3520" t="s">
        <v>3541</v>
      </c>
      <c r="B22" s="3520" t="s">
        <v>3546</v>
      </c>
      <c r="C22" s="3520">
        <v>68.92</v>
      </c>
      <c r="D22" s="3521" t="s">
        <v>3559</v>
      </c>
      <c r="E22" s="3521">
        <v>116</v>
      </c>
      <c r="F22" s="3520">
        <v>16831.099999999999</v>
      </c>
      <c r="G22" s="3520" t="s">
        <v>3572</v>
      </c>
      <c r="H22" s="3522">
        <v>45022</v>
      </c>
    </row>
    <row r="23" spans="1:8">
      <c r="A23" s="3520" t="s">
        <v>3541</v>
      </c>
      <c r="B23" s="3520" t="s">
        <v>3542</v>
      </c>
      <c r="C23" s="3520">
        <v>52.34</v>
      </c>
      <c r="D23" s="3521" t="s">
        <v>3543</v>
      </c>
      <c r="E23" s="3521">
        <v>828</v>
      </c>
      <c r="F23" s="3520">
        <v>15819.64</v>
      </c>
      <c r="G23" s="3520" t="s">
        <v>3576</v>
      </c>
      <c r="H23" s="3522">
        <v>45015</v>
      </c>
    </row>
    <row r="24" spans="1:8">
      <c r="A24" s="3520" t="s">
        <v>3541</v>
      </c>
      <c r="B24" s="3520" t="s">
        <v>3546</v>
      </c>
      <c r="C24" s="3520">
        <v>67.89</v>
      </c>
      <c r="D24" s="3521" t="s">
        <v>3550</v>
      </c>
      <c r="E24" s="3521">
        <v>102</v>
      </c>
      <c r="F24" s="3520">
        <v>15024.3</v>
      </c>
      <c r="G24" s="3520" t="s">
        <v>3577</v>
      </c>
      <c r="H24" s="3522">
        <v>45008</v>
      </c>
    </row>
    <row r="25" spans="1:8">
      <c r="A25" s="3520" t="s">
        <v>3541</v>
      </c>
      <c r="B25" s="3520" t="s">
        <v>3542</v>
      </c>
      <c r="C25" s="3520">
        <v>52</v>
      </c>
      <c r="D25" s="3521" t="s">
        <v>3556</v>
      </c>
      <c r="E25" s="3521">
        <v>80.900000000000006</v>
      </c>
      <c r="F25" s="3520">
        <v>15557.69</v>
      </c>
      <c r="G25" s="3520" t="s">
        <v>3578</v>
      </c>
      <c r="H25" s="3522">
        <v>45004</v>
      </c>
    </row>
    <row r="26" spans="1:8">
      <c r="A26" s="3520" t="s">
        <v>3541</v>
      </c>
      <c r="B26" s="3520" t="s">
        <v>3542</v>
      </c>
      <c r="C26" s="3520">
        <v>68.92</v>
      </c>
      <c r="D26" s="3521" t="s">
        <v>3563</v>
      </c>
      <c r="E26" s="3521">
        <v>104</v>
      </c>
      <c r="F26" s="3520">
        <v>15089.95</v>
      </c>
      <c r="G26" s="3520" t="s">
        <v>3579</v>
      </c>
      <c r="H26" s="3522">
        <v>45003</v>
      </c>
    </row>
    <row r="27" spans="1:8">
      <c r="A27" s="3520" t="s">
        <v>3541</v>
      </c>
      <c r="B27" s="3520" t="s">
        <v>3580</v>
      </c>
      <c r="C27" s="3520">
        <v>52.34</v>
      </c>
      <c r="D27" s="3521" t="s">
        <v>3556</v>
      </c>
      <c r="E27" s="3521">
        <v>82</v>
      </c>
      <c r="F27" s="3520">
        <v>15666.79</v>
      </c>
      <c r="G27" s="3520" t="s">
        <v>3581</v>
      </c>
      <c r="H27" s="3522">
        <v>45002</v>
      </c>
    </row>
    <row r="28" spans="1:8">
      <c r="A28" s="3520" t="s">
        <v>3541</v>
      </c>
      <c r="B28" s="3520" t="s">
        <v>3542</v>
      </c>
      <c r="C28" s="3520">
        <v>60.03</v>
      </c>
      <c r="D28" s="3521" t="s">
        <v>3556</v>
      </c>
      <c r="E28" s="3521">
        <v>88</v>
      </c>
      <c r="F28" s="3520">
        <v>14659.33</v>
      </c>
      <c r="G28" s="3520" t="s">
        <v>3582</v>
      </c>
      <c r="H28" s="3522">
        <v>44999</v>
      </c>
    </row>
    <row r="29" spans="1:8">
      <c r="A29" s="3520" t="s">
        <v>3541</v>
      </c>
      <c r="B29" s="3520" t="s">
        <v>3583</v>
      </c>
      <c r="C29" s="3520">
        <v>52.76</v>
      </c>
      <c r="D29" s="3521" t="s">
        <v>3543</v>
      </c>
      <c r="E29" s="3521">
        <v>80</v>
      </c>
      <c r="F29" s="3520">
        <v>15163</v>
      </c>
      <c r="H29" s="3522">
        <v>44995</v>
      </c>
    </row>
    <row r="30" spans="1:8">
      <c r="D30" s="3520"/>
    </row>
  </sheetData>
  <phoneticPr fontId="135"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9B69-460C-47A7-B500-8533D1FE96BE}">
  <dimension ref="A1:K64"/>
  <sheetViews>
    <sheetView workbookViewId="0">
      <selection activeCell="G2" sqref="G2"/>
    </sheetView>
  </sheetViews>
  <sheetFormatPr defaultRowHeight="13.5"/>
  <cols>
    <col min="1" max="5" width="9" style="3520"/>
    <col min="6" max="7" width="18.375" style="3520" customWidth="1"/>
    <col min="8" max="8" width="26.125" style="3520" customWidth="1"/>
    <col min="9" max="9" width="9" style="3520"/>
    <col min="10" max="10" width="16.125" style="3520" customWidth="1"/>
    <col min="11" max="16384" width="9" style="3520"/>
  </cols>
  <sheetData>
    <row r="1" spans="1:11">
      <c r="A1" s="3520" t="s">
        <v>3533</v>
      </c>
      <c r="B1" s="3520" t="s">
        <v>3534</v>
      </c>
      <c r="C1" s="3520" t="s">
        <v>3535</v>
      </c>
      <c r="D1" s="3520" t="s">
        <v>3584</v>
      </c>
      <c r="E1" s="3520" t="s">
        <v>3585</v>
      </c>
      <c r="F1" s="3520" t="s">
        <v>3586</v>
      </c>
      <c r="G1" s="3520" t="s">
        <v>3587</v>
      </c>
      <c r="H1" s="3520" t="s">
        <v>3588</v>
      </c>
      <c r="J1" s="3520" t="s">
        <v>3589</v>
      </c>
      <c r="K1" s="3520" t="s">
        <v>3590</v>
      </c>
    </row>
    <row r="2" spans="1:11">
      <c r="A2" s="3520" t="s">
        <v>3591</v>
      </c>
      <c r="B2" s="3520" t="s">
        <v>3592</v>
      </c>
      <c r="C2" s="3520">
        <v>57.7</v>
      </c>
      <c r="D2" s="3520" t="s">
        <v>3593</v>
      </c>
      <c r="E2" s="3520" t="s">
        <v>3594</v>
      </c>
      <c r="F2" s="3520">
        <v>5500</v>
      </c>
      <c r="G2" s="3520">
        <f>ROUND(F2/C2/30,2)</f>
        <v>3.18</v>
      </c>
      <c r="H2" s="3520" t="s">
        <v>3595</v>
      </c>
      <c r="J2" s="3520" t="s">
        <v>3596</v>
      </c>
    </row>
    <row r="3" spans="1:11">
      <c r="A3" s="3520" t="s">
        <v>3591</v>
      </c>
      <c r="B3" s="3520" t="s">
        <v>3597</v>
      </c>
      <c r="C3" s="3520">
        <v>69.33</v>
      </c>
      <c r="D3" s="3520" t="s">
        <v>3598</v>
      </c>
      <c r="E3" s="3520" t="s">
        <v>3599</v>
      </c>
      <c r="F3" s="3520">
        <v>4167</v>
      </c>
      <c r="G3" s="3520">
        <f t="shared" ref="G3:G64" si="0">ROUND(F3/C3/30,2)</f>
        <v>2</v>
      </c>
      <c r="H3" s="3520" t="s">
        <v>3600</v>
      </c>
      <c r="J3" s="3520" t="s">
        <v>3601</v>
      </c>
    </row>
    <row r="4" spans="1:11">
      <c r="A4" s="3520" t="s">
        <v>3591</v>
      </c>
      <c r="B4" s="3520" t="s">
        <v>3546</v>
      </c>
      <c r="C4" s="3520">
        <v>57</v>
      </c>
      <c r="D4" s="3520" t="s">
        <v>3593</v>
      </c>
      <c r="E4" s="3520" t="s">
        <v>3602</v>
      </c>
      <c r="F4" s="3520">
        <v>4000</v>
      </c>
      <c r="G4" s="3520">
        <f t="shared" si="0"/>
        <v>2.34</v>
      </c>
      <c r="H4" s="3520" t="s">
        <v>3603</v>
      </c>
    </row>
    <row r="5" spans="1:11">
      <c r="A5" s="3520" t="s">
        <v>3591</v>
      </c>
      <c r="B5" s="3520" t="s">
        <v>3546</v>
      </c>
      <c r="C5" s="3520">
        <v>41</v>
      </c>
      <c r="D5" s="3520" t="s">
        <v>3598</v>
      </c>
      <c r="E5" s="3520" t="s">
        <v>3604</v>
      </c>
      <c r="F5" s="3520">
        <v>4400</v>
      </c>
      <c r="G5" s="3520">
        <f t="shared" si="0"/>
        <v>3.58</v>
      </c>
      <c r="H5" s="3520" t="s">
        <v>3605</v>
      </c>
    </row>
    <row r="6" spans="1:11">
      <c r="A6" s="3520" t="s">
        <v>3591</v>
      </c>
      <c r="B6" s="3520" t="s">
        <v>3554</v>
      </c>
      <c r="C6" s="3520">
        <v>42</v>
      </c>
      <c r="D6" s="3520" t="s">
        <v>3593</v>
      </c>
      <c r="E6" s="3520" t="s">
        <v>3604</v>
      </c>
      <c r="F6" s="3520">
        <v>4500</v>
      </c>
      <c r="G6" s="3520">
        <f t="shared" si="0"/>
        <v>3.57</v>
      </c>
      <c r="H6" s="3520" t="s">
        <v>3606</v>
      </c>
    </row>
    <row r="7" spans="1:11">
      <c r="A7" s="3520" t="s">
        <v>3591</v>
      </c>
      <c r="B7" s="3520" t="s">
        <v>3546</v>
      </c>
      <c r="C7" s="3520">
        <v>57.7</v>
      </c>
      <c r="D7" s="3520" t="s">
        <v>3598</v>
      </c>
      <c r="E7" s="3520" t="s">
        <v>3594</v>
      </c>
      <c r="F7" s="3520">
        <v>4900</v>
      </c>
      <c r="G7" s="3520">
        <f t="shared" si="0"/>
        <v>2.83</v>
      </c>
      <c r="H7" s="3520" t="s">
        <v>3607</v>
      </c>
    </row>
    <row r="8" spans="1:11">
      <c r="A8" s="3520" t="s">
        <v>3591</v>
      </c>
      <c r="B8" s="3520" t="s">
        <v>3546</v>
      </c>
      <c r="C8" s="3520">
        <v>42</v>
      </c>
      <c r="D8" s="3520" t="s">
        <v>3608</v>
      </c>
      <c r="E8" s="3520" t="s">
        <v>3604</v>
      </c>
      <c r="F8" s="3520">
        <v>4200</v>
      </c>
      <c r="G8" s="3520">
        <f t="shared" si="0"/>
        <v>3.33</v>
      </c>
      <c r="H8" s="3520" t="s">
        <v>3609</v>
      </c>
    </row>
    <row r="9" spans="1:11">
      <c r="A9" s="3520" t="s">
        <v>3591</v>
      </c>
      <c r="B9" s="3520" t="s">
        <v>3546</v>
      </c>
      <c r="C9" s="3520">
        <v>58</v>
      </c>
      <c r="D9" s="3520" t="s">
        <v>3598</v>
      </c>
      <c r="E9" s="3520" t="s">
        <v>3610</v>
      </c>
      <c r="F9" s="3520">
        <v>5200</v>
      </c>
      <c r="G9" s="3520">
        <f t="shared" si="0"/>
        <v>2.99</v>
      </c>
      <c r="H9" s="3520" t="s">
        <v>3611</v>
      </c>
    </row>
    <row r="10" spans="1:11">
      <c r="A10" s="3520" t="s">
        <v>3591</v>
      </c>
      <c r="B10" s="3520" t="s">
        <v>3546</v>
      </c>
      <c r="C10" s="3520">
        <v>69</v>
      </c>
      <c r="D10" s="3520" t="s">
        <v>3598</v>
      </c>
      <c r="E10" s="3520" t="s">
        <v>3599</v>
      </c>
      <c r="F10" s="3520">
        <v>5500</v>
      </c>
      <c r="G10" s="3520">
        <f t="shared" si="0"/>
        <v>2.66</v>
      </c>
      <c r="H10" s="3520" t="s">
        <v>3612</v>
      </c>
    </row>
    <row r="11" spans="1:11">
      <c r="A11" s="3520" t="s">
        <v>3591</v>
      </c>
      <c r="B11" s="3520" t="s">
        <v>3546</v>
      </c>
      <c r="C11" s="3520">
        <v>57</v>
      </c>
      <c r="D11" s="3520" t="s">
        <v>3598</v>
      </c>
      <c r="E11" s="3520" t="s">
        <v>3613</v>
      </c>
      <c r="F11" s="3520">
        <v>5300</v>
      </c>
      <c r="G11" s="3520">
        <f t="shared" si="0"/>
        <v>3.1</v>
      </c>
      <c r="H11" s="3520" t="s">
        <v>3614</v>
      </c>
    </row>
    <row r="12" spans="1:11">
      <c r="A12" s="3520" t="s">
        <v>3591</v>
      </c>
      <c r="B12" s="3520" t="s">
        <v>3615</v>
      </c>
      <c r="C12" s="3520">
        <v>69</v>
      </c>
      <c r="D12" s="3520" t="s">
        <v>3593</v>
      </c>
      <c r="F12" s="3520">
        <v>4500</v>
      </c>
      <c r="G12" s="3520">
        <f t="shared" si="0"/>
        <v>2.17</v>
      </c>
      <c r="H12" s="3520" t="s">
        <v>3616</v>
      </c>
    </row>
    <row r="13" spans="1:11">
      <c r="A13" s="3520" t="s">
        <v>3591</v>
      </c>
      <c r="B13" s="3520" t="s">
        <v>3554</v>
      </c>
      <c r="C13" s="3520">
        <v>41.3</v>
      </c>
      <c r="D13" s="3520" t="s">
        <v>3593</v>
      </c>
      <c r="F13" s="3520">
        <v>3100</v>
      </c>
      <c r="G13" s="3520">
        <f t="shared" si="0"/>
        <v>2.5</v>
      </c>
      <c r="H13" s="3520" t="s">
        <v>3617</v>
      </c>
    </row>
    <row r="14" spans="1:11">
      <c r="A14" s="3520" t="s">
        <v>3591</v>
      </c>
      <c r="B14" s="3520" t="s">
        <v>3618</v>
      </c>
      <c r="C14" s="3520">
        <v>57</v>
      </c>
      <c r="D14" s="3520" t="s">
        <v>3608</v>
      </c>
      <c r="E14" s="3520" t="s">
        <v>3619</v>
      </c>
      <c r="F14" s="3520">
        <v>5000</v>
      </c>
      <c r="G14" s="3520">
        <f t="shared" si="0"/>
        <v>2.92</v>
      </c>
      <c r="H14" s="3520" t="s">
        <v>3620</v>
      </c>
    </row>
    <row r="15" spans="1:11">
      <c r="A15" s="3520" t="s">
        <v>3591</v>
      </c>
      <c r="B15" s="3520" t="s">
        <v>3554</v>
      </c>
      <c r="C15" s="3520">
        <v>41.3</v>
      </c>
      <c r="D15" s="3520" t="s">
        <v>3593</v>
      </c>
      <c r="F15" s="3520">
        <v>4200</v>
      </c>
      <c r="G15" s="3520">
        <f t="shared" si="0"/>
        <v>3.39</v>
      </c>
      <c r="H15" s="3520" t="s">
        <v>3621</v>
      </c>
    </row>
    <row r="16" spans="1:11">
      <c r="A16" s="3520" t="s">
        <v>3591</v>
      </c>
      <c r="B16" s="3520" t="s">
        <v>3622</v>
      </c>
      <c r="C16" s="3520">
        <v>69.33</v>
      </c>
      <c r="D16" s="3520" t="s">
        <v>3593</v>
      </c>
      <c r="E16" s="3520" t="s">
        <v>3604</v>
      </c>
      <c r="F16" s="3520">
        <v>4580</v>
      </c>
      <c r="G16" s="3520">
        <f t="shared" si="0"/>
        <v>2.2000000000000002</v>
      </c>
      <c r="H16" s="3520" t="s">
        <v>3623</v>
      </c>
    </row>
    <row r="17" spans="1:10">
      <c r="A17" s="3520" t="s">
        <v>3591</v>
      </c>
      <c r="B17" s="3520" t="s">
        <v>3622</v>
      </c>
      <c r="C17" s="3520">
        <v>41.3</v>
      </c>
      <c r="D17" s="3520" t="s">
        <v>3593</v>
      </c>
      <c r="F17" s="3520">
        <v>4300</v>
      </c>
      <c r="G17" s="3520">
        <f t="shared" si="0"/>
        <v>3.47</v>
      </c>
      <c r="H17" s="3520" t="s">
        <v>3624</v>
      </c>
    </row>
    <row r="18" spans="1:10">
      <c r="A18" s="3520" t="s">
        <v>3625</v>
      </c>
      <c r="B18" s="3520" t="s">
        <v>3549</v>
      </c>
      <c r="C18" s="3520">
        <v>53.55</v>
      </c>
      <c r="D18" s="3520" t="s">
        <v>3626</v>
      </c>
      <c r="E18" s="3520" t="s">
        <v>3627</v>
      </c>
      <c r="F18" s="3520">
        <v>3300</v>
      </c>
      <c r="G18" s="3520">
        <f t="shared" si="0"/>
        <v>2.0499999999999998</v>
      </c>
      <c r="H18" s="3520" t="s">
        <v>3628</v>
      </c>
      <c r="J18" s="3520" t="s">
        <v>3629</v>
      </c>
    </row>
    <row r="19" spans="1:10">
      <c r="A19" s="3520" t="s">
        <v>3541</v>
      </c>
      <c r="B19" s="3520" t="s">
        <v>3542</v>
      </c>
      <c r="C19" s="3520">
        <v>53.01</v>
      </c>
      <c r="D19" s="3520" t="s">
        <v>3630</v>
      </c>
      <c r="E19" s="3520" t="s">
        <v>3631</v>
      </c>
      <c r="F19" s="3520">
        <v>3400</v>
      </c>
      <c r="G19" s="3520">
        <f t="shared" si="0"/>
        <v>2.14</v>
      </c>
      <c r="H19" s="3520" t="s">
        <v>3632</v>
      </c>
      <c r="J19" s="3520" t="s">
        <v>3633</v>
      </c>
    </row>
    <row r="20" spans="1:10">
      <c r="A20" s="3520" t="s">
        <v>3541</v>
      </c>
      <c r="B20" s="3520" t="s">
        <v>3542</v>
      </c>
      <c r="C20" s="3520">
        <v>53</v>
      </c>
      <c r="D20" s="3520" t="s">
        <v>3634</v>
      </c>
      <c r="E20" s="3520" t="s">
        <v>3627</v>
      </c>
      <c r="F20" s="3520">
        <v>3000</v>
      </c>
      <c r="G20" s="3520">
        <f t="shared" si="0"/>
        <v>1.89</v>
      </c>
      <c r="H20" s="3520" t="s">
        <v>3635</v>
      </c>
    </row>
    <row r="21" spans="1:10">
      <c r="A21" s="3520" t="s">
        <v>3541</v>
      </c>
      <c r="B21" s="3520" t="s">
        <v>3542</v>
      </c>
      <c r="C21" s="3520">
        <v>53</v>
      </c>
      <c r="D21" s="3520" t="s">
        <v>3634</v>
      </c>
      <c r="E21" s="3520" t="s">
        <v>3631</v>
      </c>
      <c r="F21" s="3520">
        <v>3200</v>
      </c>
      <c r="G21" s="3520">
        <f t="shared" si="0"/>
        <v>2.0099999999999998</v>
      </c>
      <c r="H21" s="3520" t="s">
        <v>3636</v>
      </c>
    </row>
    <row r="22" spans="1:10">
      <c r="A22" s="3520" t="s">
        <v>3541</v>
      </c>
      <c r="B22" s="3520" t="s">
        <v>3542</v>
      </c>
      <c r="C22" s="3520">
        <v>51</v>
      </c>
      <c r="D22" s="3520" t="s">
        <v>3630</v>
      </c>
      <c r="E22" s="3520" t="s">
        <v>3604</v>
      </c>
      <c r="F22" s="3520">
        <v>3400</v>
      </c>
      <c r="G22" s="3520">
        <f t="shared" si="0"/>
        <v>2.2200000000000002</v>
      </c>
      <c r="H22" s="3520" t="s">
        <v>3637</v>
      </c>
    </row>
    <row r="23" spans="1:10">
      <c r="A23" s="3520" t="s">
        <v>3541</v>
      </c>
      <c r="B23" s="3520" t="s">
        <v>3542</v>
      </c>
      <c r="C23" s="3520">
        <v>68</v>
      </c>
      <c r="D23" s="3520" t="s">
        <v>3634</v>
      </c>
      <c r="E23" s="3520" t="s">
        <v>3604</v>
      </c>
      <c r="F23" s="3520">
        <v>3500</v>
      </c>
      <c r="G23" s="3520">
        <f t="shared" si="0"/>
        <v>1.72</v>
      </c>
      <c r="H23" s="3520" t="s">
        <v>3638</v>
      </c>
    </row>
    <row r="24" spans="1:10">
      <c r="A24" s="3520" t="s">
        <v>3541</v>
      </c>
      <c r="B24" s="3520" t="s">
        <v>3546</v>
      </c>
      <c r="C24" s="3520">
        <v>60</v>
      </c>
      <c r="D24" s="3520" t="s">
        <v>3630</v>
      </c>
      <c r="E24" s="3520" t="s">
        <v>3627</v>
      </c>
      <c r="F24" s="3520">
        <v>3600</v>
      </c>
      <c r="G24" s="3520">
        <f t="shared" si="0"/>
        <v>2</v>
      </c>
      <c r="H24" s="3520" t="s">
        <v>3639</v>
      </c>
    </row>
    <row r="25" spans="1:10">
      <c r="A25" s="3520" t="s">
        <v>3541</v>
      </c>
      <c r="B25" s="3520" t="s">
        <v>3542</v>
      </c>
      <c r="C25" s="3520">
        <v>53</v>
      </c>
      <c r="D25" s="3520" t="s">
        <v>3634</v>
      </c>
      <c r="E25" s="3520" t="s">
        <v>3627</v>
      </c>
      <c r="F25" s="3520">
        <v>3200</v>
      </c>
      <c r="G25" s="3520">
        <f t="shared" si="0"/>
        <v>2.0099999999999998</v>
      </c>
      <c r="H25" s="3520" t="s">
        <v>3640</v>
      </c>
    </row>
    <row r="26" spans="1:10">
      <c r="A26" s="3520" t="s">
        <v>3541</v>
      </c>
      <c r="B26" s="3520" t="s">
        <v>3542</v>
      </c>
      <c r="C26" s="3520">
        <v>68.83</v>
      </c>
      <c r="D26" s="3520" t="s">
        <v>3626</v>
      </c>
      <c r="E26" s="3520" t="s">
        <v>3604</v>
      </c>
      <c r="F26" s="3520">
        <v>3500</v>
      </c>
      <c r="G26" s="3520">
        <f t="shared" si="0"/>
        <v>1.69</v>
      </c>
      <c r="H26" s="3520" t="s">
        <v>3641</v>
      </c>
    </row>
    <row r="27" spans="1:10">
      <c r="A27" s="3520" t="s">
        <v>3541</v>
      </c>
      <c r="B27" s="3520" t="s">
        <v>3542</v>
      </c>
      <c r="C27" s="3520">
        <v>68</v>
      </c>
      <c r="D27" s="3520" t="s">
        <v>3634</v>
      </c>
      <c r="F27" s="3520">
        <v>2700</v>
      </c>
      <c r="G27" s="3520">
        <f t="shared" si="0"/>
        <v>1.32</v>
      </c>
      <c r="H27" s="3520" t="s">
        <v>3642</v>
      </c>
    </row>
    <row r="28" spans="1:10">
      <c r="A28" s="3520" t="s">
        <v>3541</v>
      </c>
      <c r="B28" s="3520" t="s">
        <v>3546</v>
      </c>
      <c r="C28" s="3520">
        <v>53</v>
      </c>
      <c r="D28" s="3520" t="s">
        <v>3634</v>
      </c>
      <c r="E28" s="3520" t="s">
        <v>3631</v>
      </c>
      <c r="F28" s="3520">
        <v>2700</v>
      </c>
      <c r="G28" s="3520">
        <f t="shared" si="0"/>
        <v>1.7</v>
      </c>
      <c r="H28" s="3520" t="s">
        <v>3643</v>
      </c>
    </row>
    <row r="29" spans="1:10">
      <c r="A29" s="3520" t="s">
        <v>3541</v>
      </c>
      <c r="B29" s="3520" t="s">
        <v>3546</v>
      </c>
      <c r="C29" s="3520">
        <v>53</v>
      </c>
      <c r="D29" s="3520" t="s">
        <v>3634</v>
      </c>
      <c r="E29" s="3520" t="s">
        <v>3631</v>
      </c>
      <c r="F29" s="3520">
        <v>3000</v>
      </c>
      <c r="G29" s="3520">
        <f t="shared" si="0"/>
        <v>1.89</v>
      </c>
      <c r="H29" s="3520" t="s">
        <v>3644</v>
      </c>
    </row>
    <row r="30" spans="1:10">
      <c r="A30" s="3520" t="s">
        <v>3541</v>
      </c>
      <c r="B30" s="3520" t="s">
        <v>3542</v>
      </c>
      <c r="C30" s="3520">
        <v>53</v>
      </c>
      <c r="D30" s="3520" t="s">
        <v>3634</v>
      </c>
      <c r="E30" s="3520" t="s">
        <v>3631</v>
      </c>
      <c r="F30" s="3520">
        <v>2800</v>
      </c>
      <c r="G30" s="3520">
        <f t="shared" si="0"/>
        <v>1.76</v>
      </c>
      <c r="H30" s="3520" t="s">
        <v>3645</v>
      </c>
    </row>
    <row r="31" spans="1:10">
      <c r="A31" s="3520" t="s">
        <v>3541</v>
      </c>
      <c r="B31" s="3520" t="s">
        <v>3546</v>
      </c>
      <c r="C31" s="3520">
        <v>68</v>
      </c>
      <c r="D31" s="3520" t="s">
        <v>3646</v>
      </c>
      <c r="E31" s="3520" t="s">
        <v>3604</v>
      </c>
      <c r="F31" s="3520">
        <v>3300</v>
      </c>
      <c r="G31" s="3520">
        <f t="shared" si="0"/>
        <v>1.62</v>
      </c>
      <c r="H31" s="3520" t="s">
        <v>3647</v>
      </c>
    </row>
    <row r="32" spans="1:10">
      <c r="A32" s="3520" t="s">
        <v>3541</v>
      </c>
      <c r="B32" s="3520" t="s">
        <v>3542</v>
      </c>
      <c r="C32" s="3520">
        <v>53</v>
      </c>
      <c r="D32" s="3520" t="s">
        <v>3626</v>
      </c>
      <c r="E32" s="3520" t="s">
        <v>3631</v>
      </c>
      <c r="F32" s="3520">
        <v>3700</v>
      </c>
      <c r="G32" s="3520">
        <f t="shared" si="0"/>
        <v>2.33</v>
      </c>
      <c r="H32" s="3520" t="s">
        <v>3648</v>
      </c>
    </row>
    <row r="33" spans="1:8">
      <c r="A33" s="3520" t="s">
        <v>3541</v>
      </c>
      <c r="B33" s="3520" t="s">
        <v>3542</v>
      </c>
      <c r="C33" s="3520">
        <v>68.92</v>
      </c>
      <c r="D33" s="3520" t="s">
        <v>3646</v>
      </c>
      <c r="E33" s="3520" t="s">
        <v>3604</v>
      </c>
      <c r="F33" s="3520">
        <v>3500</v>
      </c>
      <c r="G33" s="3520">
        <f t="shared" si="0"/>
        <v>1.69</v>
      </c>
      <c r="H33" s="3520" t="s">
        <v>3649</v>
      </c>
    </row>
    <row r="34" spans="1:8">
      <c r="A34" s="3520" t="s">
        <v>3541</v>
      </c>
      <c r="B34" s="3520" t="s">
        <v>3546</v>
      </c>
      <c r="C34" s="3520">
        <v>55</v>
      </c>
      <c r="D34" s="3520" t="s">
        <v>3634</v>
      </c>
      <c r="F34" s="3520">
        <v>3300</v>
      </c>
      <c r="G34" s="3520">
        <f t="shared" si="0"/>
        <v>2</v>
      </c>
      <c r="H34" s="3520" t="s">
        <v>3650</v>
      </c>
    </row>
    <row r="35" spans="1:8">
      <c r="A35" s="3520" t="s">
        <v>3541</v>
      </c>
      <c r="B35" s="3520" t="s">
        <v>3549</v>
      </c>
      <c r="C35" s="3520">
        <v>74</v>
      </c>
      <c r="D35" s="3520" t="s">
        <v>3630</v>
      </c>
      <c r="F35" s="3520">
        <v>3200</v>
      </c>
      <c r="G35" s="3520">
        <f t="shared" si="0"/>
        <v>1.44</v>
      </c>
      <c r="H35" s="3520" t="s">
        <v>3651</v>
      </c>
    </row>
    <row r="36" spans="1:8">
      <c r="A36" s="3520" t="s">
        <v>3541</v>
      </c>
      <c r="B36" s="3520" t="s">
        <v>3546</v>
      </c>
      <c r="C36" s="3520">
        <v>75</v>
      </c>
      <c r="D36" s="3520" t="s">
        <v>3634</v>
      </c>
      <c r="E36" s="3520" t="s">
        <v>3652</v>
      </c>
      <c r="F36" s="3520">
        <v>3500</v>
      </c>
      <c r="G36" s="3520">
        <f t="shared" si="0"/>
        <v>1.56</v>
      </c>
      <c r="H36" s="3520" t="s">
        <v>3653</v>
      </c>
    </row>
    <row r="37" spans="1:8">
      <c r="A37" s="3520" t="s">
        <v>3541</v>
      </c>
      <c r="B37" s="3520" t="s">
        <v>3542</v>
      </c>
      <c r="C37" s="3520">
        <v>68</v>
      </c>
      <c r="D37" s="3520" t="s">
        <v>3634</v>
      </c>
      <c r="F37" s="3520">
        <v>3000</v>
      </c>
      <c r="G37" s="3520">
        <f t="shared" si="0"/>
        <v>1.47</v>
      </c>
      <c r="H37" s="3520" t="s">
        <v>3654</v>
      </c>
    </row>
    <row r="38" spans="1:8">
      <c r="A38" s="3520" t="s">
        <v>3541</v>
      </c>
      <c r="B38" s="3520" t="s">
        <v>3546</v>
      </c>
      <c r="C38" s="3520">
        <v>53</v>
      </c>
      <c r="D38" s="3520" t="s">
        <v>3630</v>
      </c>
      <c r="E38" s="3520" t="s">
        <v>3627</v>
      </c>
      <c r="F38" s="3520">
        <v>3400</v>
      </c>
      <c r="G38" s="3520">
        <f t="shared" si="0"/>
        <v>2.14</v>
      </c>
      <c r="H38" s="3520" t="s">
        <v>3655</v>
      </c>
    </row>
    <row r="39" spans="1:8">
      <c r="A39" s="3520" t="s">
        <v>3541</v>
      </c>
      <c r="B39" s="3520" t="s">
        <v>3546</v>
      </c>
      <c r="C39" s="3520">
        <v>75</v>
      </c>
      <c r="D39" s="3520" t="s">
        <v>3634</v>
      </c>
      <c r="E39" s="3520" t="s">
        <v>3604</v>
      </c>
      <c r="F39" s="3520">
        <v>3300</v>
      </c>
      <c r="G39" s="3520">
        <f t="shared" si="0"/>
        <v>1.47</v>
      </c>
      <c r="H39" s="3520" t="s">
        <v>3656</v>
      </c>
    </row>
    <row r="40" spans="1:8">
      <c r="A40" s="3520" t="s">
        <v>3541</v>
      </c>
      <c r="B40" s="3520" t="s">
        <v>3546</v>
      </c>
      <c r="C40" s="3520">
        <v>75</v>
      </c>
      <c r="D40" s="3520" t="s">
        <v>3626</v>
      </c>
      <c r="E40" s="3520" t="s">
        <v>3604</v>
      </c>
      <c r="F40" s="3520">
        <v>2666</v>
      </c>
      <c r="G40" s="3520">
        <f t="shared" si="0"/>
        <v>1.18</v>
      </c>
      <c r="H40" s="3520" t="s">
        <v>3657</v>
      </c>
    </row>
    <row r="41" spans="1:8">
      <c r="A41" s="3520" t="s">
        <v>3541</v>
      </c>
      <c r="B41" s="3520" t="s">
        <v>3542</v>
      </c>
      <c r="C41" s="3520">
        <v>60</v>
      </c>
      <c r="D41" s="3520" t="s">
        <v>3630</v>
      </c>
      <c r="E41" s="3520" t="s">
        <v>3631</v>
      </c>
      <c r="F41" s="3520">
        <v>2800</v>
      </c>
      <c r="G41" s="3520">
        <f t="shared" si="0"/>
        <v>1.56</v>
      </c>
      <c r="H41" s="3520" t="s">
        <v>3658</v>
      </c>
    </row>
    <row r="42" spans="1:8">
      <c r="A42" s="3520" t="s">
        <v>3541</v>
      </c>
      <c r="B42" s="3520" t="s">
        <v>3542</v>
      </c>
      <c r="C42" s="3520">
        <v>60</v>
      </c>
      <c r="D42" s="3520" t="s">
        <v>3630</v>
      </c>
      <c r="E42" s="3520" t="s">
        <v>3631</v>
      </c>
      <c r="F42" s="3520">
        <v>2800</v>
      </c>
      <c r="G42" s="3520">
        <f t="shared" si="0"/>
        <v>1.56</v>
      </c>
      <c r="H42" s="3520" t="s">
        <v>3658</v>
      </c>
    </row>
    <row r="43" spans="1:8">
      <c r="A43" s="3520" t="s">
        <v>3541</v>
      </c>
      <c r="B43" s="3520" t="s">
        <v>3659</v>
      </c>
      <c r="C43" s="3520">
        <v>68.92</v>
      </c>
      <c r="D43" s="3520" t="s">
        <v>3630</v>
      </c>
      <c r="E43" s="3520" t="s">
        <v>3604</v>
      </c>
      <c r="F43" s="3520">
        <v>3400</v>
      </c>
      <c r="G43" s="3520">
        <f t="shared" si="0"/>
        <v>1.64</v>
      </c>
      <c r="H43" s="3520" t="s">
        <v>3660</v>
      </c>
    </row>
    <row r="44" spans="1:8">
      <c r="A44" s="3520" t="s">
        <v>3541</v>
      </c>
      <c r="B44" s="3520" t="s">
        <v>3554</v>
      </c>
      <c r="C44" s="3520">
        <v>68.92</v>
      </c>
      <c r="D44" s="3520" t="s">
        <v>3634</v>
      </c>
      <c r="E44" s="3520" t="s">
        <v>3604</v>
      </c>
      <c r="F44" s="3520">
        <v>3200</v>
      </c>
      <c r="G44" s="3520">
        <f t="shared" si="0"/>
        <v>1.55</v>
      </c>
      <c r="H44" s="3520" t="s">
        <v>3661</v>
      </c>
    </row>
    <row r="45" spans="1:8">
      <c r="A45" s="3520" t="s">
        <v>3541</v>
      </c>
      <c r="B45" s="3520" t="s">
        <v>3546</v>
      </c>
      <c r="C45" s="3520">
        <v>99</v>
      </c>
      <c r="D45" s="3520" t="s">
        <v>3634</v>
      </c>
      <c r="E45" s="3520" t="s">
        <v>3631</v>
      </c>
      <c r="F45" s="3520">
        <v>4000</v>
      </c>
      <c r="G45" s="3520">
        <f t="shared" si="0"/>
        <v>1.35</v>
      </c>
      <c r="H45" s="3520" t="s">
        <v>3662</v>
      </c>
    </row>
    <row r="46" spans="1:8">
      <c r="A46" s="3520" t="s">
        <v>3541</v>
      </c>
      <c r="B46" s="3520" t="s">
        <v>3542</v>
      </c>
      <c r="C46" s="3520">
        <v>68</v>
      </c>
      <c r="D46" s="3520" t="s">
        <v>3626</v>
      </c>
      <c r="E46" s="3520" t="s">
        <v>3604</v>
      </c>
      <c r="F46" s="3520">
        <v>3100</v>
      </c>
      <c r="G46" s="3520">
        <f t="shared" si="0"/>
        <v>1.52</v>
      </c>
      <c r="H46" s="3520" t="s">
        <v>3663</v>
      </c>
    </row>
    <row r="47" spans="1:8">
      <c r="A47" s="3520" t="s">
        <v>3541</v>
      </c>
      <c r="B47" s="3520" t="s">
        <v>3542</v>
      </c>
      <c r="C47" s="3520">
        <v>62.26</v>
      </c>
      <c r="D47" s="3520" t="s">
        <v>3634</v>
      </c>
      <c r="F47" s="3520">
        <v>3200</v>
      </c>
      <c r="G47" s="3520">
        <f t="shared" si="0"/>
        <v>1.71</v>
      </c>
      <c r="H47" s="3520" t="s">
        <v>3664</v>
      </c>
    </row>
    <row r="48" spans="1:8">
      <c r="A48" s="3520" t="s">
        <v>3541</v>
      </c>
      <c r="B48" s="3520" t="s">
        <v>3542</v>
      </c>
      <c r="C48" s="3520">
        <v>60</v>
      </c>
      <c r="D48" s="3520" t="s">
        <v>3634</v>
      </c>
      <c r="E48" s="3520" t="s">
        <v>3627</v>
      </c>
      <c r="F48" s="3520">
        <v>3200</v>
      </c>
      <c r="G48" s="3520">
        <f t="shared" si="0"/>
        <v>1.78</v>
      </c>
      <c r="H48" s="3520" t="s">
        <v>3665</v>
      </c>
    </row>
    <row r="49" spans="1:8">
      <c r="A49" s="3520" t="s">
        <v>3541</v>
      </c>
      <c r="B49" s="3520" t="s">
        <v>3554</v>
      </c>
      <c r="C49" s="3520">
        <v>53</v>
      </c>
      <c r="D49" s="3520" t="s">
        <v>3634</v>
      </c>
      <c r="E49" s="3520" t="s">
        <v>3631</v>
      </c>
      <c r="F49" s="3520">
        <v>2600</v>
      </c>
      <c r="G49" s="3520">
        <f t="shared" si="0"/>
        <v>1.64</v>
      </c>
      <c r="H49" s="3520" t="s">
        <v>3666</v>
      </c>
    </row>
    <row r="50" spans="1:8">
      <c r="A50" s="3520" t="s">
        <v>3541</v>
      </c>
      <c r="B50" s="3520" t="s">
        <v>3542</v>
      </c>
      <c r="C50" s="3520">
        <v>52.34</v>
      </c>
      <c r="D50" s="3520" t="s">
        <v>3634</v>
      </c>
      <c r="E50" s="3520" t="s">
        <v>3631</v>
      </c>
      <c r="F50" s="3520">
        <v>3300</v>
      </c>
      <c r="G50" s="3520">
        <f t="shared" si="0"/>
        <v>2.1</v>
      </c>
      <c r="H50" s="3520" t="s">
        <v>3667</v>
      </c>
    </row>
    <row r="51" spans="1:8">
      <c r="A51" s="3520" t="s">
        <v>3541</v>
      </c>
      <c r="B51" s="3520" t="s">
        <v>3554</v>
      </c>
      <c r="C51" s="3520">
        <v>59.32</v>
      </c>
      <c r="D51" s="3520" t="s">
        <v>3626</v>
      </c>
      <c r="E51" s="3520" t="s">
        <v>3627</v>
      </c>
      <c r="F51" s="3520">
        <v>2500</v>
      </c>
      <c r="G51" s="3520">
        <f t="shared" si="0"/>
        <v>1.4</v>
      </c>
      <c r="H51" s="3520" t="s">
        <v>3668</v>
      </c>
    </row>
    <row r="52" spans="1:8">
      <c r="A52" s="3520" t="s">
        <v>3541</v>
      </c>
      <c r="B52" s="3520" t="s">
        <v>3669</v>
      </c>
      <c r="C52" s="3520">
        <v>68</v>
      </c>
      <c r="D52" s="3520" t="s">
        <v>3626</v>
      </c>
      <c r="E52" s="3520" t="s">
        <v>3604</v>
      </c>
      <c r="F52" s="3520">
        <v>3000</v>
      </c>
      <c r="G52" s="3520">
        <f t="shared" si="0"/>
        <v>1.47</v>
      </c>
      <c r="H52" s="3520" t="s">
        <v>3670</v>
      </c>
    </row>
    <row r="53" spans="1:8">
      <c r="A53" s="3520" t="s">
        <v>3541</v>
      </c>
      <c r="B53" s="3520" t="s">
        <v>3542</v>
      </c>
      <c r="C53" s="3520">
        <v>53</v>
      </c>
      <c r="D53" s="3520" t="s">
        <v>3634</v>
      </c>
      <c r="E53" s="3520" t="s">
        <v>3631</v>
      </c>
      <c r="F53" s="3520">
        <v>3000</v>
      </c>
      <c r="G53" s="3520">
        <f t="shared" si="0"/>
        <v>1.89</v>
      </c>
      <c r="H53" s="3520" t="s">
        <v>3671</v>
      </c>
    </row>
    <row r="54" spans="1:8">
      <c r="A54" s="3520" t="s">
        <v>3541</v>
      </c>
      <c r="B54" s="3520" t="s">
        <v>3549</v>
      </c>
      <c r="C54" s="3520">
        <v>107</v>
      </c>
      <c r="D54" s="3520" t="s">
        <v>3634</v>
      </c>
      <c r="E54" s="3520" t="s">
        <v>3672</v>
      </c>
      <c r="F54" s="3520">
        <v>5500</v>
      </c>
      <c r="G54" s="3520">
        <f t="shared" si="0"/>
        <v>1.71</v>
      </c>
      <c r="H54" s="3520" t="s">
        <v>3673</v>
      </c>
    </row>
    <row r="55" spans="1:8">
      <c r="A55" s="3520" t="s">
        <v>3541</v>
      </c>
      <c r="B55" s="3520" t="s">
        <v>3542</v>
      </c>
      <c r="C55" s="3520">
        <v>53</v>
      </c>
      <c r="D55" s="3520" t="s">
        <v>3634</v>
      </c>
      <c r="F55" s="3520">
        <v>3000</v>
      </c>
      <c r="G55" s="3520">
        <f t="shared" si="0"/>
        <v>1.89</v>
      </c>
      <c r="H55" s="3520" t="s">
        <v>3674</v>
      </c>
    </row>
    <row r="56" spans="1:8">
      <c r="A56" s="3520" t="s">
        <v>3541</v>
      </c>
      <c r="B56" s="3520" t="s">
        <v>3542</v>
      </c>
      <c r="C56" s="3520">
        <v>53.36</v>
      </c>
      <c r="D56" s="3520" t="s">
        <v>3630</v>
      </c>
      <c r="E56" s="3520" t="s">
        <v>3627</v>
      </c>
      <c r="F56" s="3520">
        <v>3000</v>
      </c>
      <c r="G56" s="3520">
        <f t="shared" si="0"/>
        <v>1.87</v>
      </c>
      <c r="H56" s="3520" t="s">
        <v>3675</v>
      </c>
    </row>
    <row r="57" spans="1:8">
      <c r="A57" s="3520" t="s">
        <v>3541</v>
      </c>
      <c r="B57" s="3520" t="s">
        <v>3542</v>
      </c>
      <c r="C57" s="3520">
        <v>52.76</v>
      </c>
      <c r="D57" s="3520" t="s">
        <v>3634</v>
      </c>
      <c r="E57" s="3520" t="s">
        <v>3631</v>
      </c>
      <c r="F57" s="3520">
        <v>3200</v>
      </c>
      <c r="G57" s="3520">
        <f t="shared" si="0"/>
        <v>2.02</v>
      </c>
      <c r="H57" s="3520" t="s">
        <v>3676</v>
      </c>
    </row>
    <row r="58" spans="1:8">
      <c r="A58" s="3520" t="s">
        <v>3541</v>
      </c>
      <c r="B58" s="3520" t="s">
        <v>3546</v>
      </c>
      <c r="C58" s="3520">
        <v>68.92</v>
      </c>
      <c r="D58" s="3520" t="s">
        <v>3630</v>
      </c>
      <c r="E58" s="3520" t="s">
        <v>3604</v>
      </c>
      <c r="F58" s="3520">
        <v>3550</v>
      </c>
      <c r="G58" s="3520">
        <f t="shared" si="0"/>
        <v>1.72</v>
      </c>
      <c r="H58" s="3520" t="s">
        <v>3677</v>
      </c>
    </row>
    <row r="59" spans="1:8">
      <c r="A59" s="3520" t="s">
        <v>3541</v>
      </c>
      <c r="B59" s="3520" t="s">
        <v>3546</v>
      </c>
      <c r="C59" s="3520">
        <v>73</v>
      </c>
      <c r="D59" s="3520" t="s">
        <v>3626</v>
      </c>
      <c r="F59" s="3520">
        <v>3300</v>
      </c>
      <c r="G59" s="3520">
        <f t="shared" si="0"/>
        <v>1.51</v>
      </c>
      <c r="H59" s="3520" t="s">
        <v>3678</v>
      </c>
    </row>
    <row r="60" spans="1:8">
      <c r="A60" s="3520" t="s">
        <v>3541</v>
      </c>
      <c r="B60" s="3520" t="s">
        <v>3669</v>
      </c>
      <c r="C60" s="3520">
        <v>68.22</v>
      </c>
      <c r="D60" s="3520" t="s">
        <v>3634</v>
      </c>
      <c r="F60" s="3520">
        <v>2600</v>
      </c>
      <c r="G60" s="3520">
        <f t="shared" si="0"/>
        <v>1.27</v>
      </c>
      <c r="H60" s="3520" t="s">
        <v>3679</v>
      </c>
    </row>
    <row r="61" spans="1:8">
      <c r="A61" s="3520" t="s">
        <v>3541</v>
      </c>
      <c r="B61" s="3520" t="s">
        <v>3546</v>
      </c>
      <c r="C61" s="3520">
        <v>76.22</v>
      </c>
      <c r="D61" s="3520" t="s">
        <v>3626</v>
      </c>
      <c r="E61" s="3520" t="s">
        <v>3604</v>
      </c>
      <c r="F61" s="3520">
        <v>3700</v>
      </c>
      <c r="G61" s="3520">
        <f t="shared" si="0"/>
        <v>1.62</v>
      </c>
      <c r="H61" s="3520" t="s">
        <v>3680</v>
      </c>
    </row>
    <row r="62" spans="1:8">
      <c r="A62" s="3520" t="s">
        <v>3541</v>
      </c>
      <c r="B62" s="3520" t="s">
        <v>3542</v>
      </c>
      <c r="C62" s="3520">
        <v>52.34</v>
      </c>
      <c r="D62" s="3520" t="s">
        <v>3626</v>
      </c>
      <c r="E62" s="3520" t="s">
        <v>3627</v>
      </c>
      <c r="F62" s="3520">
        <v>2500</v>
      </c>
      <c r="G62" s="3520">
        <f t="shared" si="0"/>
        <v>1.59</v>
      </c>
      <c r="H62" s="3520" t="s">
        <v>3681</v>
      </c>
    </row>
    <row r="63" spans="1:8">
      <c r="A63" s="3520" t="s">
        <v>3541</v>
      </c>
      <c r="B63" s="3520" t="s">
        <v>3542</v>
      </c>
      <c r="C63" s="3520">
        <v>53</v>
      </c>
      <c r="D63" s="3520" t="s">
        <v>3682</v>
      </c>
      <c r="F63" s="3520">
        <v>3200</v>
      </c>
      <c r="G63" s="3520">
        <f t="shared" si="0"/>
        <v>2.0099999999999998</v>
      </c>
      <c r="H63" s="3520" t="s">
        <v>3683</v>
      </c>
    </row>
    <row r="64" spans="1:8">
      <c r="A64" s="3520" t="s">
        <v>3541</v>
      </c>
      <c r="B64" s="3520" t="s">
        <v>3554</v>
      </c>
      <c r="C64" s="3520">
        <v>53</v>
      </c>
      <c r="D64" s="3520" t="s">
        <v>3634</v>
      </c>
      <c r="E64" s="3520" t="s">
        <v>3631</v>
      </c>
      <c r="F64" s="3520">
        <v>2500</v>
      </c>
      <c r="G64" s="3520">
        <f t="shared" si="0"/>
        <v>1.57</v>
      </c>
      <c r="H64" s="3520" t="s">
        <v>3684</v>
      </c>
    </row>
  </sheetData>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54" t="str">
        <f>IF(项目基本情况!B9="房地产市场价值","估价结果一览表","结果表-2")</f>
        <v>估价结果一览表</v>
      </c>
      <c r="B1" s="3554"/>
      <c r="C1" s="3554"/>
      <c r="D1" s="3554"/>
      <c r="E1" s="3554"/>
      <c r="F1" s="3554"/>
      <c r="G1" s="3554"/>
      <c r="H1" s="3554"/>
      <c r="I1" s="3554"/>
    </row>
    <row r="2" spans="1:9" ht="30" customHeight="1" thickTop="1">
      <c r="A2" s="3555" t="s">
        <v>928</v>
      </c>
      <c r="B2" s="3555" t="s">
        <v>929</v>
      </c>
      <c r="C2" s="3555" t="s">
        <v>930</v>
      </c>
      <c r="D2" s="3555" t="str">
        <f>结果表!D116</f>
        <v>出让国有建设用地使用权价值</v>
      </c>
      <c r="E2" s="3555"/>
      <c r="F2" s="3555" t="str">
        <f>结果表!F116</f>
        <v>在建建筑物价值</v>
      </c>
      <c r="G2" s="3555"/>
      <c r="H2" s="3555" t="str">
        <f>IF(项目基本情况!B9="房地产市场价值","房地产市场价值","房地产价值")</f>
        <v>房地产市场价值</v>
      </c>
      <c r="I2" s="3555"/>
    </row>
    <row r="3" spans="1:9" ht="15">
      <c r="A3" s="3550"/>
      <c r="B3" s="3550"/>
      <c r="C3" s="3550"/>
      <c r="D3" s="852" t="s">
        <v>925</v>
      </c>
      <c r="E3" s="852" t="s">
        <v>931</v>
      </c>
      <c r="F3" s="852" t="s">
        <v>925</v>
      </c>
      <c r="G3" s="852" t="s">
        <v>926</v>
      </c>
      <c r="H3" s="852" t="s">
        <v>925</v>
      </c>
      <c r="I3" s="852" t="s">
        <v>926</v>
      </c>
    </row>
    <row r="4" spans="1:9" ht="15">
      <c r="A4" s="1503" t="str">
        <f>项目基本情况!S2</f>
        <v>北京市房地产</v>
      </c>
      <c r="B4" s="852">
        <f>项目基本情况!C17</f>
        <v>8327.76</v>
      </c>
      <c r="C4" s="852">
        <f>项目基本情况!C18</f>
        <v>53147.14</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0" t="s">
        <v>927</v>
      </c>
      <c r="B5" s="3550"/>
      <c r="C5" s="3550"/>
      <c r="D5" s="3550" t="e">
        <f ca="1">结果表!D119</f>
        <v>#REF!</v>
      </c>
      <c r="E5" s="3550"/>
      <c r="F5" s="3550" t="e">
        <f ca="1">结果表!F119</f>
        <v>#REF!</v>
      </c>
      <c r="G5" s="3550"/>
      <c r="H5" s="3550" t="e">
        <f ca="1">结果表!H119</f>
        <v>#REF!</v>
      </c>
      <c r="I5" s="3550"/>
    </row>
    <row r="6" spans="1:9" ht="15.75">
      <c r="A6" s="3549" t="str">
        <f>结果表!A120</f>
        <v/>
      </c>
      <c r="B6" s="3549"/>
      <c r="C6" s="3549"/>
      <c r="D6" s="3549">
        <f>结果表!D120</f>
        <v>0</v>
      </c>
      <c r="E6" s="3549"/>
      <c r="F6" s="3549"/>
      <c r="G6" s="3549"/>
      <c r="H6" s="3549"/>
      <c r="I6" s="3549"/>
    </row>
    <row r="7" spans="1:9" ht="15">
      <c r="A7" s="3550" t="s">
        <v>927</v>
      </c>
      <c r="B7" s="3550"/>
      <c r="C7" s="3550"/>
      <c r="D7" s="3551" t="str">
        <f>结果表!D121</f>
        <v>零元整</v>
      </c>
      <c r="E7" s="3552"/>
      <c r="F7" s="3552"/>
      <c r="G7" s="3552"/>
      <c r="H7" s="3552"/>
      <c r="I7" s="3553"/>
    </row>
    <row r="8" spans="1:9" ht="15.75">
      <c r="A8" s="3549" t="str">
        <f>结果表!A122</f>
        <v/>
      </c>
      <c r="B8" s="3549"/>
      <c r="C8" s="3549"/>
      <c r="D8" s="3549" t="e">
        <f ca="1">结果表!D122</f>
        <v>#REF!</v>
      </c>
      <c r="E8" s="3549"/>
      <c r="F8" s="3549"/>
      <c r="G8" s="3549"/>
      <c r="H8" s="3549"/>
      <c r="I8" s="3549"/>
    </row>
    <row r="9" spans="1:9" ht="15">
      <c r="A9" s="3550" t="s">
        <v>927</v>
      </c>
      <c r="B9" s="3550"/>
      <c r="C9" s="3550"/>
      <c r="D9" s="3550" t="e">
        <f ca="1">结果表!D123</f>
        <v>#REF!</v>
      </c>
      <c r="E9" s="3550"/>
      <c r="F9" s="3550"/>
      <c r="G9" s="3550"/>
      <c r="H9" s="3550"/>
      <c r="I9" s="3550"/>
    </row>
    <row r="10" spans="1:9" ht="15.75">
      <c r="A10" s="3549" t="str">
        <f>结果表!A124</f>
        <v/>
      </c>
      <c r="B10" s="3549"/>
      <c r="C10" s="3549"/>
      <c r="D10" s="3549" t="str">
        <f>结果表!D124</f>
        <v>——</v>
      </c>
      <c r="E10" s="3549"/>
      <c r="F10" s="3549"/>
      <c r="G10" s="3549"/>
      <c r="H10" s="3549"/>
      <c r="I10" s="3549"/>
    </row>
    <row r="11" spans="1:9" ht="15">
      <c r="A11" s="3550" t="s">
        <v>927</v>
      </c>
      <c r="B11" s="3550"/>
      <c r="C11" s="3550"/>
      <c r="D11" s="3550" t="e">
        <f>结果表!D125</f>
        <v>#VALUE!</v>
      </c>
      <c r="E11" s="3550"/>
      <c r="F11" s="3550"/>
      <c r="G11" s="3550"/>
      <c r="H11" s="3550"/>
      <c r="I11" s="3550"/>
    </row>
    <row r="12" spans="1:9" ht="15.75">
      <c r="A12" s="3549" t="str">
        <f>结果表!A126</f>
        <v/>
      </c>
      <c r="B12" s="3549"/>
      <c r="C12" s="3549"/>
      <c r="D12" s="3549" t="str">
        <f>结果表!D126</f>
        <v>——</v>
      </c>
      <c r="E12" s="3549"/>
      <c r="F12" s="3549"/>
      <c r="G12" s="3549"/>
      <c r="H12" s="3549"/>
      <c r="I12" s="3549"/>
    </row>
    <row r="13" spans="1:9" ht="15.75" thickBot="1">
      <c r="A13" s="3547" t="s">
        <v>927</v>
      </c>
      <c r="B13" s="3547"/>
      <c r="C13" s="3547"/>
      <c r="D13" s="3547" t="e">
        <f>结果表!D127</f>
        <v>#VALUE!</v>
      </c>
      <c r="E13" s="3547"/>
      <c r="F13" s="3547"/>
      <c r="G13" s="3547"/>
      <c r="H13" s="3547"/>
      <c r="I13" s="3547"/>
    </row>
    <row r="14" spans="1:9" ht="15" thickTop="1">
      <c r="A14" s="3548" t="s">
        <v>932</v>
      </c>
      <c r="B14" s="3548"/>
      <c r="C14" s="3548"/>
      <c r="D14" s="3548"/>
      <c r="E14" s="3548"/>
      <c r="F14" s="3548"/>
      <c r="G14" s="3548"/>
      <c r="H14" s="3548"/>
      <c r="I14" s="354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A00B-9048-471E-82DA-71CB139FC4EB}">
  <dimension ref="A1"/>
  <sheetViews>
    <sheetView workbookViewId="0">
      <selection activeCell="K3" sqref="K3"/>
    </sheetView>
  </sheetViews>
  <sheetFormatPr defaultRowHeight="13.5"/>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87F2-8898-40A6-A42D-2BBD715A326B}">
  <dimension ref="A1:K28"/>
  <sheetViews>
    <sheetView workbookViewId="0">
      <selection activeCell="F22" sqref="F22"/>
    </sheetView>
  </sheetViews>
  <sheetFormatPr defaultRowHeight="13.5"/>
  <cols>
    <col min="1" max="8" width="11.375" customWidth="1"/>
  </cols>
  <sheetData>
    <row r="1" spans="1:11">
      <c r="A1" s="3533" t="s">
        <v>3685</v>
      </c>
      <c r="B1" s="3533" t="s">
        <v>3686</v>
      </c>
      <c r="C1" s="3533" t="s">
        <v>3687</v>
      </c>
      <c r="D1" s="3533" t="s">
        <v>3688</v>
      </c>
      <c r="E1" s="3533" t="s">
        <v>3685</v>
      </c>
      <c r="F1" s="3533" t="s">
        <v>3686</v>
      </c>
      <c r="G1" s="3533" t="s">
        <v>3687</v>
      </c>
      <c r="H1" s="3533" t="s">
        <v>3688</v>
      </c>
    </row>
    <row r="2" spans="1:11">
      <c r="A2" s="3534">
        <v>1</v>
      </c>
      <c r="B2" s="3533" t="s">
        <v>3689</v>
      </c>
      <c r="C2" s="3533" t="s">
        <v>3690</v>
      </c>
      <c r="D2" s="3534">
        <v>406.4</v>
      </c>
      <c r="E2" s="3534">
        <v>13</v>
      </c>
      <c r="F2" s="3533" t="s">
        <v>3689</v>
      </c>
      <c r="G2" s="3533" t="s">
        <v>3690</v>
      </c>
      <c r="H2" s="3534">
        <v>428</v>
      </c>
    </row>
    <row r="3" spans="1:11">
      <c r="A3" s="3534">
        <v>2</v>
      </c>
      <c r="B3" s="3533" t="s">
        <v>3689</v>
      </c>
      <c r="C3" s="3533" t="s">
        <v>3690</v>
      </c>
      <c r="D3" s="3534">
        <v>365.57</v>
      </c>
      <c r="E3" s="3534">
        <v>14</v>
      </c>
      <c r="F3" s="3533" t="s">
        <v>3689</v>
      </c>
      <c r="G3" s="3533" t="s">
        <v>3690</v>
      </c>
      <c r="H3" s="3534">
        <v>447.6</v>
      </c>
    </row>
    <row r="4" spans="1:11">
      <c r="A4" s="3534">
        <v>3</v>
      </c>
      <c r="B4" s="3533" t="s">
        <v>3689</v>
      </c>
      <c r="C4" s="3533">
        <v>1958</v>
      </c>
      <c r="D4" s="3534">
        <v>437.5</v>
      </c>
      <c r="E4" s="3534">
        <v>15</v>
      </c>
      <c r="F4" s="3533" t="s">
        <v>3689</v>
      </c>
      <c r="G4" s="3533" t="s">
        <v>3690</v>
      </c>
      <c r="H4" s="3534">
        <v>428</v>
      </c>
      <c r="K4" s="3532">
        <v>406.4</v>
      </c>
    </row>
    <row r="5" spans="1:11">
      <c r="A5" s="3534">
        <v>4</v>
      </c>
      <c r="B5" s="3533" t="s">
        <v>3689</v>
      </c>
      <c r="C5" s="3533" t="s">
        <v>3690</v>
      </c>
      <c r="D5" s="3534">
        <v>525.4</v>
      </c>
      <c r="E5" s="3534">
        <v>16</v>
      </c>
      <c r="F5" s="3533" t="s">
        <v>3689</v>
      </c>
      <c r="G5" s="3533" t="s">
        <v>3690</v>
      </c>
      <c r="H5" s="3534">
        <v>364.6</v>
      </c>
      <c r="K5" s="3532">
        <v>365.57</v>
      </c>
    </row>
    <row r="6" spans="1:11">
      <c r="A6" s="3534">
        <v>5</v>
      </c>
      <c r="B6" s="3533" t="s">
        <v>3689</v>
      </c>
      <c r="C6" s="3533" t="s">
        <v>3690</v>
      </c>
      <c r="D6" s="3534">
        <v>362.5</v>
      </c>
      <c r="E6" s="3534">
        <v>17</v>
      </c>
      <c r="F6" s="3533" t="s">
        <v>3689</v>
      </c>
      <c r="G6" s="3533" t="s">
        <v>3690</v>
      </c>
      <c r="H6" s="3534">
        <v>530.70000000000005</v>
      </c>
      <c r="K6" s="3532">
        <v>437.5</v>
      </c>
    </row>
    <row r="7" spans="1:11">
      <c r="A7" s="3534">
        <v>6</v>
      </c>
      <c r="B7" s="3533" t="s">
        <v>3689</v>
      </c>
      <c r="C7" s="3533">
        <v>1974</v>
      </c>
      <c r="D7" s="3534">
        <v>655.96</v>
      </c>
      <c r="E7" s="3534">
        <v>18</v>
      </c>
      <c r="F7" s="3533" t="s">
        <v>3689</v>
      </c>
      <c r="G7" s="3533" t="s">
        <v>3690</v>
      </c>
      <c r="H7" s="3534">
        <v>362</v>
      </c>
      <c r="K7" s="3532">
        <v>525.4</v>
      </c>
    </row>
    <row r="8" spans="1:11">
      <c r="A8" s="3534">
        <v>7</v>
      </c>
      <c r="B8" s="3533" t="s">
        <v>3689</v>
      </c>
      <c r="C8" s="3533" t="s">
        <v>3690</v>
      </c>
      <c r="D8" s="3534">
        <v>527.1</v>
      </c>
      <c r="E8" s="3534">
        <v>19</v>
      </c>
      <c r="F8" s="3533" t="s">
        <v>3691</v>
      </c>
      <c r="G8" s="3533">
        <v>1977</v>
      </c>
      <c r="H8" s="3534">
        <v>17.899999999999999</v>
      </c>
      <c r="K8" s="3532">
        <v>362.5</v>
      </c>
    </row>
    <row r="9" spans="1:11">
      <c r="A9" s="3534">
        <v>8</v>
      </c>
      <c r="B9" s="3533" t="s">
        <v>3691</v>
      </c>
      <c r="C9" s="3533" t="s">
        <v>3690</v>
      </c>
      <c r="D9" s="3534">
        <v>73.2</v>
      </c>
      <c r="E9" s="3534">
        <v>20</v>
      </c>
      <c r="F9" s="3533" t="s">
        <v>3691</v>
      </c>
      <c r="G9" s="3533">
        <v>1977</v>
      </c>
      <c r="H9" s="3534">
        <v>16.899999999999999</v>
      </c>
      <c r="K9" s="3532">
        <v>655.96</v>
      </c>
    </row>
    <row r="10" spans="1:11">
      <c r="A10" s="3534">
        <v>9</v>
      </c>
      <c r="B10" s="3533" t="s">
        <v>3689</v>
      </c>
      <c r="C10" s="3533" t="s">
        <v>3690</v>
      </c>
      <c r="D10" s="3534">
        <v>287.60000000000002</v>
      </c>
      <c r="E10" s="3534">
        <v>21</v>
      </c>
      <c r="F10" s="3533" t="s">
        <v>3689</v>
      </c>
      <c r="G10" s="3533">
        <v>1965</v>
      </c>
      <c r="H10" s="3534">
        <v>438.96</v>
      </c>
      <c r="K10" s="3532">
        <v>527.1</v>
      </c>
    </row>
    <row r="11" spans="1:11">
      <c r="A11" s="3534">
        <v>10</v>
      </c>
      <c r="B11" s="3533" t="s">
        <v>3689</v>
      </c>
      <c r="C11" s="3533" t="s">
        <v>3690</v>
      </c>
      <c r="D11" s="3534">
        <v>369</v>
      </c>
      <c r="E11" s="3534">
        <v>22</v>
      </c>
      <c r="F11" s="3533" t="s">
        <v>3689</v>
      </c>
      <c r="G11" s="3533" t="s">
        <v>3690</v>
      </c>
      <c r="H11" s="3534">
        <v>362.4</v>
      </c>
      <c r="K11" s="3532">
        <v>73.2</v>
      </c>
    </row>
    <row r="12" spans="1:11">
      <c r="A12" s="3534">
        <v>11</v>
      </c>
      <c r="B12" s="3533" t="s">
        <v>3689</v>
      </c>
      <c r="C12" s="3533">
        <v>1963</v>
      </c>
      <c r="D12" s="3534">
        <v>40.4</v>
      </c>
      <c r="E12" s="3534">
        <v>23</v>
      </c>
      <c r="F12" s="3533" t="s">
        <v>3689</v>
      </c>
      <c r="G12" s="3533" t="s">
        <v>3690</v>
      </c>
      <c r="H12" s="3534">
        <v>329.97</v>
      </c>
      <c r="K12" s="3532">
        <v>287.60000000000002</v>
      </c>
    </row>
    <row r="13" spans="1:11">
      <c r="A13" s="3534">
        <v>12</v>
      </c>
      <c r="B13" s="3533" t="s">
        <v>3689</v>
      </c>
      <c r="C13" s="3533" t="s">
        <v>3690</v>
      </c>
      <c r="D13" s="3534">
        <v>525.5</v>
      </c>
      <c r="E13" s="3534">
        <v>24</v>
      </c>
      <c r="F13" s="3533" t="s">
        <v>3691</v>
      </c>
      <c r="G13" s="3533">
        <v>1965</v>
      </c>
      <c r="H13" s="3534">
        <v>24.6</v>
      </c>
      <c r="K13" s="3532">
        <v>369</v>
      </c>
    </row>
    <row r="14" spans="1:11">
      <c r="A14" s="3533" t="s">
        <v>2595</v>
      </c>
      <c r="B14" s="3917">
        <f>K28</f>
        <v>8327.7599999999984</v>
      </c>
      <c r="C14" s="3917"/>
      <c r="D14" s="3917"/>
      <c r="E14" s="3917"/>
      <c r="F14" s="3917"/>
      <c r="G14" s="3917"/>
      <c r="H14" s="3917"/>
      <c r="K14" s="3532">
        <v>40.4</v>
      </c>
    </row>
    <row r="15" spans="1:11">
      <c r="K15" s="3532">
        <v>525.5</v>
      </c>
    </row>
    <row r="16" spans="1:11">
      <c r="K16" s="3532">
        <v>428</v>
      </c>
    </row>
    <row r="17" spans="11:11">
      <c r="K17" s="3532">
        <v>447.6</v>
      </c>
    </row>
    <row r="18" spans="11:11">
      <c r="K18" s="3532">
        <v>428</v>
      </c>
    </row>
    <row r="19" spans="11:11">
      <c r="K19" s="3532">
        <v>364.6</v>
      </c>
    </row>
    <row r="20" spans="11:11">
      <c r="K20" s="3532">
        <v>530.70000000000005</v>
      </c>
    </row>
    <row r="21" spans="11:11">
      <c r="K21" s="3532">
        <v>362</v>
      </c>
    </row>
    <row r="22" spans="11:11">
      <c r="K22" s="3532">
        <v>17.899999999999999</v>
      </c>
    </row>
    <row r="23" spans="11:11">
      <c r="K23" s="3532">
        <v>16.899999999999999</v>
      </c>
    </row>
    <row r="24" spans="11:11">
      <c r="K24" s="3532">
        <v>438.96</v>
      </c>
    </row>
    <row r="25" spans="11:11">
      <c r="K25" s="3532">
        <v>362.4</v>
      </c>
    </row>
    <row r="26" spans="11:11">
      <c r="K26" s="3532">
        <v>329.97</v>
      </c>
    </row>
    <row r="27" spans="11:11">
      <c r="K27" s="3532">
        <v>24.6</v>
      </c>
    </row>
    <row r="28" spans="11:11">
      <c r="K28">
        <f>SUM(K4:K27)</f>
        <v>8327.7599999999984</v>
      </c>
    </row>
  </sheetData>
  <mergeCells count="1">
    <mergeCell ref="B14:H14"/>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827E6-6ACA-460A-BAAA-8C9C0F121EE6}">
  <dimension ref="A1:E6"/>
  <sheetViews>
    <sheetView workbookViewId="0">
      <selection activeCell="D17" sqref="D17"/>
    </sheetView>
  </sheetViews>
  <sheetFormatPr defaultRowHeight="13.5"/>
  <sheetData>
    <row r="1" spans="1:5" s="3520" customFormat="1">
      <c r="A1" s="3520" t="s">
        <v>3591</v>
      </c>
      <c r="B1" s="3520">
        <v>69.33</v>
      </c>
      <c r="C1" s="3520" t="s">
        <v>3598</v>
      </c>
      <c r="D1" s="3520">
        <v>2</v>
      </c>
      <c r="E1" s="3520" t="s">
        <v>3600</v>
      </c>
    </row>
    <row r="2" spans="1:5" s="3520" customFormat="1">
      <c r="A2" s="3520" t="s">
        <v>3591</v>
      </c>
      <c r="B2" s="3520">
        <v>69</v>
      </c>
      <c r="C2" s="3520" t="s">
        <v>3593</v>
      </c>
      <c r="D2" s="3520">
        <v>2.17</v>
      </c>
      <c r="E2" s="3520" t="s">
        <v>3616</v>
      </c>
    </row>
    <row r="3" spans="1:5" s="3520" customFormat="1">
      <c r="A3" s="3520" t="s">
        <v>3541</v>
      </c>
      <c r="B3" s="3520">
        <v>53</v>
      </c>
      <c r="C3" s="3520" t="s">
        <v>3634</v>
      </c>
      <c r="D3" s="3520">
        <v>1.89</v>
      </c>
      <c r="E3" s="3520" t="s">
        <v>3635</v>
      </c>
    </row>
    <row r="4" spans="1:5" s="3520" customFormat="1">
      <c r="A4" s="3520" t="s">
        <v>3541</v>
      </c>
      <c r="B4" s="3520">
        <v>68</v>
      </c>
      <c r="C4" s="3520" t="s">
        <v>3634</v>
      </c>
      <c r="D4" s="3520">
        <v>1.72</v>
      </c>
      <c r="E4" s="3520" t="s">
        <v>3638</v>
      </c>
    </row>
    <row r="5" spans="1:5" s="3520" customFormat="1">
      <c r="A5" s="3520" t="s">
        <v>3541</v>
      </c>
      <c r="B5" s="3520">
        <v>68.83</v>
      </c>
      <c r="C5" s="3520" t="s">
        <v>3626</v>
      </c>
      <c r="D5" s="3520">
        <v>1.69</v>
      </c>
      <c r="E5" s="3520" t="s">
        <v>3641</v>
      </c>
    </row>
    <row r="6" spans="1:5" s="3520" customFormat="1">
      <c r="A6" s="3520" t="s">
        <v>3541</v>
      </c>
      <c r="B6" s="3520">
        <v>68</v>
      </c>
      <c r="C6" s="3520" t="s">
        <v>3634</v>
      </c>
      <c r="D6" s="3520">
        <v>1.32</v>
      </c>
      <c r="E6" s="3520" t="s">
        <v>3642</v>
      </c>
    </row>
  </sheetData>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62" t="s">
        <v>949</v>
      </c>
      <c r="B1" s="3562"/>
      <c r="C1" s="3562"/>
      <c r="D1" s="3562"/>
    </row>
    <row r="2" spans="1:4" ht="18">
      <c r="A2" s="3563" t="s">
        <v>933</v>
      </c>
      <c r="B2" s="3563"/>
      <c r="C2" s="3563"/>
      <c r="D2" s="356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63" t="s">
        <v>939</v>
      </c>
      <c r="B6" s="3563"/>
      <c r="C6" s="3563"/>
      <c r="D6" s="356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64" t="s">
        <v>942</v>
      </c>
      <c r="B11" s="3556"/>
      <c r="C11" s="3556"/>
      <c r="D11" s="3556"/>
    </row>
    <row r="12" spans="1:4" ht="15.75">
      <c r="A12" s="3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1"/>
      <c r="C12" s="3561"/>
      <c r="D12" s="3561"/>
    </row>
    <row r="13" spans="1:4" ht="30" customHeight="1">
      <c r="A13" s="3556" t="str">
        <f>IF(项目基本情况!B8="抵押","3.抵押双方在办理抵押登记手续时，应使用本公司出具的正式《房地产评估报告》，特提醒报告使用者注意。","——")</f>
        <v>——</v>
      </c>
      <c r="B13" s="3561"/>
      <c r="C13" s="3561"/>
      <c r="D13" s="3561"/>
    </row>
    <row r="14" spans="1:4" ht="15.75" customHeight="1">
      <c r="A14" s="3556" t="str">
        <f>IF(项目基本情况!B8="抵押","4.本次评估估价师所知悉的法定优先受偿款情况说明如下：","——")</f>
        <v>——</v>
      </c>
      <c r="B14" s="3561"/>
      <c r="C14" s="3561"/>
      <c r="D14" s="3561"/>
    </row>
    <row r="15" spans="1:4" ht="42" customHeight="1">
      <c r="A15" s="3556" t="str">
        <f>IF(项目基本情况!B8="抵押","（1）"&amp;CONCATENATE(项目基本情况!L20,项目基本情况!L21,项目基本情况!L22),"——")</f>
        <v>——</v>
      </c>
      <c r="B15" s="3556"/>
      <c r="C15" s="3556"/>
      <c r="D15" s="3556"/>
    </row>
    <row r="16" spans="1:4" ht="30" customHeight="1">
      <c r="A16" s="3558" t="s">
        <v>943</v>
      </c>
      <c r="B16" s="3558"/>
      <c r="C16" s="3558"/>
      <c r="D16" s="3558"/>
    </row>
    <row r="17" spans="1:4" ht="144" customHeight="1">
      <c r="A17" s="3558" t="s">
        <v>944</v>
      </c>
      <c r="B17" s="3558"/>
      <c r="C17" s="3558"/>
      <c r="D17" s="3558"/>
    </row>
    <row r="18" spans="1:4" ht="15.75" customHeight="1">
      <c r="A18" s="3556" t="str">
        <f>IF(项目基本情况!B8="抵押",结果表!K120,"——")</f>
        <v>——</v>
      </c>
      <c r="B18" s="3556"/>
      <c r="C18" s="3556"/>
      <c r="D18" s="3556"/>
    </row>
    <row r="19" spans="1:4" ht="46.5" customHeight="1">
      <c r="A19" s="3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6"/>
      <c r="C19" s="3556"/>
      <c r="D19" s="3556"/>
    </row>
    <row r="20" spans="1:4" ht="57.75" customHeight="1">
      <c r="A20" s="3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6"/>
      <c r="C20" s="3556"/>
      <c r="D20" s="3556"/>
    </row>
    <row r="21" spans="1:4" ht="57.75" customHeight="1">
      <c r="A21" s="3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9"/>
      <c r="C21" s="3559"/>
      <c r="D21" s="3559"/>
    </row>
    <row r="22" spans="1:4" ht="18.75" customHeight="1">
      <c r="A22" s="3560" t="s">
        <v>945</v>
      </c>
      <c r="B22" s="3560"/>
      <c r="C22" s="3560"/>
      <c r="D22" s="356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7">
        <v>42551</v>
      </c>
      <c r="D31" s="35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70" t="s">
        <v>956</v>
      </c>
      <c r="B15" s="3565" t="s">
        <v>109</v>
      </c>
      <c r="C15" s="3566"/>
    </row>
    <row r="16" spans="1:7" ht="13.5">
      <c r="A16" s="3571"/>
      <c r="B16" s="3565" t="s">
        <v>42</v>
      </c>
      <c r="C16" s="3566"/>
    </row>
    <row r="17" spans="1:3" ht="13.5">
      <c r="A17" s="3571"/>
      <c r="B17" s="3568" t="s">
        <v>957</v>
      </c>
      <c r="C17" s="1530" t="s">
        <v>956</v>
      </c>
    </row>
    <row r="18" spans="1:3" ht="13.5">
      <c r="A18" s="3571"/>
      <c r="B18" s="3568"/>
      <c r="C18" s="1530" t="s">
        <v>958</v>
      </c>
    </row>
    <row r="19" spans="1:3" ht="13.5">
      <c r="A19" s="3571"/>
      <c r="B19" s="3568"/>
      <c r="C19" s="1530" t="s">
        <v>959</v>
      </c>
    </row>
    <row r="20" spans="1:3" ht="13.5">
      <c r="A20" s="3572"/>
      <c r="B20" s="3567" t="s">
        <v>960</v>
      </c>
      <c r="C20" s="3566"/>
    </row>
    <row r="21" spans="1:3" ht="13.5">
      <c r="A21" s="1531" t="s">
        <v>961</v>
      </c>
      <c r="B21" s="1532"/>
      <c r="C21" s="1533"/>
    </row>
    <row r="22" spans="1:3" ht="13.5">
      <c r="A22" s="3569" t="s">
        <v>962</v>
      </c>
      <c r="B22" s="3567" t="s">
        <v>963</v>
      </c>
      <c r="C22" s="3566"/>
    </row>
    <row r="23" spans="1:3" ht="13.5">
      <c r="A23" s="3569"/>
      <c r="B23" s="3567" t="s">
        <v>964</v>
      </c>
      <c r="C23" s="3566"/>
    </row>
    <row r="24" spans="1:3" ht="13.5">
      <c r="A24" s="3569"/>
      <c r="B24" s="3567" t="s">
        <v>965</v>
      </c>
      <c r="C24" s="3566"/>
    </row>
    <row r="25" spans="1:3" ht="13.5">
      <c r="A25" s="3569"/>
      <c r="B25" s="3568" t="s">
        <v>966</v>
      </c>
      <c r="C25" s="1530" t="s">
        <v>967</v>
      </c>
    </row>
    <row r="26" spans="1:3" ht="13.5">
      <c r="A26" s="3569"/>
      <c r="B26" s="3568"/>
      <c r="C26" s="1530" t="s">
        <v>968</v>
      </c>
    </row>
    <row r="27" spans="1:3" ht="13.5">
      <c r="A27" s="3569"/>
      <c r="B27" s="3568"/>
      <c r="C27" s="1530" t="s">
        <v>969</v>
      </c>
    </row>
    <row r="28" spans="1:3" ht="13.5">
      <c r="A28" s="3569"/>
      <c r="B28" s="3568"/>
      <c r="C28" s="1530" t="s">
        <v>970</v>
      </c>
    </row>
    <row r="29" spans="1:3" ht="13.5">
      <c r="A29" s="3569"/>
      <c r="B29" s="3568"/>
      <c r="C29" s="1530" t="s">
        <v>971</v>
      </c>
    </row>
    <row r="30" spans="1:3" ht="13.5">
      <c r="A30" s="3569"/>
      <c r="B30" s="3568"/>
      <c r="C30" s="1530" t="s">
        <v>972</v>
      </c>
    </row>
    <row r="31" spans="1:3" ht="13.5">
      <c r="A31" s="3569"/>
      <c r="B31" s="3568"/>
      <c r="C31" s="1530" t="s">
        <v>973</v>
      </c>
    </row>
    <row r="32" spans="1:3" ht="13.5">
      <c r="A32" s="3569"/>
      <c r="B32" s="3568"/>
      <c r="C32" s="1530" t="s">
        <v>974</v>
      </c>
    </row>
    <row r="33" spans="1:3" ht="13.5">
      <c r="A33" s="3569"/>
      <c r="B33" s="356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45152</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73" t="s">
        <v>2160</v>
      </c>
      <c r="B17" s="3573"/>
      <c r="C17" s="3573"/>
      <c r="D17" s="3573"/>
      <c r="E17" s="3573"/>
      <c r="F17" s="3573"/>
      <c r="G17" s="3573"/>
      <c r="H17" s="3573"/>
    </row>
    <row r="18" spans="1:8" ht="24" customHeight="1">
      <c r="A18" s="3574" t="s">
        <v>2161</v>
      </c>
      <c r="B18" s="3574"/>
      <c r="C18" s="3574"/>
      <c r="D18" s="2341"/>
      <c r="E18" s="3575" t="s">
        <v>2162</v>
      </c>
      <c r="F18" s="3574"/>
      <c r="G18" s="3574"/>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(倒算)</vt:lpstr>
      <vt:lpstr>成本法</vt:lpstr>
      <vt:lpstr>基准地价修正（科研）</vt:lpstr>
      <vt:lpstr>修正</vt:lpstr>
      <vt:lpstr>基准地价修正（工业）</vt:lpstr>
      <vt:lpstr>容积率修正</vt:lpstr>
      <vt:lpstr>成本法（废）</vt:lpstr>
      <vt:lpstr>区片价</vt:lpstr>
      <vt:lpstr>因素修正幅度</vt:lpstr>
      <vt:lpstr>区片价（范围）</vt:lpstr>
      <vt:lpstr>地价-分区</vt:lpstr>
      <vt:lpstr>地价</vt:lpstr>
      <vt:lpstr>存贷款利率</vt:lpstr>
      <vt:lpstr>收益法-酒店模型</vt:lpstr>
      <vt:lpstr>交易成交案例</vt:lpstr>
      <vt:lpstr>租赁成交案例</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'基准地价修正（科研）'!Print_Area</vt:lpstr>
      <vt:lpstr>假设开发法!Print_Area</vt:lpstr>
      <vt:lpstr>结果表!Print_Area</vt:lpstr>
      <vt:lpstr>收益法!Print_Area</vt:lpstr>
      <vt:lpstr>'收益法 (倒算)'!Print_Area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'基准地价修正（工业）'!季度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2023-08-14T08:33:41Z</dcterms:modified>
</cp:coreProperties>
</file>