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滁州苏宁-五矿信托-项目资料/"/>
    </mc:Choice>
  </mc:AlternateContent>
  <xr:revisionPtr revIDLastSave="0" documentId="13_ncr:1_{33476363-2219-874F-A825-D8A8CDD1A04E}" xr6:coauthVersionLast="44" xr6:coauthVersionMax="44" xr10:uidLastSave="{00000000-0000-0000-0000-000000000000}"/>
  <bookViews>
    <workbookView xWindow="0" yWindow="0" windowWidth="28800" windowHeight="18000" tabRatio="875" firstSheet="7"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住宅土地案例" sheetId="69" r:id="rId12"/>
    <sheet name="Sheet1" sheetId="70" r:id="rId13"/>
    <sheet name="数据-基础表" sheetId="3" r:id="rId14"/>
    <sheet name="抵押物清单（分楼）" sheetId="42" state="hidden" r:id="rId15"/>
    <sheet name="数据-汇总表" sheetId="6" r:id="rId16"/>
    <sheet name="数据-取费表" sheetId="1" r:id="rId17"/>
    <sheet name="比较法-住宅、综合" sheetId="39" r:id="rId18"/>
    <sheet name="估价对象房地状况" sheetId="20" r:id="rId19"/>
    <sheet name="系统读取表" sheetId="66" r:id="rId20"/>
    <sheet name="结果表" sheetId="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地下车库" sheetId="71" r:id="rId33"/>
    <sheet name="不动产收益法-自持地上商业" sheetId="72" r:id="rId34"/>
    <sheet name="不动产收益法-自持地下商业" sheetId="15"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9" hidden="1">项目基本情况!$A$48:$N$48</definedName>
    <definedName name="_xlnm._FilterDatabase" localSheetId="11" hidden="1">住宅土地案例!$A$1:$Q$95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6" i="66" l="1"/>
  <c r="C16" i="66"/>
  <c r="B15" i="66"/>
  <c r="C15" i="66"/>
  <c r="D15" i="66"/>
  <c r="E120" i="39"/>
  <c r="D120" i="39"/>
  <c r="G40" i="39"/>
  <c r="I40" i="39"/>
  <c r="E40" i="39"/>
  <c r="C40" i="39"/>
  <c r="N73" i="39"/>
  <c r="F6" i="71"/>
  <c r="F8" i="71"/>
  <c r="F7" i="71"/>
  <c r="F9" i="71"/>
  <c r="C6" i="71"/>
  <c r="N4" i="65"/>
  <c r="C4" i="65"/>
  <c r="B39" i="1"/>
  <c r="F11" i="71"/>
  <c r="C10" i="71"/>
  <c r="C5" i="71"/>
  <c r="C32" i="71"/>
  <c r="C33" i="71"/>
  <c r="F35" i="71"/>
  <c r="C34" i="71"/>
  <c r="C31" i="71"/>
  <c r="M12" i="1"/>
  <c r="M14" i="1"/>
  <c r="T12" i="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12" i="1"/>
  <c r="F41" i="71"/>
  <c r="C40" i="71"/>
  <c r="M6" i="71"/>
  <c r="M8" i="71"/>
  <c r="M7" i="71"/>
  <c r="M9" i="71"/>
  <c r="J6" i="71"/>
  <c r="M11" i="71"/>
  <c r="J10" i="71"/>
  <c r="J5" i="71"/>
  <c r="J26" i="71"/>
  <c r="J29" i="71"/>
  <c r="B2" i="71"/>
  <c r="B3" i="71"/>
  <c r="I8" i="12"/>
  <c r="I10" i="12"/>
  <c r="G1" i="72"/>
  <c r="F6" i="72"/>
  <c r="F8" i="72"/>
  <c r="F7" i="72"/>
  <c r="F9" i="72"/>
  <c r="C6" i="72"/>
  <c r="F11" i="72"/>
  <c r="C10" i="72"/>
  <c r="C5" i="72"/>
  <c r="F32" i="72"/>
  <c r="C32" i="72"/>
  <c r="F33" i="72"/>
  <c r="C33" i="72"/>
  <c r="F34" i="72"/>
  <c r="F35" i="72"/>
  <c r="C34" i="72"/>
  <c r="C31" i="72"/>
  <c r="T11" i="1"/>
  <c r="C14" i="72"/>
  <c r="F15" i="72"/>
  <c r="C15" i="72"/>
  <c r="F16" i="72"/>
  <c r="C16" i="72"/>
  <c r="F17" i="72"/>
  <c r="F43" i="72"/>
  <c r="C17" i="72"/>
  <c r="F18" i="72"/>
  <c r="C18" i="72"/>
  <c r="C19" i="72"/>
  <c r="F20" i="72"/>
  <c r="C20" i="72"/>
  <c r="F24" i="72"/>
  <c r="F23" i="72"/>
  <c r="C23" i="72"/>
  <c r="F26" i="72"/>
  <c r="C26" i="72"/>
  <c r="F21" i="72"/>
  <c r="C24" i="72"/>
  <c r="C27" i="72"/>
  <c r="F28" i="72"/>
  <c r="C28" i="72"/>
  <c r="C29" i="72"/>
  <c r="F36" i="72"/>
  <c r="C36" i="72"/>
  <c r="F13" i="72"/>
  <c r="C13" i="72"/>
  <c r="F37" i="72"/>
  <c r="C37" i="72"/>
  <c r="F38" i="72"/>
  <c r="C38" i="72"/>
  <c r="C30" i="72"/>
  <c r="C39" i="72"/>
  <c r="F42" i="72"/>
  <c r="F40" i="72"/>
  <c r="L48" i="15"/>
  <c r="J53" i="15"/>
  <c r="F1" i="15"/>
  <c r="AE11" i="1"/>
  <c r="F41" i="72"/>
  <c r="C40" i="72"/>
  <c r="M6" i="72"/>
  <c r="M8" i="72"/>
  <c r="M7" i="72"/>
  <c r="M9" i="72"/>
  <c r="J6" i="72"/>
  <c r="M11" i="72"/>
  <c r="J10" i="72"/>
  <c r="J5" i="72"/>
  <c r="J26" i="72"/>
  <c r="J29" i="72"/>
  <c r="Q66" i="72"/>
  <c r="M47" i="72"/>
  <c r="L48" i="72"/>
  <c r="J50" i="72"/>
  <c r="J51"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57" i="72"/>
  <c r="J55" i="72"/>
  <c r="J58" i="72"/>
  <c r="J59" i="72"/>
  <c r="J53" i="72"/>
  <c r="J60" i="72"/>
  <c r="Q59" i="72"/>
  <c r="F58" i="72"/>
  <c r="L57" i="72"/>
  <c r="L56" i="72"/>
  <c r="Q48" i="72"/>
  <c r="Q49" i="72"/>
  <c r="Q54" i="72"/>
  <c r="I54" i="72"/>
  <c r="Q53" i="72"/>
  <c r="Q52" i="72"/>
  <c r="Q51" i="72"/>
  <c r="Q50" i="72"/>
  <c r="L46"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B2" i="72"/>
  <c r="B3" i="72"/>
  <c r="F1" i="72"/>
  <c r="G1" i="71"/>
  <c r="F32" i="71"/>
  <c r="F33" i="71"/>
  <c r="F34" i="71"/>
  <c r="F15" i="71"/>
  <c r="F17" i="71"/>
  <c r="F18" i="71"/>
  <c r="F20" i="71"/>
  <c r="F23" i="71"/>
  <c r="F21" i="71"/>
  <c r="F28" i="71"/>
  <c r="C28" i="71"/>
  <c r="G1" i="15"/>
  <c r="M47" i="15"/>
  <c r="J51" i="15"/>
  <c r="Q66" i="71"/>
  <c r="M47"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AH12" i="1"/>
  <c r="I48" i="39"/>
  <c r="G48" i="39"/>
  <c r="E48" i="39"/>
  <c r="I5" i="39"/>
  <c r="G9" i="39"/>
  <c r="E9" i="39"/>
  <c r="I7" i="39"/>
  <c r="G7" i="39"/>
  <c r="E7" i="39"/>
  <c r="A3" i="3"/>
  <c r="U13" i="3"/>
  <c r="AL13" i="3"/>
  <c r="Q13" i="3"/>
  <c r="I13" i="3"/>
  <c r="G8" i="68"/>
  <c r="H8" i="68"/>
  <c r="F8" i="68"/>
  <c r="D73" i="39"/>
  <c r="E73" i="39"/>
  <c r="F73" i="39"/>
  <c r="G73" i="39"/>
  <c r="H73" i="39"/>
  <c r="I73" i="39"/>
  <c r="J73" i="39"/>
  <c r="K73" i="39"/>
  <c r="L73" i="39"/>
  <c r="M73" i="39"/>
  <c r="E82" i="39"/>
  <c r="F82" i="39"/>
  <c r="G82" i="39"/>
  <c r="H82" i="39"/>
  <c r="I82" i="39"/>
  <c r="J82" i="39"/>
  <c r="K82" i="39"/>
  <c r="D82" i="39"/>
  <c r="E13" i="39"/>
  <c r="F19" i="6"/>
  <c r="F20" i="6"/>
  <c r="F21" i="6"/>
  <c r="F22" i="6"/>
  <c r="F23" i="6"/>
  <c r="BB13" i="3"/>
  <c r="BB14" i="3"/>
  <c r="BB15" i="3"/>
  <c r="BB16" i="3"/>
  <c r="BB17" i="3"/>
  <c r="BB18" i="3"/>
  <c r="BB19" i="3"/>
  <c r="BB5" i="3"/>
  <c r="BC13" i="3"/>
  <c r="BC14" i="3"/>
  <c r="BC15" i="3"/>
  <c r="BC16" i="3"/>
  <c r="BC17" i="3"/>
  <c r="BC18" i="3"/>
  <c r="BC19" i="3"/>
  <c r="BC5" i="3"/>
  <c r="BD13" i="3"/>
  <c r="BD14" i="3"/>
  <c r="BD15" i="3"/>
  <c r="BD16" i="3"/>
  <c r="BD17" i="3"/>
  <c r="BD18" i="3"/>
  <c r="BD19" i="3"/>
  <c r="BD5" i="3"/>
  <c r="BE13" i="3"/>
  <c r="BE14" i="3"/>
  <c r="BE15" i="3"/>
  <c r="BE16" i="3"/>
  <c r="BE17" i="3"/>
  <c r="BE18" i="3"/>
  <c r="BE19" i="3"/>
  <c r="BE5" i="3"/>
  <c r="BF13" i="3"/>
  <c r="BF14" i="3"/>
  <c r="BF15" i="3"/>
  <c r="BF16" i="3"/>
  <c r="BF17" i="3"/>
  <c r="BF18" i="3"/>
  <c r="BF19" i="3"/>
  <c r="BF5" i="3"/>
  <c r="BG13" i="3"/>
  <c r="BG14" i="3"/>
  <c r="BG15" i="3"/>
  <c r="BG16" i="3"/>
  <c r="BG17" i="3"/>
  <c r="BG18" i="3"/>
  <c r="BG19" i="3"/>
  <c r="BG5" i="3"/>
  <c r="BH13" i="3"/>
  <c r="BH14" i="3"/>
  <c r="BH15" i="3"/>
  <c r="BH16" i="3"/>
  <c r="BH17" i="3"/>
  <c r="BH18" i="3"/>
  <c r="BH19" i="3"/>
  <c r="BH5" i="3"/>
  <c r="BI13" i="3"/>
  <c r="BI14" i="3"/>
  <c r="BI15" i="3"/>
  <c r="BI16" i="3"/>
  <c r="BI17" i="3"/>
  <c r="BI18" i="3"/>
  <c r="BI19" i="3"/>
  <c r="BI5" i="3"/>
  <c r="E8" i="6"/>
  <c r="F27" i="6"/>
  <c r="BQ13" i="3"/>
  <c r="BQ14" i="3"/>
  <c r="BQ15" i="3"/>
  <c r="BQ16" i="3"/>
  <c r="BQ17" i="3"/>
  <c r="BQ18" i="3"/>
  <c r="BQ19" i="3"/>
  <c r="BQ5" i="3"/>
  <c r="F28" i="6"/>
  <c r="F30" i="6"/>
  <c r="F31" i="6"/>
  <c r="BA13" i="3"/>
  <c r="BR13" i="3"/>
  <c r="BL13" i="3"/>
  <c r="AZ13" i="3"/>
  <c r="BA14" i="3"/>
  <c r="BR14" i="3"/>
  <c r="BL14" i="3"/>
  <c r="AZ14" i="3"/>
  <c r="BA15" i="3"/>
  <c r="BR15" i="3"/>
  <c r="BL15" i="3"/>
  <c r="AZ15" i="3"/>
  <c r="BA16" i="3"/>
  <c r="BR16" i="3"/>
  <c r="BL16" i="3"/>
  <c r="AZ16" i="3"/>
  <c r="BA17" i="3"/>
  <c r="BR17" i="3"/>
  <c r="BL17" i="3"/>
  <c r="AZ17" i="3"/>
  <c r="BA18" i="3"/>
  <c r="BR18" i="3"/>
  <c r="BL18" i="3"/>
  <c r="AZ18" i="3"/>
  <c r="BA19" i="3"/>
  <c r="BR19" i="3"/>
  <c r="BL19" i="3"/>
  <c r="AZ19" i="3"/>
  <c r="AZ5" i="3"/>
  <c r="H13" i="3"/>
  <c r="AC13" i="3"/>
  <c r="G13" i="3"/>
  <c r="H14" i="3"/>
  <c r="AC14" i="3"/>
  <c r="G14" i="3"/>
  <c r="H15" i="3"/>
  <c r="AC15" i="3"/>
  <c r="G15" i="3"/>
  <c r="H16" i="3"/>
  <c r="AC16" i="3"/>
  <c r="G16" i="3"/>
  <c r="H17" i="3"/>
  <c r="AC17" i="3"/>
  <c r="G17" i="3"/>
  <c r="H18" i="3"/>
  <c r="AC18" i="3"/>
  <c r="G18" i="3"/>
  <c r="H19" i="3"/>
  <c r="AC19" i="3"/>
  <c r="G19" i="3"/>
  <c r="G5" i="3"/>
  <c r="B3" i="3"/>
  <c r="AY6" i="3"/>
  <c r="D3" i="6"/>
  <c r="E19" i="6"/>
  <c r="E3" i="6"/>
  <c r="D19" i="6"/>
  <c r="E20" i="6"/>
  <c r="D20" i="6"/>
  <c r="E21" i="6"/>
  <c r="D21" i="6"/>
  <c r="E22" i="6"/>
  <c r="D22" i="6"/>
  <c r="E23" i="6"/>
  <c r="D23" i="6"/>
  <c r="G24" i="6"/>
  <c r="E24" i="6"/>
  <c r="D24" i="6"/>
  <c r="G25" i="6"/>
  <c r="E25" i="6"/>
  <c r="D25" i="6"/>
  <c r="D26" i="6"/>
  <c r="D27" i="6"/>
  <c r="BR5" i="3"/>
  <c r="G28" i="6"/>
  <c r="E28" i="6"/>
  <c r="D28" i="6"/>
  <c r="D29" i="6"/>
  <c r="D30" i="6"/>
  <c r="D31" i="6"/>
  <c r="I6" i="6"/>
  <c r="C13" i="39"/>
  <c r="G34" i="68"/>
  <c r="O39" i="68"/>
  <c r="O38" i="68"/>
  <c r="N14" i="12"/>
  <c r="K6" i="1"/>
  <c r="M6" i="1"/>
  <c r="O6" i="1"/>
  <c r="P6" i="1"/>
  <c r="K7" i="1"/>
  <c r="M7" i="1"/>
  <c r="O7" i="1"/>
  <c r="P7" i="1"/>
  <c r="K8" i="1"/>
  <c r="M8" i="1"/>
  <c r="O8" i="1"/>
  <c r="P8" i="1"/>
  <c r="K9" i="1"/>
  <c r="M9" i="1"/>
  <c r="O9" i="1"/>
  <c r="P9" i="1"/>
  <c r="K10" i="1"/>
  <c r="M10" i="1"/>
  <c r="O10" i="1"/>
  <c r="P10" i="1"/>
  <c r="K11" i="1"/>
  <c r="M11" i="1"/>
  <c r="O11" i="1"/>
  <c r="P11" i="1"/>
  <c r="K12" i="1"/>
  <c r="O12" i="1"/>
  <c r="P12" i="1"/>
  <c r="K13" i="1"/>
  <c r="M13" i="1"/>
  <c r="O13" i="1"/>
  <c r="P13" i="1"/>
  <c r="K14" i="1"/>
  <c r="O14" i="1"/>
  <c r="P14" i="1"/>
  <c r="P16" i="1"/>
  <c r="C13" i="12"/>
  <c r="C14" i="12"/>
  <c r="D3" i="4"/>
  <c r="B2" i="1"/>
  <c r="C42" i="1"/>
  <c r="C15" i="12"/>
  <c r="D16" i="12"/>
  <c r="C16" i="12"/>
  <c r="C17" i="12"/>
  <c r="C18" i="12"/>
  <c r="D19" i="12"/>
  <c r="C19" i="12"/>
  <c r="E5" i="6"/>
  <c r="D21" i="12"/>
  <c r="C21" i="12"/>
  <c r="E6" i="6"/>
  <c r="D22" i="12"/>
  <c r="C22" i="12"/>
  <c r="C20" i="12"/>
  <c r="C23" i="12"/>
  <c r="C1" i="65"/>
  <c r="H1" i="65"/>
  <c r="B22" i="1"/>
  <c r="C2" i="65"/>
  <c r="I6" i="65"/>
  <c r="I1" i="65"/>
  <c r="F26" i="12"/>
  <c r="B24" i="1"/>
  <c r="C9" i="12"/>
  <c r="C10" i="12"/>
  <c r="D9" i="12"/>
  <c r="D10" i="12"/>
  <c r="E9" i="12"/>
  <c r="E10" i="12"/>
  <c r="F9" i="12"/>
  <c r="F10" i="12"/>
  <c r="G9" i="12"/>
  <c r="G10" i="12"/>
  <c r="H9" i="12"/>
  <c r="H10" i="12"/>
  <c r="C6" i="12"/>
  <c r="C24" i="12"/>
  <c r="C28" i="12"/>
  <c r="C26" i="12"/>
  <c r="C29" i="12"/>
  <c r="C31" i="12"/>
  <c r="C30" i="12"/>
  <c r="Q16" i="1"/>
  <c r="F33" i="12"/>
  <c r="C35" i="12"/>
  <c r="C33" i="12"/>
  <c r="C25" i="12"/>
  <c r="C27" i="12"/>
  <c r="D26" i="12"/>
  <c r="C32" i="12"/>
  <c r="D30" i="12"/>
  <c r="C34" i="12"/>
  <c r="D33" i="12"/>
  <c r="C36" i="12"/>
  <c r="B2" i="12"/>
  <c r="M12" i="12"/>
  <c r="M9" i="12"/>
  <c r="M8" i="12"/>
  <c r="M44" i="68"/>
  <c r="M43" i="68"/>
  <c r="M42" i="68"/>
  <c r="I9" i="12"/>
  <c r="U11" i="1"/>
  <c r="U9" i="1"/>
  <c r="M38" i="68"/>
  <c r="M39" i="68"/>
  <c r="I33" i="68"/>
  <c r="I32" i="68"/>
  <c r="I31" i="68"/>
  <c r="I30" i="68"/>
  <c r="I29" i="68"/>
  <c r="F28" i="68"/>
  <c r="G28" i="68"/>
  <c r="H28" i="68"/>
  <c r="I28" i="68"/>
  <c r="F27" i="68"/>
  <c r="G27" i="68"/>
  <c r="H27" i="68"/>
  <c r="I27" i="68"/>
  <c r="I26" i="68"/>
  <c r="I25" i="68"/>
  <c r="I24" i="68"/>
  <c r="I23" i="68"/>
  <c r="F22" i="68"/>
  <c r="G22" i="68"/>
  <c r="H22" i="68"/>
  <c r="I22" i="68"/>
  <c r="I21" i="68"/>
  <c r="I20" i="68"/>
  <c r="I19" i="68"/>
  <c r="F18" i="68"/>
  <c r="G18" i="68"/>
  <c r="H18" i="68"/>
  <c r="I18" i="68"/>
  <c r="F17" i="68"/>
  <c r="G17" i="68"/>
  <c r="H17" i="68"/>
  <c r="I17" i="68"/>
  <c r="F16" i="68"/>
  <c r="G16" i="68"/>
  <c r="H16" i="68"/>
  <c r="I16" i="68"/>
  <c r="I13" i="68"/>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E19" i="4"/>
  <c r="F9" i="1"/>
  <c r="AE9" i="1"/>
  <c r="AE10"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9" i="4"/>
  <c r="F12" i="1"/>
  <c r="AP12" i="1"/>
  <c r="F13" i="1"/>
  <c r="AP13" i="1"/>
  <c r="D11" i="1"/>
  <c r="D12" i="1"/>
  <c r="D13" i="1"/>
  <c r="D6" i="1"/>
  <c r="D7" i="1"/>
  <c r="D8" i="1"/>
  <c r="D9" i="1"/>
  <c r="F10" i="1"/>
  <c r="AP10" i="1"/>
  <c r="D10" i="1"/>
  <c r="A12" i="1"/>
  <c r="BA5" i="3"/>
  <c r="E27" i="6"/>
  <c r="K25" i="6"/>
  <c r="M25" i="6"/>
  <c r="I25" i="6"/>
  <c r="H25" i="6"/>
  <c r="R25" i="6"/>
  <c r="R12" i="1"/>
  <c r="A13" i="1"/>
  <c r="B13" i="1"/>
  <c r="E13" i="1"/>
  <c r="A7" i="1"/>
  <c r="A8" i="1"/>
  <c r="A9" i="1"/>
  <c r="A10" i="1"/>
  <c r="K23" i="6"/>
  <c r="M23" i="6"/>
  <c r="I23" i="6"/>
  <c r="H23" i="6"/>
  <c r="R23" i="6"/>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F8" i="1"/>
  <c r="AP8" i="1"/>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S14" i="3"/>
  <c r="BS15" i="3"/>
  <c r="BS16" i="3"/>
  <c r="BS17" i="3"/>
  <c r="BT14" i="3"/>
  <c r="BT15" i="3"/>
  <c r="BT16" i="3"/>
  <c r="BT17" i="3"/>
  <c r="BJ17" i="3"/>
  <c r="BK17" i="3"/>
  <c r="BJ14" i="3"/>
  <c r="BK14" i="3"/>
  <c r="BJ15" i="3"/>
  <c r="BK15"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BJ18" i="3"/>
  <c r="BK18" i="3"/>
  <c r="BM18" i="3"/>
  <c r="BN18" i="3"/>
  <c r="BO18" i="3"/>
  <c r="BP18" i="3"/>
  <c r="BS18" i="3"/>
  <c r="BT18" i="3"/>
  <c r="BJ19" i="3"/>
  <c r="BK19" i="3"/>
  <c r="BM19" i="3"/>
  <c r="BN19" i="3"/>
  <c r="BO19" i="3"/>
  <c r="BP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E10" i="3"/>
  <c r="BF570" i="3"/>
  <c r="BF571" i="3"/>
  <c r="BF572" i="3"/>
  <c r="BG570" i="3"/>
  <c r="BG571" i="3"/>
  <c r="BG572" i="3"/>
  <c r="BI570" i="3"/>
  <c r="BI571" i="3"/>
  <c r="BI572"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BA569" i="3"/>
  <c r="AZ569" i="3"/>
  <c r="BL561" i="3"/>
  <c r="BL557" i="3"/>
  <c r="BL553" i="3"/>
  <c r="BL545" i="3"/>
  <c r="BL535" i="3"/>
  <c r="BL527" i="3"/>
  <c r="BL519" i="3"/>
  <c r="BL511" i="3"/>
  <c r="BL501" i="3"/>
  <c r="BL491" i="3"/>
  <c r="BL483" i="3"/>
  <c r="BL563" i="3"/>
  <c r="BL559" i="3"/>
  <c r="BA559" i="3"/>
  <c r="AZ559" i="3"/>
  <c r="BL555" i="3"/>
  <c r="BL551" i="3"/>
  <c r="BL541" i="3"/>
  <c r="BL533" i="3"/>
  <c r="BL525" i="3"/>
  <c r="G518" i="3"/>
  <c r="G514" i="3"/>
  <c r="G510" i="3"/>
  <c r="BL503" i="3"/>
  <c r="BL495" i="3"/>
  <c r="BL485" i="3"/>
  <c r="BA565" i="3"/>
  <c r="BA561" i="3"/>
  <c r="AZ561" i="3"/>
  <c r="BA557" i="3"/>
  <c r="AZ557" i="3"/>
  <c r="BA555" i="3"/>
  <c r="AZ555" i="3"/>
  <c r="BA551" i="3"/>
  <c r="AZ551" i="3"/>
  <c r="BA545" i="3"/>
  <c r="BA543" i="3"/>
  <c r="BA541" i="3"/>
  <c r="AZ541" i="3"/>
  <c r="BA531" i="3"/>
  <c r="BA521" i="3"/>
  <c r="BA509" i="3"/>
  <c r="BA505" i="3"/>
  <c r="BA501" i="3"/>
  <c r="BA493" i="3"/>
  <c r="BL493" i="3"/>
  <c r="AZ493" i="3"/>
  <c r="BA487"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K5" i="3"/>
  <c r="BO5" i="3"/>
  <c r="BP5" i="3"/>
  <c r="BN5" i="3"/>
  <c r="BS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24" i="6"/>
  <c r="S11" i="1"/>
  <c r="M24" i="6"/>
  <c r="I24" i="6"/>
  <c r="H24" i="6"/>
  <c r="R24" i="6"/>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K21" i="6"/>
  <c r="S8" i="1"/>
  <c r="K22" i="6"/>
  <c r="S9" i="1"/>
  <c r="L38" i="9"/>
  <c r="B14" i="66"/>
  <c r="B1" i="66"/>
  <c r="C45" i="9"/>
  <c r="H14" i="66"/>
  <c r="B7" i="66"/>
  <c r="C7" i="66"/>
  <c r="M22" i="6"/>
  <c r="I22" i="6"/>
  <c r="H22" i="6"/>
  <c r="R22" i="6"/>
  <c r="R9" i="1"/>
  <c r="M20" i="6"/>
  <c r="I20" i="6"/>
  <c r="H20" i="6"/>
  <c r="R20" i="6"/>
  <c r="R7" i="1"/>
  <c r="M21" i="6"/>
  <c r="I21" i="6"/>
  <c r="H21" i="6"/>
  <c r="R21" i="6"/>
  <c r="R8" i="1"/>
  <c r="M19" i="6"/>
  <c r="I19" i="6"/>
  <c r="H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S24" i="6"/>
  <c r="S22" i="6"/>
  <c r="E30" i="6"/>
  <c r="E31" i="6"/>
  <c r="S23"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10" i="6"/>
  <c r="D13" i="6"/>
  <c r="D6" i="6"/>
  <c r="D14" i="6"/>
  <c r="D8" i="6"/>
  <c r="E45" i="9"/>
  <c r="F45" i="9"/>
  <c r="F44" i="9"/>
  <c r="E68" i="39"/>
  <c r="K38" i="9"/>
  <c r="C14" i="66"/>
  <c r="B2" i="66"/>
  <c r="H26" i="6"/>
  <c r="R26" i="6"/>
  <c r="D11" i="6"/>
  <c r="D12" i="6"/>
  <c r="D9" i="6"/>
  <c r="D5"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D16" i="6"/>
  <c r="M27" i="6"/>
  <c r="D7" i="66"/>
  <c r="D6" i="66"/>
  <c r="D8" i="66"/>
  <c r="A6" i="51"/>
  <c r="B7" i="63"/>
  <c r="A6" i="64"/>
  <c r="A20" i="64"/>
  <c r="A20" i="51"/>
  <c r="B15" i="63"/>
  <c r="N5" i="54"/>
  <c r="B43" i="63"/>
  <c r="T13" i="1"/>
  <c r="M16" i="1"/>
  <c r="T9"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C19" i="9"/>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C21" i="9"/>
  <c r="B3" i="12"/>
  <c r="D20" i="9"/>
  <c r="F26" i="15"/>
  <c r="F38" i="44"/>
  <c r="E11" i="67"/>
  <c r="N7" i="65"/>
  <c r="F43" i="15"/>
  <c r="E10" i="67"/>
  <c r="F9" i="15"/>
  <c r="E9" i="67"/>
  <c r="N6" i="65"/>
  <c r="B4" i="12"/>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C20" i="9"/>
  <c r="M9" i="15"/>
  <c r="M11" i="44"/>
  <c r="M8" i="44"/>
  <c r="F43" i="44"/>
  <c r="D19" i="9"/>
  <c r="M30" i="44"/>
  <c r="M21" i="15"/>
  <c r="F10" i="44"/>
  <c r="F42" i="15"/>
  <c r="B10" i="67"/>
  <c r="F7" i="15"/>
  <c r="F11" i="44"/>
  <c r="M22" i="15"/>
  <c r="M28" i="15"/>
  <c r="M29" i="44"/>
  <c r="F45" i="44"/>
  <c r="B11" i="67"/>
  <c r="M27" i="15"/>
  <c r="F33" i="44"/>
  <c r="J5" i="65"/>
  <c r="F31" i="15"/>
  <c r="J3" i="65"/>
  <c r="J4" i="65"/>
  <c r="C16" i="44"/>
  <c r="B7" i="67"/>
  <c r="C14" i="15"/>
  <c r="E7" i="67"/>
  <c r="C14" i="43"/>
  <c r="C18" i="43"/>
  <c r="E3" i="67"/>
  <c r="C18" i="15"/>
  <c r="C15" i="15"/>
  <c r="B2" i="67"/>
  <c r="C20" i="44"/>
  <c r="C17" i="44"/>
  <c r="J1" i="65"/>
  <c r="J57" i="15"/>
  <c r="J55" i="15"/>
  <c r="J58" i="15"/>
  <c r="Q51"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G19" i="9"/>
  <c r="D22" i="9"/>
  <c r="L43" i="9"/>
  <c r="E3" i="65"/>
  <c r="F58" i="15"/>
  <c r="M17" i="15"/>
  <c r="F7" i="67"/>
  <c r="C17" i="15"/>
  <c r="C18" i="44"/>
  <c r="M19" i="44"/>
  <c r="C16" i="15"/>
  <c r="L47" i="44"/>
  <c r="C19" i="43"/>
  <c r="C25" i="43"/>
  <c r="C24" i="43"/>
  <c r="C21" i="44"/>
  <c r="E4" i="67"/>
  <c r="F17" i="11"/>
  <c r="C17" i="11"/>
  <c r="C19" i="11"/>
  <c r="C19" i="15"/>
  <c r="Q75" i="44"/>
  <c r="Q62" i="44"/>
  <c r="Q75" i="15"/>
  <c r="Q62" i="15"/>
  <c r="C34" i="44"/>
  <c r="C32" i="9"/>
  <c r="N43" i="9"/>
  <c r="G22" i="9"/>
  <c r="Q63" i="44"/>
  <c r="Q76" i="44"/>
  <c r="Q74" i="15"/>
  <c r="Q61" i="15"/>
  <c r="J18" i="15"/>
  <c r="P28" i="46"/>
  <c r="O28" i="46"/>
  <c r="M28" i="46"/>
  <c r="N28" i="46"/>
  <c r="C48" i="15"/>
  <c r="Q54" i="44"/>
  <c r="F1" i="44"/>
  <c r="C32" i="15"/>
  <c r="J8" i="44"/>
  <c r="F13" i="44"/>
  <c r="C12" i="44"/>
  <c r="C7" i="44"/>
  <c r="F11" i="15"/>
  <c r="M11" i="15"/>
  <c r="J10" i="15"/>
  <c r="J5" i="15"/>
  <c r="M13" i="44"/>
  <c r="J12" i="44"/>
  <c r="Q53" i="15"/>
  <c r="B4" i="67"/>
  <c r="B3" i="67"/>
  <c r="J26" i="15"/>
  <c r="J29" i="15"/>
  <c r="J24" i="15"/>
  <c r="C40" i="44"/>
  <c r="C20" i="15"/>
  <c r="C52" i="15"/>
  <c r="C47" i="15"/>
  <c r="C10" i="15"/>
  <c r="C5" i="15"/>
  <c r="J20" i="44"/>
  <c r="J7" i="44"/>
  <c r="C35" i="9"/>
  <c r="F42" i="9"/>
  <c r="O38" i="9"/>
  <c r="C33" i="9"/>
  <c r="C42"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D63" i="9"/>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E14" i="66"/>
  <c r="F14" i="66"/>
  <c r="Q68" i="44"/>
  <c r="Q59" i="44"/>
  <c r="C82" i="9"/>
  <c r="C81" i="9"/>
  <c r="C85" i="9"/>
  <c r="C86" i="9"/>
  <c r="D72" i="9"/>
  <c r="C103" i="9"/>
  <c r="C111" i="9"/>
  <c r="C104" i="9"/>
  <c r="D71" i="9"/>
  <c r="D66" i="9"/>
  <c r="N72" i="9"/>
  <c r="D70" i="9"/>
  <c r="D77" i="9"/>
  <c r="N75" i="9"/>
  <c r="C96" i="9"/>
  <c r="C91" i="9"/>
  <c r="C90" i="9"/>
  <c r="J21" i="44"/>
  <c r="J19" i="44"/>
  <c r="C13" i="15"/>
  <c r="C36" i="15"/>
  <c r="J19" i="15"/>
  <c r="J17" i="15"/>
  <c r="J59" i="15"/>
  <c r="J60" i="15"/>
  <c r="C33" i="15"/>
  <c r="C31" i="15"/>
  <c r="C37" i="15"/>
  <c r="C30" i="15"/>
  <c r="C39" i="15"/>
  <c r="L51" i="15"/>
  <c r="L57" i="15"/>
  <c r="L60" i="15"/>
  <c r="L46" i="15"/>
  <c r="C56" i="15"/>
  <c r="C60" i="15"/>
  <c r="C58" i="15"/>
  <c r="C97" i="9"/>
  <c r="C113" i="9"/>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C40"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B2" i="15"/>
  <c r="B3" i="15"/>
  <c r="C43" i="15"/>
  <c r="Q66" i="15"/>
  <c r="J42" i="15"/>
  <c r="J43" i="15"/>
  <c r="Q77" i="9"/>
  <c r="O79" i="9"/>
  <c r="O78" i="9"/>
  <c r="C46" i="15"/>
  <c r="B5" i="44"/>
  <c r="B3" i="44"/>
  <c r="B4" i="44"/>
  <c r="O81" i="9"/>
  <c r="O80" i="9"/>
  <c r="Q67" i="15"/>
  <c r="Q58" i="15"/>
  <c r="Q63" i="15"/>
  <c r="Q76" i="15"/>
  <c r="D16" i="66"/>
  <c r="B5" i="66"/>
  <c r="D5" i="66"/>
  <c r="C5" i="66"/>
  <c r="F16" i="66"/>
  <c r="E1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1C5D24DE-E899-B648-BE6A-5CBEA81A853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B8F15C74-203F-904B-AC5D-D102883F8719}">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41457B7B-CFCC-5A48-9FE2-13BAEFAB604B}">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E79164E-1932-564C-A6C5-7A86F510E747}">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BE1BD10-249C-6B40-91B3-4E5A46C6A0FF}">
      <text>
        <r>
          <rPr>
            <sz val="11"/>
            <color indexed="81"/>
            <rFont val="宋体"/>
            <family val="3"/>
            <charset val="134"/>
          </rPr>
          <t>未建项目选择“是”</t>
        </r>
        <r>
          <rPr>
            <sz val="9"/>
            <color indexed="81"/>
            <rFont val="宋体"/>
            <family val="3"/>
            <charset val="134"/>
          </rPr>
          <t xml:space="preserve">
</t>
        </r>
      </text>
    </comment>
    <comment ref="F58" authorId="0" shapeId="0" xr:uid="{DC33B2A7-4255-4B49-95D5-90CC89437A1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29BA6001-8646-5440-89ED-7665B0F8B31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425A5BF4-8D4E-0B4E-B17C-FAFEDF6B4EA4}">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5D7E15E6-5758-3A44-9470-D584BA71DF97}">
      <text>
        <r>
          <rPr>
            <sz val="11"/>
            <color indexed="81"/>
            <rFont val="宋体"/>
            <family val="3"/>
            <charset val="134"/>
          </rPr>
          <t xml:space="preserve">需注意，采用基准地价系数修正法中土地结果计算时，土地报酬率应采用该方法中报酬率（还原率）。
</t>
        </r>
      </text>
    </comment>
    <comment ref="L55" authorId="1" shapeId="0" xr:uid="{FD61E585-18C5-3D42-8551-461642444927}">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496BC1FC-0711-B742-A3CE-38271998526D}">
      <text>
        <r>
          <rPr>
            <sz val="11"/>
            <color indexed="81"/>
            <rFont val="宋体"/>
            <family val="3"/>
            <charset val="134"/>
          </rPr>
          <t>未建项目选择“是”</t>
        </r>
        <r>
          <rPr>
            <sz val="9"/>
            <color indexed="81"/>
            <rFont val="宋体"/>
            <family val="3"/>
            <charset val="134"/>
          </rPr>
          <t xml:space="preserve">
</t>
        </r>
      </text>
    </comment>
    <comment ref="F58" authorId="0" shapeId="0" xr:uid="{F598E5EB-272E-0241-AB5A-7400315111B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rPr>
          <t>委托估价方尚未取得《建筑工程施工许可证》，但已开始进行土方工程建设，并建有数幢临时工程用房。</t>
        </r>
        <r>
          <rPr>
            <sz val="10"/>
            <color rgb="FF000000"/>
            <rFont val="仿宋_GB2312"/>
          </rPr>
          <t xml:space="preserve">
</t>
        </r>
        <r>
          <rPr>
            <sz val="10"/>
            <color rgb="FF000000"/>
            <rFont val="仿宋_GB2312"/>
          </rPr>
          <t>宗地内有需要移除的树木。</t>
        </r>
        <r>
          <rPr>
            <sz val="9"/>
            <color rgb="FF000000"/>
            <rFont val="宋体"/>
            <family val="3"/>
            <charset val="134"/>
          </rPr>
          <t xml:space="preserve">
</t>
        </r>
        <r>
          <rPr>
            <sz val="10"/>
            <color rgb="FF000000"/>
            <rFont val="仿宋_GB2312"/>
          </rPr>
          <t>尚有部分待拆迁建筑物。</t>
        </r>
      </text>
    </comment>
    <comment ref="E36" authorId="0" shapeId="0" xr:uid="{00000000-0006-0000-0900-00000A000000}">
      <text>
        <r>
          <rPr>
            <sz val="10"/>
            <color rgb="FF000000"/>
            <rFont val="仿宋_GB2312"/>
          </rPr>
          <t>依据该宗地《挂牌出让公告》</t>
        </r>
        <r>
          <rPr>
            <sz val="10"/>
            <color rgb="FF000000"/>
            <rFont val="仿宋_GB2312"/>
          </rPr>
          <t>/</t>
        </r>
        <r>
          <rPr>
            <sz val="10"/>
            <color rgb="FF000000"/>
            <rFont val="仿宋_GB2312"/>
          </rPr>
          <t>《开发补偿协议》，该宗地以“</t>
        </r>
        <r>
          <rPr>
            <sz val="10"/>
            <color rgb="FF000000"/>
            <rFont val="仿宋_GB2312"/>
          </rPr>
          <t>X</t>
        </r>
        <r>
          <rPr>
            <sz val="10"/>
            <color rgb="FF000000"/>
            <rFont val="仿宋_GB2312"/>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rPr>
          <t>估价结果已将待拆迁建筑物涉及的拆迁安置补偿费作为法定优先受偿款予以扣除。</t>
        </r>
        <r>
          <rPr>
            <sz val="9"/>
            <color rgb="FF000000"/>
            <rFont val="宋体"/>
            <family val="3"/>
            <charset val="134"/>
          </rPr>
          <t xml:space="preserve">
</t>
        </r>
        <r>
          <rPr>
            <sz val="10"/>
            <color rgb="FF000000"/>
            <rFont val="仿宋_GB2312"/>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<sst xmlns="http://schemas.openxmlformats.org/spreadsheetml/2006/main" count="8742" uniqueCount="3383">
  <si>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</si>
  <si>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</si>
  <si>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</si>
  <si>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</si>
  <si>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</si>
  <si>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</si>
  <si>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</si>
  <si>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</si>
  <si>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</si>
  <si>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</si>
  <si>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</si>
  <si>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</si>
  <si>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</si>
  <si>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</si>
  <si>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</si>
  <si>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</si>
  <si>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</si>
  <si>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</si>
  <si>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</si>
  <si>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</si>
  <si>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</si>
  <si>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</si>
  <si>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</si>
  <si>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</si>
  <si>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</si>
  <si>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</si>
  <si>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</si>
  <si>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</si>
  <si>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</si>
  <si>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</si>
  <si>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</si>
  <si>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</si>
  <si>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</si>
  <si>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</si>
  <si>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</si>
  <si>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</si>
  <si>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</si>
  <si>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</si>
  <si>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</si>
  <si>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</si>
  <si>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</si>
  <si>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</si>
  <si>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</si>
  <si>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</si>
  <si>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</si>
  <si>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</si>
  <si>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</si>
  <si>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</si>
  <si>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</si>
  <si>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</si>
  <si>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</si>
  <si>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</si>
  <si>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</si>
  <si>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</si>
  <si>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</si>
  <si>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</si>
  <si>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</si>
  <si>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</si>
  <si>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</si>
  <si>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</si>
  <si>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</si>
  <si>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</si>
  <si>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</si>
  <si>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</si>
  <si>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</si>
  <si>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</si>
  <si>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</si>
  <si>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</si>
  <si>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</si>
  <si>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</si>
  <si>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</si>
  <si>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</si>
  <si>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</si>
  <si>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</si>
  <si>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</si>
  <si>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</si>
  <si>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</si>
  <si>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</si>
  <si>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</si>
  <si>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</si>
  <si>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</si>
  <si>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</si>
  <si>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</si>
  <si>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</si>
  <si>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</si>
  <si>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</si>
  <si>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</si>
  <si>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</si>
  <si>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</si>
  <si>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</si>
  <si>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</si>
  <si>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</si>
  <si>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</si>
  <si>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</si>
  <si>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</si>
  <si>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</si>
  <si>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</si>
  <si>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</si>
  <si>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</si>
  <si>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</si>
  <si>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</si>
  <si>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</si>
  <si>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</si>
  <si>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</si>
  <si>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</si>
  <si>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</si>
  <si>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</si>
  <si>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</si>
  <si>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</si>
  <si>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</si>
  <si>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</si>
  <si>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</si>
  <si>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</si>
  <si>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</si>
  <si>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</si>
  <si>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</si>
  <si>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</si>
  <si>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</si>
  <si>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</si>
  <si>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</si>
  <si>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</si>
  <si>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</si>
  <si>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</si>
  <si>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</si>
  <si>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</si>
  <si>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</si>
  <si>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</si>
  <si>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</si>
  <si>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</si>
  <si>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</si>
  <si>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</si>
  <si>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</si>
  <si>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</si>
  <si>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</si>
  <si>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</si>
  <si>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</si>
  <si>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</si>
  <si>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</si>
  <si>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</si>
  <si>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</si>
  <si>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</si>
  <si>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</si>
  <si>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</si>
  <si>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</si>
  <si>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</si>
  <si>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</si>
  <si>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</si>
  <si>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</si>
  <si>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</si>
  <si>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</si>
  <si>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</si>
  <si>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</si>
  <si>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</si>
  <si>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</si>
  <si>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</si>
  <si>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</si>
  <si>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</si>
  <si>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</si>
  <si>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</si>
  <si>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</si>
  <si>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</si>
  <si>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</si>
  <si>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</si>
  <si>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</si>
  <si>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</si>
  <si>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</si>
  <si>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</si>
  <si>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</si>
  <si>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</si>
  <si>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</si>
  <si>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</si>
  <si>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</si>
  <si>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</si>
  <si>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</si>
  <si>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</si>
  <si>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</si>
  <si>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</si>
  <si>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</si>
  <si>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</si>
  <si>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</si>
  <si>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</si>
  <si>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</si>
  <si>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</si>
  <si>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</si>
  <si>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</si>
  <si>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</si>
  <si>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</si>
  <si>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</si>
  <si>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</si>
  <si>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</si>
  <si>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</si>
  <si>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</si>
  <si>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</si>
  <si>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</si>
  <si>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</si>
  <si>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</si>
  <si>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</si>
  <si>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</si>
  <si>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</si>
  <si>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</si>
  <si>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</si>
  <si>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</si>
  <si>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</si>
  <si>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</si>
  <si>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</si>
  <si>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</si>
  <si>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</si>
  <si>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</si>
  <si>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</si>
  <si>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</si>
  <si>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</si>
  <si>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</si>
  <si>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</si>
  <si>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</si>
  <si>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</si>
  <si>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</si>
  <si>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</si>
  <si>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</si>
  <si>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</si>
  <si>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</si>
  <si>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</si>
  <si>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</si>
  <si>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</si>
  <si>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</si>
  <si>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</si>
  <si>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</si>
  <si>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</si>
  <si>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</si>
  <si>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</si>
  <si>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</si>
  <si>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</si>
  <si>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</si>
  <si>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</si>
  <si>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</si>
  <si>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</si>
  <si>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</si>
  <si>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</si>
  <si>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</si>
  <si>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</si>
  <si>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</si>
  <si>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</si>
  <si>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</si>
  <si>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</si>
  <si>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</si>
  <si>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</si>
  <si>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</si>
  <si>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</si>
  <si>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</si>
  <si>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</si>
  <si>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</si>
  <si>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</si>
  <si>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</si>
  <si>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</si>
  <si>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</si>
  <si>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</si>
  <si>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</si>
  <si>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</si>
  <si>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</si>
  <si>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</si>
  <si>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</si>
  <si>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</si>
  <si>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</si>
  <si>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</si>
  <si>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</si>
  <si>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</si>
  <si>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</si>
  <si>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</si>
  <si>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</si>
  <si>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</si>
  <si>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</si>
  <si>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</si>
  <si>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</si>
  <si>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</si>
  <si>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</si>
  <si>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</si>
  <si>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</si>
  <si>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</si>
  <si>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</si>
  <si>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</si>
  <si>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</si>
  <si>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</si>
  <si>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</si>
  <si>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</si>
  <si>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</si>
  <si>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</si>
  <si>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</si>
  <si>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</si>
  <si>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</si>
  <si>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</si>
  <si>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</si>
  <si>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</si>
  <si>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</si>
  <si>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</si>
  <si>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</si>
  <si>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</si>
  <si>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</si>
  <si>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</si>
  <si>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</si>
  <si>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</si>
  <si>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</si>
  <si>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</si>
  <si>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</si>
  <si>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</si>
  <si>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</si>
  <si>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</si>
  <si>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</si>
  <si>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</si>
  <si>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</si>
  <si>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</si>
  <si>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</si>
  <si>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</si>
  <si>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</si>
  <si>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</si>
  <si>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</si>
  <si>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</si>
  <si>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</si>
  <si>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</si>
  <si>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</si>
  <si>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</si>
  <si>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</si>
  <si>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</si>
  <si>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</si>
  <si>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</si>
  <si>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</si>
  <si>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</si>
  <si>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</si>
  <si>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</si>
  <si>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</si>
  <si>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</si>
  <si>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</si>
  <si>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</si>
  <si>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</si>
  <si>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</si>
  <si>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</si>
  <si>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</si>
  <si>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</si>
  <si>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</si>
  <si>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</si>
  <si>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</si>
  <si>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</si>
  <si>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</si>
  <si>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</si>
  <si>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</si>
  <si>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</si>
  <si>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</si>
  <si>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</si>
  <si>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</si>
  <si>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</si>
  <si>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</si>
  <si>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</si>
  <si>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</si>
  <si>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</si>
  <si>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</si>
  <si>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</si>
  <si>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</si>
  <si>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</si>
  <si>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</si>
  <si>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</si>
  <si>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</si>
  <si>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</si>
  <si>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</si>
  <si>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</si>
  <si>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</si>
  <si>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</si>
  <si>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</si>
  <si>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</si>
  <si>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</si>
  <si>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</si>
  <si>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</si>
  <si>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</si>
  <si>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</si>
  <si>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</si>
  <si>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</si>
  <si>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</si>
  <si>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</si>
  <si>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</si>
  <si>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</si>
  <si>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</si>
  <si>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</si>
  <si>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</si>
  <si>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</si>
  <si>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</si>
  <si>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</si>
  <si>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</si>
  <si>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</si>
  <si>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</si>
  <si>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</si>
  <si>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</si>
  <si>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</si>
  <si>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</si>
  <si>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</si>
  <si>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</si>
  <si>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</si>
  <si>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</si>
  <si>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</si>
  <si>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</si>
  <si>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</si>
  <si>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</si>
  <si>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</si>
  <si>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</si>
  <si>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</si>
  <si>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</si>
  <si>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</si>
  <si>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</si>
  <si>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</si>
  <si>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</si>
  <si>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</si>
  <si>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</si>
  <si>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</si>
  <si>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</si>
  <si>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</si>
  <si>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</si>
  <si>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</si>
  <si>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</si>
  <si>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</si>
  <si>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</si>
  <si>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</si>
  <si>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</si>
  <si>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</si>
  <si>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</si>
  <si>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</si>
  <si>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</si>
  <si>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</si>
  <si>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</si>
  <si>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</si>
  <si>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</si>
  <si>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</si>
  <si>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</si>
  <si>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</si>
  <si>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</si>
  <si>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</si>
  <si>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</si>
  <si>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</si>
  <si>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</si>
  <si>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</si>
  <si>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</si>
  <si>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</si>
  <si>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</si>
  <si>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</si>
  <si>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</si>
  <si>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</si>
  <si>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</si>
  <si>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</si>
  <si>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</si>
  <si>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</si>
  <si>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</si>
  <si>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</si>
  <si>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</si>
  <si>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</si>
  <si>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</si>
  <si>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</si>
  <si>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</si>
  <si>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</si>
  <si>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</si>
  <si>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</si>
  <si>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</si>
  <si>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</si>
  <si>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</si>
  <si>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</si>
  <si>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</si>
  <si>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</si>
  <si>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</si>
  <si>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</si>
  <si>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</si>
  <si>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</si>
  <si>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</si>
  <si>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</si>
  <si>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</si>
  <si>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</si>
  <si>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</si>
  <si>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</si>
  <si>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</si>
  <si>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</si>
  <si>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</si>
  <si>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</si>
  <si>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</si>
  <si>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</si>
  <si>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</si>
  <si>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</si>
  <si>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</si>
  <si>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</si>
  <si>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</si>
  <si>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</si>
  <si>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</si>
  <si>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</si>
  <si>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</si>
  <si>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</si>
  <si>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</si>
  <si>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</si>
  <si>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</si>
  <si>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</si>
  <si>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</si>
  <si>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</si>
  <si>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</si>
  <si>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</si>
  <si>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</si>
  <si>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</si>
  <si>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</si>
  <si>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</si>
  <si>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</si>
  <si>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</si>
  <si>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</si>
  <si>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</si>
  <si>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</si>
  <si>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</si>
  <si>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</si>
  <si>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</si>
  <si>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</si>
  <si>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</si>
  <si>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</si>
  <si>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</si>
  <si>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</si>
  <si>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</si>
  <si>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</si>
  <si>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</si>
  <si>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</si>
  <si>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</si>
  <si>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</si>
  <si>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</si>
  <si>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</si>
  <si>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</si>
  <si>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</si>
  <si>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</si>
  <si>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</si>
  <si>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</si>
  <si>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</si>
  <si>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</si>
  <si>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</si>
  <si>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</si>
  <si>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</si>
  <si>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</si>
  <si>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</si>
  <si>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</si>
  <si>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</si>
  <si>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</si>
  <si>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</si>
  <si>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</si>
  <si>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</si>
  <si>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</si>
  <si>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</si>
  <si>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</si>
  <si>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</si>
  <si>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</si>
  <si>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</si>
  <si>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</si>
  <si>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</si>
  <si>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</si>
  <si>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</si>
  <si>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</si>
  <si>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</si>
  <si>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</si>
  <si>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</si>
  <si>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</si>
  <si>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</si>
  <si>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</si>
  <si>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</si>
  <si>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</si>
  <si>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</si>
  <si>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</si>
  <si>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</si>
  <si>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</si>
  <si>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</si>
  <si>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</si>
  <si>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</si>
  <si>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</si>
  <si>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</si>
  <si>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</si>
  <si>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</si>
  <si>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</si>
  <si>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</si>
  <si>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</si>
  <si>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</si>
  <si>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</si>
  <si>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</si>
  <si>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</si>
  <si>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</si>
  <si>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</si>
  <si>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</si>
  <si>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</si>
  <si>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</si>
  <si>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</si>
  <si>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</si>
  <si>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</si>
  <si>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</si>
  <si>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</si>
  <si>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</si>
  <si>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</si>
  <si>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</si>
  <si>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</si>
  <si>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</si>
  <si>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</si>
  <si>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</si>
  <si>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</si>
  <si>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</si>
  <si>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</si>
  <si>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</si>
  <si>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</si>
  <si>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</si>
  <si>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</si>
  <si>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</si>
  <si>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</si>
  <si>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</si>
  <si>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</si>
  <si>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</si>
  <si>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</si>
  <si>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</si>
  <si>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</si>
  <si>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</si>
  <si>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</si>
  <si>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</si>
  <si>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</si>
  <si>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</si>
  <si>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</si>
  <si>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</si>
  <si>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</si>
  <si>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</si>
  <si>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</si>
  <si>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</si>
  <si>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</si>
  <si>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</si>
  <si>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</si>
  <si>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</si>
  <si>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</si>
  <si>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</si>
  <si>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</si>
  <si>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</si>
  <si>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</si>
  <si>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</si>
  <si>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</si>
  <si>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</si>
  <si>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</si>
  <si>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</si>
  <si>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</si>
  <si>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</si>
  <si>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</si>
  <si>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</si>
  <si>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</si>
  <si>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</si>
  <si>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</si>
  <si>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</si>
  <si>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</si>
  <si>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</si>
  <si>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</si>
  <si>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</si>
  <si>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</si>
  <si>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</si>
  <si>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</si>
  <si>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</si>
  <si>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</si>
  <si>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</si>
  <si>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</si>
  <si>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</si>
  <si>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</si>
  <si>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</si>
  <si>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</si>
  <si>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</si>
  <si>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</si>
  <si>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</si>
  <si>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</si>
  <si>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</si>
  <si>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</si>
  <si>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</si>
  <si>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</si>
  <si>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</si>
  <si>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</si>
  <si>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</si>
  <si>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</si>
  <si>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</si>
  <si>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</si>
  <si>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</si>
  <si>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</si>
  <si>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</si>
  <si>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</si>
  <si>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</si>
  <si>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</si>
  <si>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</si>
  <si>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</si>
  <si>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</si>
  <si>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</si>
  <si>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</si>
  <si>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</si>
  <si>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</si>
  <si>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</si>
  <si>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</si>
  <si>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</si>
  <si>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</si>
  <si>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</si>
  <si>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</si>
  <si>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</si>
  <si>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</si>
  <si>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</si>
  <si>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</si>
  <si>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</si>
  <si>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</si>
  <si>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</si>
  <si>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</si>
  <si>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</si>
  <si>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</si>
  <si>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</si>
  <si>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</si>
  <si>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</si>
  <si>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</si>
  <si>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</si>
  <si>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</si>
  <si>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</si>
  <si>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</si>
  <si>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</si>
  <si>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</si>
  <si>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</si>
  <si>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</si>
  <si>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</si>
  <si>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</si>
  <si>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</si>
  <si>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</si>
  <si>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</si>
  <si>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</si>
  <si>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</si>
  <si>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</si>
  <si>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</si>
  <si>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</si>
  <si>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</si>
  <si>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</si>
  <si>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</si>
  <si>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</si>
  <si>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</si>
  <si>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</si>
  <si>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</si>
  <si>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</si>
  <si>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</si>
  <si>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</si>
  <si>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</si>
  <si>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</si>
  <si>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</si>
  <si>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</si>
  <si>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</si>
  <si>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</si>
  <si>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</si>
  <si>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</si>
  <si>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</si>
  <si>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</si>
  <si>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</si>
  <si>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</si>
  <si>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</si>
  <si>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</si>
  <si>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</si>
  <si>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</si>
  <si>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</si>
  <si>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</si>
  <si>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</si>
  <si>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</si>
  <si>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</si>
  <si>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</si>
  <si>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</si>
  <si>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</si>
  <si>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</si>
  <si>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</si>
  <si>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</si>
  <si>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</si>
  <si>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</si>
  <si>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</si>
  <si>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</si>
  <si>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</si>
  <si>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</si>
  <si>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</si>
  <si>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</si>
  <si>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</si>
  <si>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</si>
  <si>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</si>
  <si>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</si>
  <si>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</si>
  <si>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</si>
  <si>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</si>
  <si>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</si>
  <si>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</si>
  <si>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</si>
  <si>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</si>
  <si>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</si>
  <si>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</si>
  <si>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</si>
  <si>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</si>
  <si>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</si>
  <si>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</si>
  <si>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</si>
  <si>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</si>
  <si>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</si>
  <si>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</si>
  <si>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</si>
  <si>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</si>
  <si>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</si>
  <si>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</si>
  <si>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</si>
  <si>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</si>
  <si>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</si>
  <si>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</si>
  <si>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</si>
  <si>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</si>
  <si>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</si>
  <si>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</si>
  <si>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</si>
  <si>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</si>
  <si>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</si>
  <si>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</si>
  <si>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</si>
  <si>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</si>
  <si>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</si>
  <si>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</si>
  <si>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</si>
  <si>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</si>
  <si>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</si>
  <si>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</si>
  <si>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</si>
  <si>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</si>
  <si>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</si>
  <si>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</si>
  <si>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</si>
  <si>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</si>
  <si>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</si>
  <si>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</si>
  <si>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</si>
  <si>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</si>
  <si>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</si>
  <si>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</si>
  <si>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</si>
  <si>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</si>
  <si>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</si>
  <si>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</si>
  <si>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</si>
  <si>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</si>
  <si>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</si>
  <si>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</si>
  <si>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</si>
  <si>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</si>
  <si>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</si>
  <si>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</si>
  <si>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</si>
  <si>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</si>
  <si>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</si>
  <si>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</si>
  <si>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</si>
  <si>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</si>
  <si>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</si>
  <si>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</si>
  <si>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</si>
  <si>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</si>
  <si>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</si>
  <si>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</si>
  <si>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</si>
  <si>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</si>
  <si>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</si>
  <si>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</si>
  <si>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</si>
  <si>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</si>
  <si>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</si>
  <si>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</si>
  <si>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</si>
  <si>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</si>
  <si>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</si>
  <si>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</si>
  <si>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</si>
  <si>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</si>
  <si>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</si>
  <si>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</si>
  <si>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</si>
  <si>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</si>
  <si>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</si>
  <si>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</si>
  <si>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</si>
  <si>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</si>
  <si>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</si>
  <si>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</si>
  <si>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</si>
  <si>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</si>
  <si>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</si>
  <si>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</si>
  <si>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</si>
  <si>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</si>
  <si>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</si>
  <si>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</si>
  <si>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</si>
  <si>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</si>
  <si>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</si>
  <si>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</si>
  <si>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</si>
  <si>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</si>
  <si>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</si>
  <si>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</si>
  <si>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</si>
  <si>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</si>
  <si>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</si>
  <si>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</si>
  <si>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</si>
  <si>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</si>
  <si>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</si>
  <si>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</si>
  <si>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</si>
  <si>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</si>
  <si>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</si>
  <si>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</si>
  <si>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</si>
  <si>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</si>
  <si>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</si>
  <si>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</si>
  <si>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</si>
  <si>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</si>
  <si>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</si>
  <si>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</si>
  <si>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</si>
  <si>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</si>
  <si>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</si>
  <si>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</si>
  <si>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</si>
  <si>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</si>
  <si>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</si>
  <si>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</si>
  <si>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</si>
  <si>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</si>
  <si>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</si>
  <si>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</si>
  <si>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</si>
  <si>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</si>
  <si>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</si>
  <si>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</si>
  <si>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</si>
  <si>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</si>
  <si>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</si>
  <si>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</si>
  <si>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</si>
  <si>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</si>
  <si>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</si>
  <si>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</si>
  <si>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</si>
  <si>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</si>
  <si>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</si>
  <si>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</si>
  <si>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</si>
  <si>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</si>
  <si>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</si>
  <si>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</si>
  <si>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</si>
  <si>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</si>
  <si>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</si>
  <si>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</si>
  <si>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</si>
  <si>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</si>
  <si>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</si>
  <si>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</si>
  <si>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</si>
  <si>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</si>
  <si>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</si>
  <si>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</si>
  <si>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</si>
  <si>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</si>
  <si>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</si>
  <si>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</si>
  <si>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</si>
  <si>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</si>
  <si>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</si>
  <si>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</si>
  <si>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</si>
  <si>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</si>
  <si>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</si>
  <si>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</si>
  <si>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</si>
  <si>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</si>
  <si>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</si>
  <si>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</si>
  <si>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</si>
  <si>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</si>
  <si>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</si>
  <si>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</si>
  <si>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</si>
  <si>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</si>
  <si>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</si>
  <si>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</si>
  <si>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</si>
  <si>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</si>
  <si>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</si>
  <si>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</si>
  <si>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</si>
  <si>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</si>
  <si>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</si>
  <si>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</si>
  <si>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</si>
  <si>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</si>
  <si>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</si>
  <si>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</si>
  <si>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</si>
  <si>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</si>
  <si>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</si>
  <si>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</si>
  <si>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</si>
  <si>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</si>
  <si>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</si>
  <si>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</si>
  <si>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</si>
  <si>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</si>
  <si>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</si>
  <si>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</si>
  <si>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</si>
  <si>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</si>
  <si>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</si>
  <si>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</si>
  <si>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</si>
  <si>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</si>
  <si>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</si>
  <si>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</si>
  <si>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</si>
  <si>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</si>
  <si>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</si>
  <si>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</si>
  <si>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</si>
  <si>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</si>
  <si>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</si>
  <si>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</si>
  <si>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</si>
  <si>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</si>
  <si>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</si>
  <si>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</si>
  <si>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</si>
  <si>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</si>
  <si>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</si>
  <si>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</si>
  <si>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</si>
  <si>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</si>
  <si>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</si>
  <si>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</si>
  <si>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</si>
  <si>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</si>
  <si>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</si>
  <si>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</si>
  <si>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</si>
  <si>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</si>
  <si>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</si>
  <si>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</si>
  <si>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</si>
  <si>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</si>
  <si>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</si>
  <si>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</si>
  <si>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</si>
  <si>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</si>
  <si>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</si>
  <si>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</si>
  <si>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</si>
  <si>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</si>
  <si>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</si>
  <si>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</si>
  <si>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</si>
  <si>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</si>
  <si>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</si>
  <si>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</si>
  <si>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</si>
  <si>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</si>
  <si>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</si>
  <si>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</si>
  <si>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</si>
  <si>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</si>
  <si>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</si>
  <si>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</si>
  <si>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</si>
  <si>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</si>
  <si>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</si>
  <si>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</si>
  <si>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</si>
  <si>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</si>
  <si>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</si>
  <si>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</si>
  <si>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</si>
  <si>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</si>
  <si>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</si>
  <si>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</si>
  <si>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</si>
  <si>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</si>
  <si>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</si>
  <si>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</si>
  <si>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</si>
  <si>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</si>
  <si>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</si>
  <si>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</si>
  <si>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</si>
  <si>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</si>
  <si>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</si>
  <si>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</si>
  <si>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</si>
  <si>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</si>
  <si>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</si>
  <si>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</si>
  <si>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</si>
  <si>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</si>
  <si>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</si>
  <si>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</si>
  <si>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</si>
  <si>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</si>
  <si>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</si>
  <si>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</si>
  <si>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</si>
  <si>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</si>
  <si>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</si>
  <si>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</si>
  <si>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</si>
  <si>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</si>
  <si>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</si>
  <si>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</si>
  <si>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</si>
  <si>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</si>
  <si>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</si>
  <si>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</si>
  <si>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</si>
  <si>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</si>
  <si>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</si>
  <si>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</si>
  <si>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</si>
  <si>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</si>
  <si>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</si>
  <si>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</si>
  <si>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</si>
  <si>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</si>
  <si>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</si>
  <si>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</si>
  <si>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</si>
  <si>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</si>
  <si>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</si>
  <si>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</si>
  <si>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</si>
  <si>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</si>
  <si>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</si>
  <si>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</si>
  <si>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</si>
  <si>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</si>
  <si>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</si>
  <si>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</si>
  <si>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</si>
  <si>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</si>
  <si>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</si>
  <si>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</si>
  <si>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</si>
  <si>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</si>
  <si>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</si>
  <si>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</si>
  <si>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</si>
  <si>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</si>
  <si>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</si>
  <si>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</si>
  <si>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</si>
  <si>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</si>
  <si>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</si>
  <si>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</si>
  <si>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</si>
  <si>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</si>
  <si>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</si>
  <si>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</si>
  <si>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</si>
  <si>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</si>
  <si>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</si>
  <si>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</si>
  <si>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</si>
  <si>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</si>
  <si>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</si>
  <si>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</si>
  <si>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</si>
  <si>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</si>
  <si>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</si>
  <si>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</si>
  <si>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</si>
  <si>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</si>
  <si>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</si>
  <si>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</si>
  <si>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</si>
  <si>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</si>
  <si>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</si>
  <si>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</si>
  <si>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</si>
  <si>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</si>
  <si>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</si>
  <si>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</si>
  <si>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</si>
  <si>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</si>
  <si>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</si>
  <si>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</si>
  <si>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</si>
  <si>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</si>
  <si>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</si>
  <si>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</si>
  <si>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</si>
  <si>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</si>
  <si>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</si>
  <si>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</si>
  <si>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</si>
  <si>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</si>
  <si>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</si>
  <si>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</si>
  <si>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</si>
  <si>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</si>
  <si>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</si>
  <si>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</si>
  <si>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</si>
  <si>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</si>
  <si>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</si>
  <si>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</si>
  <si>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</si>
  <si>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</si>
  <si>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</si>
  <si>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</si>
  <si>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</si>
  <si>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</si>
  <si>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</si>
  <si>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</si>
  <si>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</si>
  <si>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</si>
  <si>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</si>
  <si>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</si>
  <si>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</si>
  <si>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</si>
  <si>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</si>
  <si>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</si>
  <si>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</si>
  <si>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</si>
  <si>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</si>
  <si>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</si>
  <si>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</si>
  <si>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</si>
  <si>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</si>
  <si>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</si>
  <si>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</si>
  <si>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</si>
  <si>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</si>
  <si>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</si>
  <si>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</si>
  <si>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</si>
  <si>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</si>
  <si>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</si>
  <si>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</si>
  <si>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</si>
  <si>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</si>
  <si>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</si>
  <si>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</si>
  <si>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</si>
  <si>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</si>
  <si>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</si>
  <si>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</si>
  <si>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</si>
  <si>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</si>
  <si>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</si>
  <si>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</si>
  <si>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</si>
  <si>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</si>
  <si>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</si>
  <si>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</si>
  <si>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</si>
  <si>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</si>
  <si>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</si>
  <si>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</si>
  <si>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</si>
  <si>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</si>
  <si>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</si>
  <si>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</si>
  <si>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</si>
  <si>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</si>
  <si>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</si>
  <si>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</si>
  <si>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</si>
  <si>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</si>
  <si>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</si>
  <si>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</si>
  <si>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</si>
  <si>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</si>
  <si>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</si>
  <si>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</si>
  <si>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</si>
  <si>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</si>
  <si>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</si>
  <si>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</si>
  <si>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</si>
  <si>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</si>
  <si>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</si>
  <si>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</si>
  <si>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</si>
  <si>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</si>
  <si>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</si>
  <si>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</si>
  <si>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</si>
  <si>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</si>
  <si>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</si>
  <si>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</si>
  <si>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</si>
  <si>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</si>
  <si>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</si>
  <si>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</si>
  <si>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</si>
  <si>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</si>
  <si>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</si>
  <si>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</si>
  <si>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</si>
  <si>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</si>
  <si>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</si>
  <si>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</si>
  <si>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</si>
  <si>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</si>
  <si>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</si>
  <si>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</si>
  <si>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</si>
  <si>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</si>
  <si>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</si>
  <si>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</si>
  <si>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</si>
  <si>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</si>
  <si>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</si>
  <si>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</si>
  <si>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</si>
  <si>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</si>
  <si>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</si>
  <si>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</si>
  <si>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</si>
  <si>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</si>
  <si>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</si>
  <si>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</si>
  <si>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</si>
  <si>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</si>
  <si>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</si>
  <si>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</si>
  <si>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</si>
  <si>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</si>
  <si>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</si>
  <si>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</si>
  <si>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</si>
  <si>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</si>
  <si>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</si>
  <si>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</si>
  <si>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</si>
  <si>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</si>
  <si>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</si>
  <si>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</si>
  <si>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</si>
  <si>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</si>
  <si>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</si>
  <si>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</si>
  <si>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</si>
  <si>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</si>
  <si>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</si>
  <si>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</si>
  <si>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</si>
  <si>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</si>
  <si>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</si>
  <si>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</si>
  <si>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</si>
  <si>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</si>
  <si>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</si>
  <si>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</si>
  <si>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</si>
  <si>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</si>
  <si>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</si>
  <si>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</si>
  <si>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</si>
  <si>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</si>
  <si>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</si>
  <si>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</si>
  <si>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</si>
  <si>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</si>
  <si>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</si>
  <si>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</si>
  <si>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</si>
  <si>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</si>
  <si>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</si>
  <si>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</si>
  <si>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</si>
  <si>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</si>
  <si>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</si>
  <si>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</si>
  <si>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</si>
  <si>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</si>
  <si>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</si>
  <si>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</si>
  <si>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</si>
  <si>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</si>
  <si>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</si>
  <si>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</si>
  <si>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</si>
  <si>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</si>
  <si>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</si>
  <si>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</si>
  <si>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</si>
  <si>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</si>
  <si>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</si>
  <si>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</si>
  <si>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</si>
  <si>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</si>
  <si>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</si>
  <si>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</si>
  <si>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</si>
  <si>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</si>
  <si>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</si>
  <si>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</si>
  <si>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</si>
  <si>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</si>
  <si>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</si>
  <si>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</si>
  <si>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</si>
  <si>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</si>
  <si>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</si>
  <si>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</si>
  <si>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</si>
  <si>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</si>
  <si>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</si>
  <si>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</si>
  <si>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</si>
  <si>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</si>
  <si>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</si>
  <si>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</si>
  <si>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</si>
  <si>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</si>
  <si>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</si>
  <si>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</si>
  <si>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</si>
  <si>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</si>
  <si>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</si>
  <si>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</si>
  <si>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</si>
  <si>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</si>
  <si>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</si>
  <si>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</si>
  <si>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</si>
  <si>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</si>
  <si>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</si>
  <si>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</si>
  <si>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</si>
  <si>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</si>
  <si>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</si>
  <si>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</si>
  <si>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</si>
  <si>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</si>
  <si>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</si>
  <si>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</si>
  <si>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</si>
  <si>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</si>
  <si>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</si>
  <si>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</si>
  <si>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</si>
  <si>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</si>
  <si>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</si>
  <si>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</si>
  <si>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</si>
  <si>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</si>
  <si>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</si>
  <si>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</si>
  <si>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</si>
  <si>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</si>
  <si>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</si>
  <si>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</si>
  <si>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</si>
  <si>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</si>
  <si>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</si>
  <si>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</si>
  <si>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</si>
  <si>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</si>
  <si>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</si>
  <si>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</si>
  <si>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</si>
  <si>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</si>
  <si>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</si>
  <si>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</si>
  <si>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</si>
  <si>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</si>
  <si>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</si>
  <si>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</si>
  <si>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</si>
  <si>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</si>
  <si>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</si>
  <si>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</si>
  <si>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</si>
  <si>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</si>
  <si>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</si>
  <si>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</si>
  <si>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</si>
  <si>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</si>
  <si>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</si>
  <si>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</si>
  <si>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</si>
  <si>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</si>
  <si>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</si>
  <si>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</si>
  <si>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</si>
  <si>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</si>
  <si>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</si>
  <si>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</si>
  <si>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</si>
  <si>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</si>
  <si>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</si>
  <si>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</si>
  <si>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</si>
  <si>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</si>
  <si>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</si>
  <si>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</si>
  <si>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</si>
  <si>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</si>
  <si>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</si>
  <si>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</si>
  <si>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</si>
  <si>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</si>
  <si>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</si>
  <si>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</si>
  <si>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</si>
  <si>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</si>
  <si>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</si>
  <si>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</si>
  <si>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</si>
  <si>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</si>
  <si>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</si>
  <si>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</si>
  <si>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</si>
  <si>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</si>
  <si>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</si>
  <si>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</si>
  <si>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</si>
  <si>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</si>
  <si>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</si>
  <si>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</si>
  <si>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</si>
  <si>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</si>
  <si>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</si>
  <si>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</si>
  <si>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</si>
  <si>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</si>
  <si>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</si>
  <si>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</si>
  <si>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</si>
  <si>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</si>
  <si>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</si>
  <si>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</si>
  <si>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</si>
  <si>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</si>
  <si>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</si>
  <si>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</si>
  <si>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</si>
  <si>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</si>
  <si>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</si>
  <si>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</si>
  <si>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</si>
  <si>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</si>
  <si>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</si>
  <si>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</si>
  <si>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</si>
  <si>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</si>
  <si>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</si>
  <si>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</si>
  <si>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</si>
  <si>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</si>
  <si>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</si>
  <si>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</si>
  <si>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</si>
  <si>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</si>
  <si>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</si>
  <si>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</si>
  <si>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</si>
  <si>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</si>
  <si>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</si>
  <si>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</si>
  <si>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</si>
  <si>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</si>
  <si>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</si>
  <si>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</si>
  <si>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</si>
  <si>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</si>
  <si>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</si>
  <si>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</si>
  <si>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</si>
  <si>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</si>
  <si>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</si>
  <si>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</si>
  <si>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</si>
  <si>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</si>
  <si>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</si>
  <si>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</si>
  <si>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</si>
  <si>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</si>
  <si>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</si>
  <si>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</si>
  <si>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</si>
  <si>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</si>
  <si>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</si>
  <si>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</si>
  <si>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</si>
  <si>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</si>
  <si>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</si>
  <si>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</si>
  <si>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</si>
  <si>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</si>
  <si>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</si>
  <si>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</si>
  <si>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</si>
  <si>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</si>
  <si>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</si>
  <si>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</si>
  <si>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</si>
  <si>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</si>
  <si>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</si>
  <si>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</si>
  <si>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</si>
  <si>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</si>
  <si>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</si>
  <si>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</si>
  <si>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</si>
  <si>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</si>
  <si>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</si>
  <si>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</si>
  <si>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</si>
  <si>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</si>
  <si>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</si>
  <si>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</si>
  <si>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</si>
  <si>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</si>
  <si>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</si>
  <si>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</si>
  <si>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</si>
  <si>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</si>
  <si>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</si>
  <si>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</si>
  <si>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</si>
  <si>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</si>
  <si>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</si>
  <si>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</si>
  <si>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</si>
  <si>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</si>
  <si>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</si>
  <si>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</si>
  <si>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</si>
  <si>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</si>
  <si>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</si>
  <si>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</si>
  <si>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</si>
  <si>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</si>
  <si>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</si>
  <si>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</si>
  <si>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</si>
  <si>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</si>
  <si>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</si>
  <si>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</si>
  <si>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</si>
  <si>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</si>
  <si>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</si>
  <si>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</si>
  <si>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</si>
  <si>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</si>
  <si>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</si>
  <si>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</si>
  <si>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</si>
  <si>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</si>
  <si>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</si>
  <si>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</si>
  <si>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</si>
  <si>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</si>
  <si>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</si>
  <si>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</si>
  <si>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</si>
  <si>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</si>
  <si>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</si>
  <si>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</si>
  <si>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</si>
  <si>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</si>
  <si>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</si>
  <si>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</si>
  <si>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</si>
  <si>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</si>
  <si>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</si>
  <si>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</si>
  <si>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</si>
  <si>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</si>
  <si>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</si>
  <si>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</si>
  <si>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</si>
  <si>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</si>
  <si>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</si>
  <si>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</si>
  <si>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</si>
  <si>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</si>
  <si>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</si>
  <si>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</si>
  <si>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</si>
  <si>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</si>
  <si>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</si>
  <si>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</si>
  <si>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</si>
  <si>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</si>
  <si>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</si>
  <si>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</si>
  <si>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</si>
  <si>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</si>
  <si>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</si>
  <si>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</si>
  <si>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</si>
  <si>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</si>
  <si>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</si>
  <si>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</si>
  <si>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</si>
  <si>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</si>
  <si>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</si>
  <si>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</si>
  <si>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</si>
  <si>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</si>
  <si>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</si>
  <si>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</si>
  <si>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</si>
  <si>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</si>
  <si>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</si>
  <si>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</si>
  <si>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</si>
  <si>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</si>
  <si>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</si>
  <si>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</si>
  <si>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</si>
  <si>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</si>
  <si>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</si>
  <si>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</si>
  <si>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</si>
  <si>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</si>
  <si>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</si>
  <si>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</si>
  <si>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</si>
  <si>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</si>
  <si>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</si>
  <si>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</si>
  <si>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</si>
  <si>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</si>
  <si>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</si>
  <si>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</si>
  <si>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</si>
  <si>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</si>
  <si>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</si>
  <si>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</si>
  <si>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</si>
  <si>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</si>
  <si>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</si>
  <si>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</si>
  <si>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</si>
  <si>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</si>
  <si>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</si>
  <si>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</si>
  <si>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</si>
  <si>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</si>
  <si>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</si>
  <si>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</si>
  <si>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</si>
  <si>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</si>
  <si>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</si>
  <si>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</si>
  <si>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</si>
  <si>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</si>
  <si>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</si>
  <si>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</si>
  <si>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</si>
  <si>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</si>
  <si>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</si>
  <si>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</si>
  <si>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</si>
  <si>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</si>
  <si>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</si>
  <si>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</si>
  <si>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</si>
  <si>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</si>
  <si>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</si>
  <si>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</si>
  <si>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</si>
  <si>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</si>
  <si>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</si>
  <si>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</si>
  <si>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</si>
  <si>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</si>
  <si>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</si>
  <si>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</si>
  <si>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</si>
  <si>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</si>
  <si>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</si>
  <si>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</si>
  <si>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</si>
  <si>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</si>
  <si>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</si>
  <si>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</si>
  <si>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</si>
  <si>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</si>
  <si>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</si>
  <si>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</si>
  <si>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</si>
  <si>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</si>
  <si>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</si>
  <si>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</si>
  <si>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</si>
  <si>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</si>
  <si>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</si>
  <si>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</si>
  <si>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</si>
  <si>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</si>
  <si>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</si>
  <si>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</si>
  <si>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</si>
  <si>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</si>
  <si>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</si>
  <si>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</si>
  <si>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</si>
  <si>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</si>
  <si>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</si>
  <si>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</si>
  <si>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</si>
  <si>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</si>
  <si>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</si>
  <si>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</si>
  <si>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</si>
  <si>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</si>
  <si>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</si>
  <si>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</si>
  <si>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</si>
  <si>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</si>
  <si>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</si>
  <si>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</si>
  <si>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</si>
  <si>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</si>
  <si>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</si>
  <si>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</si>
  <si>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</si>
  <si>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</si>
  <si>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</si>
  <si>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</si>
  <si>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</si>
  <si>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</si>
  <si>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</si>
  <si>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</si>
  <si>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</si>
  <si>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</si>
  <si>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</si>
  <si>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</si>
  <si>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</si>
  <si>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</si>
  <si>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</si>
  <si>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</si>
  <si>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</si>
  <si>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</si>
  <si>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</si>
  <si>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</si>
  <si>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</si>
  <si>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</si>
  <si>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</si>
  <si>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</si>
  <si>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</si>
  <si>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</si>
  <si>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</si>
  <si>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</si>
  <si>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</si>
  <si>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</si>
  <si>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</si>
  <si>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</si>
  <si>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</si>
  <si>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</si>
  <si>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</si>
  <si>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</si>
  <si>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</si>
  <si>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</si>
  <si>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</si>
  <si>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</si>
  <si>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</si>
  <si>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</si>
  <si>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</si>
  <si>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</si>
  <si>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</si>
  <si>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</si>
  <si>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</si>
  <si>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</si>
  <si>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</si>
  <si>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</si>
  <si>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</si>
  <si>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</si>
  <si>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</si>
  <si>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</si>
  <si>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</si>
  <si>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</si>
  <si>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</si>
  <si>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</si>
  <si>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</si>
  <si>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</si>
  <si>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</si>
  <si>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</si>
  <si>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</si>
  <si>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</si>
  <si>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</si>
  <si>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</si>
  <si>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</si>
  <si>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</si>
  <si>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</si>
  <si>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</si>
  <si>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</si>
  <si>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</si>
  <si>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</si>
  <si>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</si>
  <si>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</si>
  <si>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</si>
  <si>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</si>
  <si>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</si>
  <si>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</si>
  <si>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</si>
  <si>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</si>
  <si>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</si>
  <si>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</si>
  <si>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</si>
  <si>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</si>
  <si>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</si>
  <si>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</si>
  <si>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</si>
  <si>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</si>
  <si>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</si>
  <si>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</si>
  <si>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</si>
  <si>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</si>
  <si>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</si>
  <si>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</si>
  <si>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</si>
  <si>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</si>
  <si>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</si>
  <si>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</si>
  <si>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</si>
  <si>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</si>
  <si>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</si>
  <si>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</si>
  <si>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</si>
  <si>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</si>
  <si>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</si>
  <si>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</si>
  <si>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</si>
  <si>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</si>
  <si>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</si>
  <si>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</si>
  <si>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</si>
  <si>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</si>
  <si>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</si>
  <si>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</si>
  <si>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</si>
  <si>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</si>
  <si>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</si>
  <si>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</si>
  <si>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</si>
  <si>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</si>
  <si>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</si>
  <si>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</si>
  <si>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</si>
  <si>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</si>
  <si>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</si>
  <si>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</si>
  <si>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</si>
  <si>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</si>
  <si>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</si>
  <si>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</si>
  <si>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</si>
  <si>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</si>
  <si>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</si>
  <si>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</si>
  <si>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</si>
  <si>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</si>
  <si>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</si>
  <si>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</si>
  <si>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</si>
  <si>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</si>
  <si>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</si>
  <si>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</si>
  <si>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</si>
  <si>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</si>
  <si>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</si>
  <si>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</si>
  <si>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</si>
  <si>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</si>
  <si>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</si>
  <si>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</si>
  <si>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</si>
  <si>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</si>
  <si>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</si>
  <si>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</si>
  <si>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</si>
  <si>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</si>
  <si>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</si>
  <si>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</si>
  <si>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</si>
  <si>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</si>
  <si>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</si>
  <si>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</si>
  <si>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</si>
  <si>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</si>
  <si>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</si>
  <si>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</si>
  <si>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</si>
  <si>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</si>
  <si>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</si>
  <si>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</si>
  <si>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</si>
  <si>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</si>
  <si>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</si>
  <si>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</si>
  <si>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</si>
  <si>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</si>
  <si>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</si>
  <si>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</si>
  <si>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</si>
  <si>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</si>
  <si>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</si>
  <si>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</si>
  <si>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</si>
  <si>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</si>
  <si>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</si>
  <si>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</si>
  <si>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</si>
  <si>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</si>
  <si>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</si>
  <si>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</si>
  <si>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</si>
  <si>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</si>
  <si>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</si>
  <si>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</si>
  <si>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</si>
  <si>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</si>
  <si>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</si>
  <si>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</si>
  <si>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</si>
  <si>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</si>
  <si>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</si>
  <si>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</si>
  <si>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</si>
  <si>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</si>
  <si>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</si>
  <si>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</si>
  <si>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</si>
  <si>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</si>
  <si>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</si>
  <si>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</si>
  <si>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</si>
  <si>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</si>
  <si>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</si>
  <si>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</si>
  <si>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</si>
  <si>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</si>
  <si>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</si>
  <si>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</si>
  <si>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</si>
  <si>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</si>
  <si>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</si>
  <si>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</si>
  <si>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</si>
  <si>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</si>
  <si>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</si>
  <si>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</si>
  <si>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</si>
  <si>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</si>
  <si>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</si>
  <si>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</si>
  <si>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</si>
  <si>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</si>
  <si>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</si>
  <si>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</si>
  <si>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</si>
  <si>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</si>
  <si>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</si>
  <si>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</si>
  <si>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</si>
  <si>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</si>
  <si>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</si>
  <si>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</si>
  <si>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</si>
  <si>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</si>
  <si>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</si>
  <si>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</si>
  <si>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</si>
  <si>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</si>
  <si>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</si>
  <si>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</si>
  <si>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</si>
  <si>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</si>
  <si>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</si>
  <si>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</si>
  <si>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</si>
  <si>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</si>
  <si>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</si>
  <si>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</si>
  <si>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</si>
  <si>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</si>
  <si>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</si>
  <si>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</si>
  <si>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</si>
  <si>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</si>
  <si>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</si>
  <si>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</si>
  <si>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</si>
  <si>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</si>
  <si>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</si>
  <si>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</si>
  <si>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</si>
  <si>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</si>
  <si>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</si>
  <si>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</si>
  <si>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</si>
  <si>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</si>
  <si>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</si>
  <si>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</si>
  <si>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</si>
  <si>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</si>
  <si>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</si>
  <si>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</si>
  <si>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</si>
  <si>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</si>
  <si>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</si>
  <si>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</si>
  <si>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</si>
  <si>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</si>
  <si>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</si>
  <si>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</si>
  <si>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</si>
  <si>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</si>
  <si>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</si>
  <si>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</si>
  <si>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</si>
  <si>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</si>
  <si>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</si>
  <si>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</si>
  <si>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</si>
  <si>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</si>
  <si>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</si>
  <si>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</si>
  <si>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</si>
  <si>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</si>
  <si>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</si>
  <si>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</si>
  <si>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</si>
  <si>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</si>
  <si>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</si>
  <si>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</si>
  <si>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</si>
  <si>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</si>
  <si>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</si>
  <si>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</si>
  <si>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</si>
  <si>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</si>
  <si>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</si>
  <si>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</si>
  <si>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</si>
  <si>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</si>
  <si>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</si>
  <si>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</si>
  <si>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</si>
  <si>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</si>
  <si>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</si>
  <si>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</si>
  <si>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</si>
  <si>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</si>
  <si>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</si>
  <si>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</si>
  <si>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</si>
  <si>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</si>
  <si>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</si>
  <si>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</si>
  <si>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</si>
  <si>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</si>
  <si>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</si>
  <si>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</si>
  <si>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</si>
  <si>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</si>
  <si>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</si>
  <si>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</si>
  <si>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</si>
  <si>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</si>
  <si>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</si>
  <si>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</si>
  <si>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</si>
  <si>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</si>
  <si>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</si>
  <si>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</si>
  <si>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</si>
  <si>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</si>
  <si>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</si>
  <si>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</si>
  <si>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</si>
  <si>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</si>
  <si>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</si>
  <si>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</si>
  <si>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</si>
  <si>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</si>
  <si>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</si>
  <si>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</si>
  <si>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</si>
  <si>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</si>
  <si>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</si>
  <si>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</si>
  <si>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</si>
  <si>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</si>
  <si>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</si>
  <si>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</si>
  <si>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</si>
  <si>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</si>
  <si>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</si>
  <si>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</si>
  <si>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</si>
  <si>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</si>
  <si>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</si>
  <si>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</si>
  <si>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</si>
  <si>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</si>
  <si>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</si>
  <si>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</si>
  <si>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</si>
  <si>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</si>
  <si>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</si>
  <si>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</si>
  <si>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</si>
  <si>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</si>
  <si>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</si>
  <si>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</si>
  <si>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</si>
  <si>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</si>
  <si>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</si>
  <si>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</si>
  <si>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</si>
  <si>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</si>
  <si>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</si>
  <si>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</si>
  <si>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</si>
  <si>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</si>
  <si>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</si>
  <si>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</si>
  <si>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</si>
  <si>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</si>
  <si>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</si>
  <si>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</si>
  <si>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</si>
  <si>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</si>
  <si>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</si>
  <si>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</si>
  <si>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</si>
  <si>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</si>
  <si>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</si>
  <si>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</si>
  <si>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</si>
  <si>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</si>
  <si>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</si>
  <si>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</si>
  <si>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</si>
  <si>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</si>
  <si>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</si>
  <si>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</si>
  <si>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</si>
  <si>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</si>
  <si>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</si>
  <si>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</si>
  <si>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</si>
  <si>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</si>
  <si>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</si>
  <si>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</si>
  <si>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</si>
  <si>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</si>
  <si>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</si>
  <si>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</si>
  <si>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</si>
  <si>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</si>
  <si>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</si>
  <si>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</si>
  <si>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</si>
  <si>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</si>
  <si>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</si>
  <si>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</si>
  <si>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</si>
  <si>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</si>
  <si>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</si>
  <si>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</si>
  <si>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</si>
  <si>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</si>
  <si>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</si>
  <si>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</si>
  <si>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</si>
  <si>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</si>
  <si>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</si>
  <si>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</si>
  <si>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</si>
  <si>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</si>
  <si>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</si>
  <si>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</si>
  <si>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</si>
  <si>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</si>
  <si>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</si>
  <si>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</si>
  <si>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</si>
  <si>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</si>
  <si>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</si>
  <si>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</si>
  <si>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</si>
  <si>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</si>
  <si>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</si>
  <si>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</si>
  <si>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</si>
  <si>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</si>
  <si>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</si>
  <si>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</si>
  <si>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</si>
  <si>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</si>
  <si>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</si>
  <si>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</si>
  <si>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</si>
  <si>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</si>
  <si>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</si>
  <si>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</si>
  <si>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</si>
  <si>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</si>
  <si>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</si>
  <si>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</si>
  <si>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</si>
  <si>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</si>
  <si>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</si>
  <si>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</si>
  <si>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</si>
  <si>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</si>
  <si>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</si>
  <si>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</si>
  <si>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</si>
  <si>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</si>
  <si>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</si>
  <si>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</si>
  <si>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</si>
  <si>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</si>
  <si>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</si>
  <si>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</si>
  <si>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</si>
  <si>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</si>
  <si>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</si>
  <si>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</si>
  <si>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</si>
  <si>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</si>
  <si>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</si>
  <si>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</si>
  <si>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</si>
  <si>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</si>
  <si>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</si>
  <si>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</si>
  <si>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</si>
  <si>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</si>
  <si>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</si>
  <si>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</si>
  <si>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</si>
  <si>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</si>
  <si>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</si>
  <si>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</si>
  <si>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</si>
  <si>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</si>
  <si>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</si>
  <si>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</si>
  <si>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</si>
  <si>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</si>
  <si>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</si>
  <si>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</si>
  <si>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</si>
  <si>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</si>
  <si>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</si>
  <si>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</si>
  <si>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</si>
  <si>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</si>
  <si>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</si>
  <si>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</si>
  <si>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</si>
  <si>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</si>
  <si>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</si>
  <si>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</si>
  <si>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</si>
  <si>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</si>
  <si>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</si>
  <si>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</si>
  <si>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</si>
  <si>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</si>
  <si>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</si>
  <si>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</si>
  <si>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</si>
  <si>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</si>
  <si>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</si>
  <si>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</si>
  <si>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</si>
  <si>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</si>
  <si>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</si>
  <si>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</si>
  <si>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</si>
  <si>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</si>
  <si>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</si>
  <si>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</si>
  <si>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</si>
  <si>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</si>
  <si>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</si>
  <si>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</si>
  <si>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</si>
  <si>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</si>
  <si>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</si>
  <si>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</si>
  <si>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</si>
  <si>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</si>
  <si>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</si>
  <si>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</si>
  <si>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</si>
  <si>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</si>
  <si>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</si>
  <si>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</si>
  <si>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</si>
  <si>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</si>
  <si>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</si>
  <si>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</si>
  <si>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</si>
  <si>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</si>
  <si>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</si>
  <si>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</si>
  <si>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</si>
  <si>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</si>
  <si>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</si>
  <si>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</si>
  <si>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</si>
  <si>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</si>
  <si>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</si>
  <si>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</si>
  <si>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</si>
  <si>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</si>
  <si>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</si>
  <si>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</si>
  <si>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</si>
  <si>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</si>
  <si>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</si>
  <si>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</si>
  <si>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</si>
  <si>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</si>
  <si>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</si>
  <si>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</si>
  <si>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</si>
  <si>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</si>
  <si>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</si>
  <si>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</si>
  <si>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</si>
  <si>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</si>
  <si>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</si>
  <si>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</si>
  <si>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</si>
  <si>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</si>
  <si>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</si>
  <si>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</si>
  <si>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</si>
  <si>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</si>
  <si>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</si>
  <si>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</si>
  <si>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</si>
  <si>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</si>
  <si>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</si>
  <si>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</si>
  <si>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</si>
  <si>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</si>
  <si>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</si>
  <si>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</si>
  <si>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</si>
  <si>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</si>
  <si>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</si>
  <si>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</si>
  <si>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</si>
  <si>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</si>
  <si>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</si>
  <si>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</si>
  <si>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</si>
  <si>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</si>
  <si>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</si>
  <si>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</si>
  <si>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</si>
  <si>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</si>
  <si>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</si>
  <si>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</si>
  <si>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</si>
  <si>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</si>
  <si>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</si>
  <si>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</si>
  <si>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</si>
  <si>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</si>
  <si>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</si>
  <si>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</si>
  <si>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</si>
  <si>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</si>
  <si>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</si>
  <si>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</si>
  <si>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</si>
  <si>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</si>
  <si>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</si>
  <si>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</si>
  <si>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</si>
  <si>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</si>
  <si>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</si>
  <si>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</si>
  <si>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</si>
  <si>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</si>
  <si>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</si>
  <si>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</si>
  <si>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</si>
  <si>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</si>
  <si>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</si>
  <si>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</si>
  <si>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</si>
  <si>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</si>
  <si>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</si>
  <si>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</si>
  <si>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</si>
  <si>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</si>
  <si>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</si>
  <si>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</si>
  <si>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</si>
  <si>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</si>
  <si>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</si>
  <si>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</si>
  <si>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</si>
  <si>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</si>
  <si>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</si>
  <si>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</si>
  <si>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</si>
  <si>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</si>
  <si>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</si>
  <si>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</si>
  <si>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</si>
  <si>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</si>
  <si>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</si>
  <si>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</si>
  <si>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</si>
  <si>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</si>
  <si>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</si>
  <si>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</si>
  <si>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</si>
  <si>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</si>
  <si>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</si>
  <si>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</si>
  <si>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</si>
  <si>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</si>
  <si>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</si>
  <si>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</si>
  <si>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</si>
  <si>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</si>
  <si>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</si>
  <si>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</si>
  <si>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</si>
  <si>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</si>
  <si>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</si>
  <si>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</si>
  <si>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</si>
  <si>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</si>
  <si>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</si>
  <si>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</si>
  <si>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</si>
  <si>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</si>
  <si>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</si>
  <si>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</si>
  <si>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</si>
  <si>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</si>
  <si>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</si>
  <si>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</si>
  <si>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</si>
  <si>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</si>
  <si>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</si>
  <si>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</si>
  <si>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</si>
  <si>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</si>
  <si>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</si>
  <si>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</si>
  <si>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</si>
  <si>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</si>
  <si>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</si>
  <si>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</si>
  <si>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</si>
  <si>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</si>
  <si>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</si>
  <si>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</si>
  <si>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</si>
  <si>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</si>
  <si>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</si>
  <si>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</si>
  <si>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</si>
  <si>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</si>
  <si>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</si>
  <si>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</si>
  <si>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</si>
  <si>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</si>
  <si>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</si>
  <si>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</si>
  <si>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</si>
  <si>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</si>
  <si>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</si>
  <si>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</si>
  <si>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</si>
  <si>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</si>
  <si>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</si>
  <si>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</si>
  <si>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</si>
  <si>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</si>
  <si>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</si>
  <si>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</si>
  <si>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</si>
  <si>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</si>
  <si>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</si>
  <si>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</si>
  <si>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</si>
  <si>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</si>
  <si>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</si>
  <si>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</si>
  <si>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</si>
  <si>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</si>
  <si>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</si>
  <si>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</si>
  <si>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</si>
  <si>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</si>
  <si>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</si>
  <si>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</si>
  <si>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</si>
  <si>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</si>
  <si>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</si>
  <si>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</si>
  <si>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</si>
  <si>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</si>
  <si>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</si>
  <si>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</si>
  <si>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</si>
  <si>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</si>
  <si>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</si>
  <si>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</si>
  <si>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</si>
  <si>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</si>
  <si>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</si>
  <si>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</si>
  <si>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</si>
  <si>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</si>
  <si>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</si>
  <si>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</si>
  <si>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</si>
  <si>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</si>
  <si>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</si>
  <si>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</si>
  <si>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</si>
  <si>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</si>
  <si>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</si>
  <si>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</si>
  <si>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</si>
  <si>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</si>
  <si>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</si>
  <si>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</si>
  <si>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</si>
  <si>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</si>
  <si>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</si>
  <si>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</si>
  <si>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</si>
  <si>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</si>
  <si>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</si>
  <si>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</si>
  <si>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</si>
  <si>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</si>
  <si>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</si>
  <si>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</si>
  <si>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</si>
  <si>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</si>
  <si>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</si>
  <si>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</si>
  <si>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</si>
  <si>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</si>
  <si>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</si>
  <si>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</si>
  <si>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</si>
  <si>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</si>
  <si>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</si>
  <si>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</si>
  <si>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</si>
  <si>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</si>
  <si>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</si>
  <si>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</si>
  <si>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</si>
  <si>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</si>
  <si>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</si>
  <si>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</si>
  <si>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</si>
  <si>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</si>
  <si>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</si>
  <si>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</si>
  <si>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</si>
  <si>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</si>
  <si>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</si>
  <si>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</si>
  <si>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</si>
  <si>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</si>
  <si>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</si>
  <si>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</si>
  <si>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</si>
  <si>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</si>
  <si>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</si>
  <si>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</si>
  <si>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</si>
  <si>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</si>
  <si>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</si>
  <si>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</si>
  <si>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</si>
  <si>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</si>
  <si>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</si>
  <si>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</si>
  <si>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</si>
  <si>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</si>
  <si>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</si>
  <si>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</si>
  <si>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</si>
  <si>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</si>
  <si>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</si>
  <si>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</si>
  <si>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</si>
  <si>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</si>
  <si>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</si>
  <si>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</si>
  <si>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</si>
  <si>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</si>
  <si>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</si>
  <si>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</si>
  <si>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</si>
  <si>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</si>
  <si>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</si>
  <si>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</si>
  <si>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</si>
  <si>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</si>
  <si>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</si>
  <si>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</si>
  <si>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</si>
  <si>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</si>
  <si>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</si>
  <si>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</si>
  <si>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</si>
  <si>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</si>
  <si>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</si>
  <si>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</si>
  <si>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</si>
  <si>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</si>
  <si>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</si>
  <si>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</si>
  <si>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</si>
  <si>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</si>
  <si>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</si>
  <si>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</si>
  <si>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</si>
  <si>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</si>
  <si>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</si>
  <si>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</si>
  <si>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</si>
  <si>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</si>
  <si>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</si>
  <si>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</si>
  <si>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</si>
  <si>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</si>
  <si>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</si>
  <si>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</si>
  <si>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</si>
  <si>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</si>
  <si>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</si>
  <si>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</si>
  <si>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</si>
  <si>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</si>
  <si>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</si>
  <si>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</si>
  <si>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</si>
  <si>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</si>
  <si>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</si>
  <si>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</si>
  <si>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</si>
  <si>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</si>
  <si>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</si>
  <si>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</si>
  <si>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</si>
  <si>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</si>
  <si>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</si>
  <si>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</si>
  <si>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</si>
  <si>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</si>
  <si>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</si>
  <si>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</si>
  <si>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</si>
  <si>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</si>
  <si>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</si>
  <si>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</si>
  <si>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</si>
  <si>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</si>
  <si>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</si>
  <si>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</si>
  <si>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</si>
  <si>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</si>
  <si>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</si>
  <si>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</si>
  <si>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</si>
  <si>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</si>
  <si>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</si>
  <si>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</si>
  <si>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</si>
  <si>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</si>
  <si>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</si>
  <si>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</si>
  <si>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</si>
  <si>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</si>
  <si>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</si>
  <si>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</si>
  <si>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</si>
  <si>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</si>
  <si>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</si>
  <si>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</si>
  <si>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</si>
  <si>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</si>
  <si>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</si>
  <si>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</si>
  <si>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</si>
  <si>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</si>
  <si>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</si>
  <si>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</si>
  <si>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</si>
  <si>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</si>
  <si>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</si>
  <si>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</si>
  <si>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</si>
  <si>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</si>
  <si>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</si>
  <si>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</si>
  <si>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</si>
  <si>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</si>
  <si>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</si>
  <si>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</si>
  <si>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</si>
  <si>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</si>
  <si>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</si>
  <si>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</si>
  <si>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</si>
  <si>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</si>
  <si>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</si>
  <si>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</si>
  <si>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</si>
  <si>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</si>
  <si>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</si>
  <si>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</si>
  <si>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</si>
  <si>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</si>
  <si>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</si>
  <si>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</si>
  <si>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</si>
  <si>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</si>
  <si>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</si>
  <si>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</si>
  <si>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</si>
  <si>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</si>
  <si>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</si>
  <si>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</si>
  <si>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</si>
  <si>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</si>
  <si>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</si>
  <si>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</si>
  <si>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</si>
  <si>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</si>
  <si>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</si>
  <si>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</si>
  <si>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</si>
  <si>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</si>
  <si>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</si>
  <si>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</si>
  <si>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</si>
  <si>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</si>
  <si>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</si>
  <si>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</si>
  <si>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</si>
  <si>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</si>
  <si>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</si>
  <si>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</si>
  <si>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</si>
  <si>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</si>
  <si>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</si>
  <si>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</si>
  <si>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</si>
  <si>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</si>
  <si>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</si>
  <si>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</si>
  <si>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</si>
  <si>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</si>
  <si>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</si>
  <si>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</si>
  <si>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</si>
  <si>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</si>
  <si>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</si>
  <si>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</si>
  <si>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</si>
  <si>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</si>
  <si>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</si>
  <si>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</si>
  <si>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</si>
  <si>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</si>
  <si>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</si>
  <si>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</si>
  <si>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</si>
  <si>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</si>
  <si>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</si>
  <si>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</si>
  <si>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</si>
  <si>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</si>
  <si>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</si>
  <si>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</si>
  <si>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</si>
  <si>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</si>
  <si>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</si>
  <si>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</si>
  <si>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</si>
  <si>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</si>
  <si>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</si>
  <si>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</si>
  <si>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</si>
  <si>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</si>
  <si>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</si>
  <si>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</si>
  <si>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</si>
  <si>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</si>
  <si>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</si>
  <si>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</si>
  <si>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</si>
  <si>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</si>
  <si>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</si>
  <si>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</si>
  <si>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</si>
  <si>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</si>
  <si>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</si>
  <si>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</si>
  <si>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</si>
  <si>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</si>
  <si>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</si>
  <si>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</si>
  <si>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</si>
  <si>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</si>
  <si>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</si>
  <si>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</si>
  <si>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</si>
  <si>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</si>
  <si>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</si>
  <si>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</si>
  <si>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</si>
  <si>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</si>
  <si>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</si>
  <si>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</si>
  <si>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</si>
  <si>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</si>
  <si>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</si>
  <si>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</si>
  <si>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</si>
  <si>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</si>
  <si>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</si>
  <si>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</si>
  <si>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</si>
  <si>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</si>
  <si>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</si>
  <si>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</si>
  <si>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</si>
  <si>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</si>
  <si>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</si>
  <si>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</si>
  <si>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</si>
  <si>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</si>
  <si>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</si>
  <si>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</si>
  <si>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</si>
  <si>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</si>
  <si>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</si>
  <si>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</si>
  <si>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</si>
  <si>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</si>
  <si>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</si>
  <si>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</si>
  <si>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</si>
  <si>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</si>
  <si>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</si>
  <si>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</si>
  <si>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</si>
  <si>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</si>
  <si>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</si>
  <si>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</si>
  <si>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</si>
  <si>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</si>
  <si>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</si>
  <si>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</si>
  <si>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</si>
  <si>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</si>
  <si>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</si>
  <si>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</si>
  <si>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</si>
  <si>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</si>
  <si>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</si>
  <si>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</si>
  <si>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</si>
  <si>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</si>
  <si>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</si>
  <si>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</si>
  <si>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</si>
  <si>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</si>
  <si>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</si>
  <si>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</si>
  <si>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</si>
  <si>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</si>
  <si>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</si>
  <si>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</si>
  <si>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</si>
  <si>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</si>
  <si>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</si>
  <si>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</si>
  <si>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</si>
  <si>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</si>
  <si>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</si>
  <si>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苏宁置业集团有限公司</t>
    <phoneticPr fontId="6" type="noConversion"/>
  </si>
  <si>
    <t>企业</t>
  </si>
  <si>
    <t>商业</t>
  </si>
  <si>
    <t>项目</t>
    <phoneticPr fontId="277" type="noConversion"/>
  </si>
  <si>
    <t>地块1</t>
    <phoneticPr fontId="277" type="noConversion"/>
  </si>
  <si>
    <t>地块2</t>
    <phoneticPr fontId="277" type="noConversion"/>
  </si>
  <si>
    <t>用地性质</t>
    <phoneticPr fontId="277" type="noConversion"/>
  </si>
  <si>
    <t>住宅</t>
    <phoneticPr fontId="277" type="noConversion"/>
  </si>
  <si>
    <t>商业</t>
    <phoneticPr fontId="277" type="noConversion"/>
  </si>
  <si>
    <t>合计</t>
    <phoneticPr fontId="277" type="noConversion"/>
  </si>
  <si>
    <t>建设用地面积</t>
    <phoneticPr fontId="277" type="noConversion"/>
  </si>
  <si>
    <t>容积率</t>
    <phoneticPr fontId="277" type="noConversion"/>
  </si>
  <si>
    <t>1号宗地商业部分，自持不少于12万平方米，含地下不少于1.5万</t>
    <phoneticPr fontId="277" type="noConversion"/>
  </si>
  <si>
    <t>总建筑面积</t>
    <phoneticPr fontId="277" type="noConversion"/>
  </si>
  <si>
    <t>其中</t>
    <phoneticPr fontId="277" type="noConversion"/>
  </si>
  <si>
    <t>地上建筑面积</t>
    <phoneticPr fontId="277" type="noConversion"/>
  </si>
  <si>
    <t>高层</t>
    <phoneticPr fontId="277" type="noConversion"/>
  </si>
  <si>
    <t>洋房</t>
    <phoneticPr fontId="277" type="noConversion"/>
  </si>
  <si>
    <t>叠墅</t>
    <phoneticPr fontId="277" type="noConversion"/>
  </si>
  <si>
    <t>可售商业</t>
    <phoneticPr fontId="277" type="noConversion"/>
  </si>
  <si>
    <t>自持商业</t>
    <phoneticPr fontId="277" type="noConversion"/>
  </si>
  <si>
    <t>配套用房</t>
    <phoneticPr fontId="277" type="noConversion"/>
  </si>
  <si>
    <t>幼儿园</t>
    <phoneticPr fontId="277" type="noConversion"/>
  </si>
  <si>
    <t>地下建筑面积</t>
    <phoneticPr fontId="277" type="noConversion"/>
  </si>
  <si>
    <t>地下车库</t>
    <phoneticPr fontId="277" type="noConversion"/>
  </si>
  <si>
    <t>个数</t>
    <phoneticPr fontId="277" type="noConversion"/>
  </si>
  <si>
    <t>宗地序号</t>
  </si>
  <si>
    <t>竞得单位                 （竞得人）</t>
  </si>
  <si>
    <t>用  地  位  置</t>
  </si>
  <si>
    <t>用地面积（平方米）</t>
  </si>
  <si>
    <t>起始价(万元）</t>
  </si>
  <si>
    <t>成交价</t>
  </si>
  <si>
    <t>(万元）</t>
  </si>
  <si>
    <t>公 告 号</t>
  </si>
  <si>
    <t>土  地</t>
  </si>
  <si>
    <t>用  途</t>
  </si>
  <si>
    <t>出让方式</t>
  </si>
  <si>
    <t>宗地编号</t>
  </si>
  <si>
    <t>新城万博置业有限公司</t>
  </si>
  <si>
    <t>敬梓路与南谯路交叉口东南侧</t>
  </si>
  <si>
    <t>111971 </t>
  </si>
  <si>
    <t>滁土公告字[2018]32号</t>
  </si>
  <si>
    <t>居住、商业（≥47%）</t>
  </si>
  <si>
    <t>挂牌</t>
  </si>
  <si>
    <t>341103011008GB00076</t>
  </si>
  <si>
    <t>人民东路与南谯路交叉口东南侧</t>
  </si>
  <si>
    <t>107811 </t>
  </si>
  <si>
    <t>居住、商业（3%-10%）</t>
  </si>
  <si>
    <t>341103011008GB00075</t>
  </si>
  <si>
    <t>滁土公告字[2018]32号</t>
    <phoneticPr fontId="227" type="noConversion"/>
  </si>
  <si>
    <t>https://chuzhou.leju.com/news/2018-12-29/14156484662899276315856.shtml</t>
    <phoneticPr fontId="227" type="noConversion"/>
  </si>
  <si>
    <t>http://www.chuzhou.gov.cn/public/2681503/100526638.html</t>
    <phoneticPr fontId="227" type="noConversion"/>
  </si>
  <si>
    <t>http://chuzhou.jiwu.com/news/3352853.html</t>
    <phoneticPr fontId="227" type="noConversion"/>
  </si>
  <si>
    <t>南京弘阳瑞尚房地产开发有限公司</t>
  </si>
  <si>
    <t>仁和路与敬梓路交叉口东南侧</t>
  </si>
  <si>
    <t>拍卖</t>
  </si>
  <si>
    <t>341103011008GB00085</t>
  </si>
  <si>
    <t>全椒路与敬梓路交叉口东北侧</t>
  </si>
  <si>
    <t>341103011007GB00041</t>
  </si>
  <si>
    <t>滁土公告字[2019]9号</t>
    <phoneticPr fontId="227" type="noConversion"/>
  </si>
  <si>
    <t>拍卖</t>
    <phoneticPr fontId="227" type="noConversion"/>
  </si>
  <si>
    <t>新城吾悦广场</t>
    <phoneticPr fontId="227" type="noConversion"/>
  </si>
  <si>
    <t>时光风华</t>
    <phoneticPr fontId="227" type="noConversion"/>
  </si>
  <si>
    <t>容积率</t>
    <phoneticPr fontId="227" type="noConversion"/>
  </si>
  <si>
    <t>地上</t>
  </si>
  <si>
    <t>普通住宅</t>
  </si>
  <si>
    <t>洋房</t>
  </si>
  <si>
    <t>叠拼</t>
  </si>
  <si>
    <t>独立商业</t>
  </si>
  <si>
    <t>商业街</t>
  </si>
  <si>
    <t>地下</t>
  </si>
  <si>
    <t>车库</t>
  </si>
  <si>
    <t>高层</t>
  </si>
  <si>
    <t>高层</t>
    <phoneticPr fontId="7" type="noConversion"/>
  </si>
  <si>
    <t>洋房</t>
    <phoneticPr fontId="7" type="noConversion"/>
  </si>
  <si>
    <t>叠墅</t>
  </si>
  <si>
    <t>叠墅</t>
    <phoneticPr fontId="7" type="noConversion"/>
  </si>
  <si>
    <t>地上自持商业</t>
  </si>
  <si>
    <t>地上自持商业</t>
    <phoneticPr fontId="7" type="noConversion"/>
  </si>
  <si>
    <t>地上可售商业</t>
  </si>
  <si>
    <t>地上可售商业</t>
    <phoneticPr fontId="7" type="noConversion"/>
  </si>
  <si>
    <t>地下自持商业</t>
  </si>
  <si>
    <t>地下自持商业</t>
    <phoneticPr fontId="7" type="noConversion"/>
  </si>
  <si>
    <t>地下车库</t>
    <phoneticPr fontId="7" type="noConversion"/>
  </si>
  <si>
    <t>土地（套用方法）</t>
  </si>
  <si>
    <t>钢混</t>
  </si>
  <si>
    <t>按租金收入计税</t>
  </si>
  <si>
    <t>省会市名称</t>
  </si>
  <si>
    <t>建筑型式</t>
  </si>
  <si>
    <t>多层</t>
  </si>
  <si>
    <t>小高层</t>
  </si>
  <si>
    <t>1487</t>
  </si>
  <si>
    <t>1795</t>
  </si>
  <si>
    <t>2111</t>
  </si>
  <si>
    <t>南京</t>
  </si>
  <si>
    <t>341103011008GB00085</t>
    <phoneticPr fontId="227" type="noConversion"/>
  </si>
  <si>
    <t>金鹏地产集团（滁州）有限公司</t>
    <phoneticPr fontId="227" type="noConversion"/>
  </si>
  <si>
    <t>全椒路与敬梓路交叉口东北侧</t>
    <phoneticPr fontId="227" type="noConversion"/>
  </si>
  <si>
    <t>南京弘阳瑞尚房地产开发有限公司</t>
    <phoneticPr fontId="227" type="noConversion"/>
  </si>
  <si>
    <t>仁和路与敬梓路交叉口东南侧</t>
    <phoneticPr fontId="227" type="noConversion"/>
  </si>
  <si>
    <t>341103011007GB00041</t>
    <phoneticPr fontId="227" type="noConversion"/>
  </si>
  <si>
    <t>居住、商业（3%-10%）</t>
    <phoneticPr fontId="227" type="noConversion"/>
  </si>
  <si>
    <t>凯迪</t>
    <phoneticPr fontId="227" type="noConversion"/>
  </si>
  <si>
    <t>金鹏</t>
    <phoneticPr fontId="227" type="noConversion"/>
  </si>
  <si>
    <t>楼面地价</t>
  </si>
  <si>
    <t>楼面价</t>
    <phoneticPr fontId="227" type="noConversion"/>
  </si>
  <si>
    <t>总价</t>
    <phoneticPr fontId="227" type="noConversion"/>
  </si>
  <si>
    <t>地块名称</t>
  </si>
  <si>
    <t>城市</t>
  </si>
  <si>
    <t>用地性质</t>
  </si>
  <si>
    <t>区县</t>
  </si>
  <si>
    <t>地块编号</t>
  </si>
  <si>
    <t>建设用地面积(㎡)</t>
  </si>
  <si>
    <t>规划建筑面积(㎡)</t>
  </si>
  <si>
    <t>截止日期</t>
  </si>
  <si>
    <t>成交日期</t>
  </si>
  <si>
    <t>受让单位</t>
  </si>
  <si>
    <t>成交价(万元)</t>
  </si>
  <si>
    <t>成交每亩价(万元/亩)</t>
  </si>
  <si>
    <t>成交楼面价(元/㎡)</t>
  </si>
  <si>
    <t>溢价率</t>
  </si>
  <si>
    <t>土地星级</t>
  </si>
  <si>
    <t>敬梓路与界牌路交叉口东南侧</t>
  </si>
  <si>
    <t>滁州市</t>
  </si>
  <si>
    <t>住宅用地</t>
  </si>
  <si>
    <t>南谯区</t>
  </si>
  <si>
    <t>大于或等于1.6并且小于或等于2</t>
  </si>
  <si>
    <t>2019-10-12</t>
  </si>
  <si>
    <t>滁州市鑫城置业有限公司</t>
  </si>
  <si>
    <t>3星</t>
  </si>
  <si>
    <t>乌衣镇安宁路与桂园路交叉口东北侧</t>
  </si>
  <si>
    <t>341103100006GB00234</t>
  </si>
  <si>
    <t>2019-09-05</t>
  </si>
  <si>
    <t>滁州碧桂园房地产开发有限公司</t>
  </si>
  <si>
    <t>2星</t>
  </si>
  <si>
    <t>乌衣镇新华路与桂园路交叉口西北侧</t>
  </si>
  <si>
    <t>341103100006GB00235</t>
  </si>
  <si>
    <t>≥1.6且≤2</t>
  </si>
  <si>
    <t>2019-05-08</t>
  </si>
  <si>
    <t>徽州路与长江路交叉口东南侧</t>
  </si>
  <si>
    <t>341103107002GB00850</t>
  </si>
  <si>
    <t>≥1,≤2</t>
  </si>
  <si>
    <t>2019-03-15</t>
  </si>
  <si>
    <t>安徽同康实业发展有限公司</t>
  </si>
  <si>
    <t>徽州路与双城路交叉口东北侧</t>
  </si>
  <si>
    <t>341103009009GB00017</t>
  </si>
  <si>
    <t>≥1,≤2.2</t>
  </si>
  <si>
    <t>2019-01-30</t>
  </si>
  <si>
    <t>滁州市苏滁现代产业园建设发展有限公司</t>
  </si>
  <si>
    <t>九梓大道与徽州路交叉口西南侧</t>
  </si>
  <si>
    <t>341103009006GB00109</t>
  </si>
  <si>
    <t>2018-12-28</t>
  </si>
  <si>
    <t>滁州城房置业有限公司</t>
  </si>
  <si>
    <t>1星</t>
  </si>
  <si>
    <t>南谯路与湖心路交叉口东北侧</t>
  </si>
  <si>
    <t>341103006004GB00521</t>
  </si>
  <si>
    <t>≥1.2,≤1.6</t>
  </si>
  <si>
    <t>2018-12-07</t>
  </si>
  <si>
    <t>滁州市城市建设投资有限公司</t>
  </si>
  <si>
    <t>乌衣镇滁宁大道与康泰路交叉口西南侧</t>
  </si>
  <si>
    <t>综合用地(含住宅)</t>
  </si>
  <si>
    <t>341103100003GB00260</t>
  </si>
  <si>
    <t>＞1,≤2.2</t>
  </si>
  <si>
    <t>2018-11-22</t>
  </si>
  <si>
    <t>滁州市南谯区国有资产运营有限公司</t>
  </si>
  <si>
    <t>滁州大道与九梓大道交叉口西北侧</t>
  </si>
  <si>
    <t>≥1,≤1.8</t>
  </si>
  <si>
    <t>2018-09-21</t>
  </si>
  <si>
    <t>中新苏滁(滁州)产城配套发展有限公司</t>
  </si>
  <si>
    <t>中新大道与杭州路交叉口西南侧</t>
  </si>
  <si>
    <t>2018-06-22</t>
  </si>
  <si>
    <t>安徽苏国外启迪科教发展有限公司</t>
  </si>
  <si>
    <t>乌衣镇香榭西路南侧、吕何杨路东侧</t>
  </si>
  <si>
    <t>≥1.2且≤1.6</t>
  </si>
  <si>
    <t>2017-10-11</t>
  </si>
  <si>
    <t>江苏南碧房地产开发有限公司</t>
  </si>
  <si>
    <t>南谯路与敬梓路交叉口东北侧</t>
  </si>
  <si>
    <t>2017-07-21</t>
  </si>
  <si>
    <t>弘阳集团</t>
  </si>
  <si>
    <t>醉翁路与儒林路交叉口东北侧</t>
  </si>
  <si>
    <t>正荣集团</t>
  </si>
  <si>
    <t>兰州路与寿昌路交叉口西北侧</t>
  </si>
  <si>
    <t>＞1且≤1.8</t>
  </si>
  <si>
    <t>2017-05-18</t>
  </si>
  <si>
    <t>洪武路与永兴路交叉口东南侧</t>
  </si>
  <si>
    <t>2017-04-07</t>
  </si>
  <si>
    <t>滁州高教科创城建设投资发展有限公司</t>
  </si>
  <si>
    <t>红琊山路南侧、丰山路西侧</t>
  </si>
  <si>
    <t>1.0-2.0</t>
  </si>
  <si>
    <t>2017-02-22</t>
  </si>
  <si>
    <t>南京市高淳区碧桂园房地产开发有限公司</t>
  </si>
  <si>
    <t>杭州路与双城路交叉口西南侧</t>
  </si>
  <si>
    <t>琅琊区</t>
  </si>
  <si>
    <t>341102009006GB00113</t>
  </si>
  <si>
    <t>大于或等于1并且小于或等于2</t>
  </si>
  <si>
    <t>2020-01-10</t>
  </si>
  <si>
    <t>滁州城房苏滁置业有限公司</t>
  </si>
  <si>
    <t>世纪大道与钟山路交叉口东南侧</t>
  </si>
  <si>
    <t>341102013006GB00028</t>
  </si>
  <si>
    <t>大于或等于1.2并且小于或等于1.6</t>
  </si>
  <si>
    <t>2019-12-25</t>
  </si>
  <si>
    <t>滁州市琅国有资产运营有限公司</t>
  </si>
  <si>
    <t>4星</t>
  </si>
  <si>
    <t>中新大道与徽州路交叉口东南侧</t>
  </si>
  <si>
    <t>341103009009GB00045</t>
  </si>
  <si>
    <t>≥1.0≤1.8</t>
  </si>
  <si>
    <t>2019-10-23</t>
  </si>
  <si>
    <t>江苏苏大天宫创业投资管理有限公司</t>
  </si>
  <si>
    <t>金山路与滁河路交叉口东南侧</t>
  </si>
  <si>
    <t>341102013005GB00058</t>
  </si>
  <si>
    <t>≥1.6≤2.0</t>
  </si>
  <si>
    <t>2019-10-15</t>
  </si>
  <si>
    <t>金鹏地产集团(滁州)有限公司</t>
  </si>
  <si>
    <t>安居路与丰成路交叉口东南侧</t>
  </si>
  <si>
    <t>341103011013GB00062</t>
  </si>
  <si>
    <t>2019-09-30</t>
  </si>
  <si>
    <t>安徽中丞房地产开发集团有限公司</t>
  </si>
  <si>
    <t>安居路与丰成路交叉口西南侧</t>
  </si>
  <si>
    <t>341103011013GB00061</t>
  </si>
  <si>
    <t>昌盛路与永乐路交叉口西南侧</t>
  </si>
  <si>
    <t>341103011012GB00078</t>
  </si>
  <si>
    <t>2019-08-15</t>
  </si>
  <si>
    <t>醉翁路与金陵路交叉口东南侧</t>
  </si>
  <si>
    <t>341103011009GB00100</t>
  </si>
  <si>
    <t>明发集团南京房地产开发有限公司</t>
  </si>
  <si>
    <t>滁阳路以北、滁州大道以东、明湖大道以南、马滁扬以西</t>
  </si>
  <si>
    <t>341103011015GB00039</t>
  </si>
  <si>
    <t>滁州康金健康产业发展有限公司</t>
  </si>
  <si>
    <t>南谯新区洪武路南侧、环湖路西侧</t>
  </si>
  <si>
    <t>341103100004GB00488</t>
  </si>
  <si>
    <t>大于或等于1并且小于或等于1.4</t>
  </si>
  <si>
    <t>2019-08-09</t>
  </si>
  <si>
    <t>中恒国信产业发展(滁州)有限责任公司</t>
  </si>
  <si>
    <t>南谯新区洪武路与大庄路交叉口西南侧</t>
  </si>
  <si>
    <t>341103100003GB00280</t>
  </si>
  <si>
    <t>≥1.1,≤1.4</t>
  </si>
  <si>
    <t>2019-07-18</t>
  </si>
  <si>
    <t>＞1.6,≤2.0</t>
  </si>
  <si>
    <t>文盛路与康庄路交叉口西北侧</t>
  </si>
  <si>
    <t>341103100011GB00466</t>
  </si>
  <si>
    <t>≥1且≤1.8</t>
  </si>
  <si>
    <t>2019-06-28</t>
  </si>
  <si>
    <t>滁州荣盛旅游开*发有限公司</t>
  </si>
  <si>
    <t>银山路与来河路交叉口西北侧</t>
  </si>
  <si>
    <t>341102013005GB00057</t>
  </si>
  <si>
    <t>2019-06-14</t>
  </si>
  <si>
    <t>上海胤戬企业管理有限公司</t>
  </si>
  <si>
    <t>菱溪路与新安江路交叉口东北侧</t>
  </si>
  <si>
    <t>341102009003GB00096</t>
  </si>
  <si>
    <t>全椒路与祈福寺路交叉口东北侧</t>
  </si>
  <si>
    <t>341103011012GB00064</t>
  </si>
  <si>
    <t>扬子路与黄山路交叉口东南侧</t>
  </si>
  <si>
    <t>341102009002GB00081</t>
  </si>
  <si>
    <t>≥1且≤2</t>
  </si>
  <si>
    <t>恒大地产集团合肥有限公司</t>
  </si>
  <si>
    <t>芜湖路与何郢路交叉口西南侧</t>
  </si>
  <si>
    <t>≥1且≤1.5</t>
  </si>
  <si>
    <t>滁州金辰置业有限公司</t>
  </si>
  <si>
    <t>滁州大道与双城路交叉口西北侧</t>
  </si>
  <si>
    <t>341103009009GB00015</t>
  </si>
  <si>
    <t>徽州路与双城路交叉口西北侧</t>
  </si>
  <si>
    <t>341103009006GB00005</t>
  </si>
  <si>
    <t>≥1.6,≤2</t>
  </si>
  <si>
    <t>徽州路与中新大道交叉口东南侧</t>
  </si>
  <si>
    <t>341103009009GB00016</t>
  </si>
  <si>
    <t>徽州路与中心二路交叉口东北侧</t>
  </si>
  <si>
    <t>341103009011GB00001</t>
  </si>
  <si>
    <t>中新大道与滁州大道交叉口西南侧</t>
  </si>
  <si>
    <t>341103009009GB00010</t>
  </si>
  <si>
    <t>长江路与常州路交叉口东南侧</t>
  </si>
  <si>
    <t>341103107002GB00849</t>
  </si>
  <si>
    <t>长江路与苏滁大道交叉口西南侧</t>
  </si>
  <si>
    <t>341103107002GB00848</t>
  </si>
  <si>
    <t>双城路与杭州路交叉口西南侧</t>
  </si>
  <si>
    <t>341102009006GB00026</t>
  </si>
  <si>
    <t>2018-12-14</t>
  </si>
  <si>
    <t>九梓大道与苏州路交叉口东南侧</t>
  </si>
  <si>
    <t>341102009006GB00025</t>
  </si>
  <si>
    <t>清流河右岸区域,工农小学东侧</t>
  </si>
  <si>
    <t>341102004004GB00163</t>
  </si>
  <si>
    <t>≥1,≤1.4</t>
  </si>
  <si>
    <t>西涧路东侧、北湖西北侧</t>
  </si>
  <si>
    <t>341102001002GB00333</t>
  </si>
  <si>
    <t>清流河右岸区域,九华华源厂区东侧</t>
  </si>
  <si>
    <t>341102004004GB00162</t>
  </si>
  <si>
    <t>芙蓉路与敬梓路交叉口西北侧</t>
  </si>
  <si>
    <t>≥1.4,≤1.8</t>
  </si>
  <si>
    <t>滁阳路与全椒路交叉口东南侧</t>
  </si>
  <si>
    <t>2018-11-08</t>
  </si>
  <si>
    <t>北京城房科技有限公司</t>
  </si>
  <si>
    <t>乌衣镇滁宁大道与二道河路交叉口东南侧</t>
  </si>
  <si>
    <t>341103100001GB00569</t>
  </si>
  <si>
    <t>铜陵市城乡置业集团有限责任公司</t>
  </si>
  <si>
    <t>滁阳路与永乐路交叉口西南侧</t>
  </si>
  <si>
    <t>≥1.3,≤2</t>
  </si>
  <si>
    <t>宝山路与来河路交叉口东南侧</t>
  </si>
  <si>
    <t>341102013004GB00029</t>
  </si>
  <si>
    <t>2018-09-27</t>
  </si>
  <si>
    <t>世纪大道与宝山路交叉口西南侧</t>
  </si>
  <si>
    <t>南谯南路与祈福寺路交叉口东南侧</t>
  </si>
  <si>
    <t>2018-07-19</t>
  </si>
  <si>
    <t>滁州联荣信息科技有限公司</t>
  </si>
  <si>
    <t>儒林路与洪武路交叉口西北侧</t>
  </si>
  <si>
    <t>全椒路与醉翁路交叉口东南侧</t>
  </si>
  <si>
    <t>2018-07-05</t>
  </si>
  <si>
    <t>中都大道与醉翁路交叉口西北侧</t>
  </si>
  <si>
    <t>2018-04-13</t>
  </si>
  <si>
    <t>北京创展房地产开发有限公司</t>
  </si>
  <si>
    <t>宝山路与来河路交叉口西北侧</t>
  </si>
  <si>
    <t>≥1.2,≤1.8</t>
  </si>
  <si>
    <t>2018-03-09</t>
  </si>
  <si>
    <t>中新大道与常州路交叉口东南侧</t>
  </si>
  <si>
    <t>2018-02-02</t>
  </si>
  <si>
    <t>苏州高新地产集团有限公司</t>
  </si>
  <si>
    <t>双城路与常州路交叉口东北侧</t>
  </si>
  <si>
    <t>≥1,≤1.2</t>
  </si>
  <si>
    <t>大王郢路与兰州路交叉口东南侧</t>
  </si>
  <si>
    <t>2018-01-25</t>
  </si>
  <si>
    <t>扬子路与兰州路交叉口东南侧</t>
  </si>
  <si>
    <t>苏滁大道与大王郢路交叉口东北侧</t>
  </si>
  <si>
    <t>紫薇北路与内城河交叉口东南侧</t>
  </si>
  <si>
    <t>≥1且≤1.2</t>
  </si>
  <si>
    <t>2018-01-18</t>
  </si>
  <si>
    <t>祥源控股集团有限责任公司</t>
  </si>
  <si>
    <t>紫薇北路与内城河交叉口西南侧</t>
  </si>
  <si>
    <t>扬子路与扬滨路交叉口东南侧</t>
  </si>
  <si>
    <t>2018-01-17</t>
  </si>
  <si>
    <t>凯迪控股</t>
  </si>
  <si>
    <t>凤阳路与花园路交叉口东北侧</t>
  </si>
  <si>
    <t>≥1.43且≤1.83</t>
  </si>
  <si>
    <t>凯迪控股集团有限公司</t>
  </si>
  <si>
    <t>敬梓路与虹桥路交叉口西北侧</t>
  </si>
  <si>
    <t>2017-10-26</t>
  </si>
  <si>
    <t>滁州市金鹏置业有限公司</t>
  </si>
  <si>
    <t>儒林路与滁阳路交叉口西南侧</t>
  </si>
  <si>
    <t>2017-10-13</t>
  </si>
  <si>
    <t>滁州经济技术开发总公司</t>
  </si>
  <si>
    <t>永乐路与滁阳路交叉口东南侧</t>
  </si>
  <si>
    <t>＞1且≤2</t>
  </si>
  <si>
    <t>永乐路与祈福寺路交叉口东北侧</t>
  </si>
  <si>
    <t>上海路与扬子路交叉口东南侧</t>
  </si>
  <si>
    <t>刘升宏</t>
  </si>
  <si>
    <t>紫薇路与龙山路交叉口西北侧</t>
  </si>
  <si>
    <t>≥1.5且≤2</t>
  </si>
  <si>
    <t>世纪大道与金山路交叉口西南侧</t>
  </si>
  <si>
    <t>2017-09-27</t>
  </si>
  <si>
    <t>滁州易景房地产开发有限公司</t>
  </si>
  <si>
    <t>醉翁路与永乐路交叉口东北侧</t>
  </si>
  <si>
    <t>碧桂园控股集团</t>
  </si>
  <si>
    <t>五尖山路北侧、独山湖路东侧</t>
  </si>
  <si>
    <t>≥1.2,≤2</t>
  </si>
  <si>
    <t>2017-06-22</t>
  </si>
  <si>
    <t>来河路与银山路交叉口西南侧</t>
  </si>
  <si>
    <t>北京鸿坤伟业房地产开发有限公司</t>
  </si>
  <si>
    <t>徽州路与九梓大道交叉口西南侧</t>
  </si>
  <si>
    <t>双城路与徽州路交叉口西南侧</t>
  </si>
  <si>
    <t>杭州路与九梓大道交叉口东南侧</t>
  </si>
  <si>
    <t>清流路与创新路交叉口东南侧</t>
  </si>
  <si>
    <t>皖新文化产业投资(集团)有限公司</t>
  </si>
  <si>
    <t>苏州路与双城路交叉口东北侧</t>
  </si>
  <si>
    <t>苏州路与中新大道交叉口东南侧</t>
  </si>
  <si>
    <t>苏州路与九江路交叉口西南侧</t>
  </si>
  <si>
    <t>滁州市华明房地产开发有限公司</t>
  </si>
  <si>
    <t>上海路与九江路交叉口东南侧</t>
  </si>
  <si>
    <t>醉翁路与中都大道交叉口西南侧</t>
  </si>
  <si>
    <t>1.6-2.0</t>
  </si>
  <si>
    <t>淮河路与银山路交叉口东南侧</t>
  </si>
  <si>
    <t>1.5-2.0</t>
  </si>
  <si>
    <t>滁州市国兴置业</t>
  </si>
  <si>
    <t>醉翁路与儒林路交叉口东南侧</t>
  </si>
  <si>
    <t>≥1.4且≤1.8</t>
  </si>
  <si>
    <t>2017-02-17</t>
  </si>
  <si>
    <t>浙江祥生房地产开发有限公司</t>
  </si>
  <si>
    <t>双迎路北侧、红山路西侧</t>
  </si>
  <si>
    <t>金山路与来河路交叉口西南侧</t>
  </si>
  <si>
    <t>北京北方国建控股集团有限公司</t>
  </si>
  <si>
    <t>341103011007GB00051</t>
    <phoneticPr fontId="227" type="noConversion"/>
  </si>
  <si>
    <t>比较法-住宅、综合</t>
  </si>
  <si>
    <t>剩余法-待开发</t>
  </si>
  <si>
    <t>不动产收益法-地下车库</t>
  </si>
  <si>
    <t>不动产收益法-地下车库</t>
    <phoneticPr fontId="14" type="noConversion"/>
  </si>
  <si>
    <t>不动产收益法-自持地下商业</t>
  </si>
  <si>
    <t>不动产收益法-自持地下商业</t>
    <phoneticPr fontId="14" type="noConversion"/>
  </si>
  <si>
    <r>
      <rPr>
        <sz val="11"/>
        <color theme="1"/>
        <rFont val="SimSun"/>
        <family val="3"/>
        <charset val="134"/>
      </rPr>
      <t>不动产收益法</t>
    </r>
    <r>
      <rPr>
        <sz val="11"/>
        <color theme="1"/>
        <rFont val="Arial"/>
        <family val="2"/>
      </rPr>
      <t>-</t>
    </r>
    <r>
      <rPr>
        <sz val="11"/>
        <color theme="1"/>
        <rFont val="SimSun"/>
        <family val="3"/>
        <charset val="134"/>
      </rPr>
      <t>自持地上商业</t>
    </r>
    <phoneticPr fontId="14" type="noConversion"/>
  </si>
  <si>
    <t>不动产收益法-自持地上商业</t>
  </si>
  <si>
    <t>https://j.map.baidu.com/78/Plw</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</si>
</sst>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仿宋_GB2312"/>
    </font>
    <font>
      <sz val="9"/>
      <color rgb="FF000000"/>
      <name val="宋体"/>
      <family val="3"/>
      <charset val="134"/>
    </font>
    <font>
      <sz val="11"/>
      <color rgb="FF000000"/>
      <name val="宋体"/>
      <family val="3"/>
      <charset val="134"/>
    </font>
    <font>
      <sz val="12"/>
      <color rgb="FF000000"/>
      <name val="宋体"/>
      <family val="3"/>
      <charset val="134"/>
    </font>
    <font>
      <sz val="9"/>
      <name val="宋体"/>
      <family val="2"/>
      <charset val="134"/>
      <scheme val="minor"/>
    </font>
    <font>
      <sz val="10.5"/>
      <color rgb="FF000000"/>
      <name val="宋体"/>
      <family val="3"/>
      <charset val="134"/>
      <scheme val="minor"/>
    </font>
    <font>
      <u/>
      <sz val="11"/>
      <color theme="10"/>
      <name val="宋体"/>
      <family val="3"/>
      <charset val="134"/>
      <scheme val="minor"/>
    </font>
    <font>
      <b/>
      <sz val="11"/>
      <color rgb="FF000000"/>
      <name val="宋体"/>
      <family val="3"/>
      <charset val="134"/>
    </font>
    <font>
      <b/>
      <sz val="9"/>
      <color rgb="FF000000"/>
      <name val="宋体"/>
      <family val="3"/>
      <charset val="134"/>
    </font>
    <font>
      <sz val="11"/>
      <color theme="1"/>
      <name val="SimSun"/>
      <family val="3"/>
      <charset val="134"/>
    </font>
    <font>
      <sz val="11"/>
      <color theme="1"/>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79" fillId="0" borderId="0" applyNumberFormat="0" applyFill="0" applyBorder="0" applyAlignment="0" applyProtection="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lignment vertical="center"/>
    </xf>
    <xf numFmtId="0" fontId="278" fillId="0" borderId="0" xfId="0" applyFont="1">
      <alignment vertical="center"/>
    </xf>
    <xf numFmtId="177" fontId="278" fillId="0" borderId="0" xfId="0" applyNumberFormat="1" applyFont="1">
      <alignment vertical="center"/>
    </xf>
    <xf numFmtId="0" fontId="144" fillId="0" borderId="0" xfId="0" applyFont="1">
      <alignment vertical="center"/>
    </xf>
    <xf numFmtId="0" fontId="279" fillId="0" borderId="0" xfId="16">
      <alignment vertical="center"/>
    </xf>
    <xf numFmtId="178" fontId="81" fillId="0" borderId="2" xfId="2" applyNumberFormat="1" applyFont="1" applyFill="1" applyBorder="1" applyAlignment="1" applyProtection="1">
      <alignment vertical="center"/>
      <protection locked="0"/>
    </xf>
    <xf numFmtId="177" fontId="76" fillId="8" borderId="0" xfId="0" applyNumberFormat="1" applyFont="1" applyFill="1" applyAlignment="1" applyProtection="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0" fillId="6" borderId="0" xfId="0" applyFill="1" applyAlignment="1"/>
    <xf numFmtId="0" fontId="0" fillId="8" borderId="0" xfId="0" applyFill="1" applyAlignment="1"/>
    <xf numFmtId="0" fontId="0" fillId="8" borderId="0" xfId="0" applyFill="1">
      <alignment vertical="center"/>
    </xf>
    <xf numFmtId="0" fontId="144" fillId="6" borderId="0" xfId="0" applyFont="1" applyFill="1" applyAlignment="1"/>
    <xf numFmtId="0" fontId="0" fillId="9" borderId="0" xfId="0" applyFill="1" applyAlignment="1"/>
    <xf numFmtId="0" fontId="0" fillId="9" borderId="0" xfId="0" applyFill="1">
      <alignment vertical="center"/>
    </xf>
    <xf numFmtId="0" fontId="144" fillId="18" borderId="0" xfId="0" applyFont="1" applyFill="1">
      <alignment vertical="center"/>
    </xf>
    <xf numFmtId="0" fontId="0" fillId="18" borderId="0" xfId="0" applyFill="1">
      <alignment vertical="center"/>
    </xf>
    <xf numFmtId="0" fontId="144" fillId="18" borderId="19" xfId="0" applyFont="1" applyFill="1" applyBorder="1">
      <alignment vertical="center"/>
    </xf>
    <xf numFmtId="0" fontId="0" fillId="18" borderId="19" xfId="0" applyFill="1" applyBorder="1">
      <alignment vertical="center"/>
    </xf>
    <xf numFmtId="179" fontId="71" fillId="6" borderId="2" xfId="0" applyNumberFormat="1" applyFont="1" applyFill="1" applyBorder="1" applyAlignment="1" applyProtection="1">
      <alignment horizontal="center" vertical="center" wrapText="1"/>
      <protection locked="0"/>
    </xf>
    <xf numFmtId="184" fontId="71" fillId="7" borderId="33" xfId="0" applyNumberFormat="1" applyFont="1" applyFill="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1" fillId="7" borderId="11" xfId="0"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0" fillId="0" borderId="0" xfId="0" applyAlignment="1">
      <alignment horizontal="center" vertical="center"/>
    </xf>
    <xf numFmtId="0" fontId="278" fillId="0" borderId="0" xfId="0" applyFont="1">
      <alignment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48</xdr:row>
      <xdr:rowOff>110916</xdr:rowOff>
    </xdr:from>
    <xdr:to>
      <xdr:col>11</xdr:col>
      <xdr:colOff>42810</xdr:colOff>
      <xdr:row>76</xdr:row>
      <xdr:rowOff>19548</xdr:rowOff>
    </xdr:to>
    <xdr:pic>
      <xdr:nvPicPr>
        <xdr:cNvPr id="2" name="图片 1">
          <a:extLst>
            <a:ext uri="{FF2B5EF4-FFF2-40B4-BE49-F238E27FC236}">
              <a16:creationId xmlns:a16="http://schemas.microsoft.com/office/drawing/2014/main" id="{8B5993EB-A54F-D345-BD10-A23D36860372}"/>
            </a:ext>
          </a:extLst>
        </xdr:cNvPr>
        <xdr:cNvPicPr>
          <a:picLocks noChangeAspect="1"/>
        </xdr:cNvPicPr>
      </xdr:nvPicPr>
      <xdr:blipFill>
        <a:blip xmlns:r="http://schemas.openxmlformats.org/officeDocument/2006/relationships" r:embed="rId1"/>
        <a:stretch>
          <a:fillRect/>
        </a:stretch>
      </xdr:blipFill>
      <xdr:spPr>
        <a:xfrm>
          <a:off x="827641" y="8544287"/>
          <a:ext cx="9460787" cy="4703239"/>
        </a:xfrm>
        <a:prstGeom prst="rect">
          <a:avLst/>
        </a:prstGeom>
      </xdr:spPr>
    </xdr:pic>
    <xdr:clientData/>
  </xdr:twoCellAnchor>
  <xdr:twoCellAnchor editAs="oneCell">
    <xdr:from>
      <xdr:col>0</xdr:col>
      <xdr:colOff>742022</xdr:colOff>
      <xdr:row>69</xdr:row>
      <xdr:rowOff>156965</xdr:rowOff>
    </xdr:from>
    <xdr:to>
      <xdr:col>17</xdr:col>
      <xdr:colOff>689795</xdr:colOff>
      <xdr:row>86</xdr:row>
      <xdr:rowOff>14554</xdr:rowOff>
    </xdr:to>
    <xdr:pic>
      <xdr:nvPicPr>
        <xdr:cNvPr id="3" name="图片 2">
          <a:extLst>
            <a:ext uri="{FF2B5EF4-FFF2-40B4-BE49-F238E27FC236}">
              <a16:creationId xmlns:a16="http://schemas.microsoft.com/office/drawing/2014/main" id="{1DB34360-E4C4-0342-B36C-D8630717C3BA}"/>
            </a:ext>
          </a:extLst>
        </xdr:cNvPr>
        <xdr:cNvPicPr>
          <a:picLocks noChangeAspect="1"/>
        </xdr:cNvPicPr>
      </xdr:nvPicPr>
      <xdr:blipFill>
        <a:blip xmlns:r="http://schemas.openxmlformats.org/officeDocument/2006/relationships" r:embed="rId2"/>
        <a:stretch>
          <a:fillRect/>
        </a:stretch>
      </xdr:blipFill>
      <xdr:spPr>
        <a:xfrm>
          <a:off x="742022" y="12114943"/>
          <a:ext cx="15316200" cy="2768600"/>
        </a:xfrm>
        <a:prstGeom prst="rect">
          <a:avLst/>
        </a:prstGeom>
      </xdr:spPr>
    </xdr:pic>
    <xdr:clientData/>
  </xdr:twoCellAnchor>
  <xdr:twoCellAnchor editAs="oneCell">
    <xdr:from>
      <xdr:col>0</xdr:col>
      <xdr:colOff>813370</xdr:colOff>
      <xdr:row>86</xdr:row>
      <xdr:rowOff>128427</xdr:rowOff>
    </xdr:from>
    <xdr:to>
      <xdr:col>15</xdr:col>
      <xdr:colOff>320924</xdr:colOff>
      <xdr:row>102</xdr:row>
      <xdr:rowOff>157252</xdr:rowOff>
    </xdr:to>
    <xdr:pic>
      <xdr:nvPicPr>
        <xdr:cNvPr id="4" name="图片 3">
          <a:extLst>
            <a:ext uri="{FF2B5EF4-FFF2-40B4-BE49-F238E27FC236}">
              <a16:creationId xmlns:a16="http://schemas.microsoft.com/office/drawing/2014/main" id="{6916B42C-88CC-664B-8B31-F8E8657DBB4D}"/>
            </a:ext>
          </a:extLst>
        </xdr:cNvPr>
        <xdr:cNvPicPr>
          <a:picLocks noChangeAspect="1"/>
        </xdr:cNvPicPr>
      </xdr:nvPicPr>
      <xdr:blipFill>
        <a:blip xmlns:r="http://schemas.openxmlformats.org/officeDocument/2006/relationships" r:embed="rId3"/>
        <a:stretch>
          <a:fillRect/>
        </a:stretch>
      </xdr:blipFill>
      <xdr:spPr>
        <a:xfrm>
          <a:off x="813370" y="14854719"/>
          <a:ext cx="13220700" cy="2768600"/>
        </a:xfrm>
        <a:prstGeom prst="rect">
          <a:avLst/>
        </a:prstGeom>
      </xdr:spPr>
    </xdr:pic>
    <xdr:clientData/>
  </xdr:twoCellAnchor>
  <xdr:twoCellAnchor editAs="oneCell">
    <xdr:from>
      <xdr:col>1</xdr:col>
      <xdr:colOff>0</xdr:colOff>
      <xdr:row>103</xdr:row>
      <xdr:rowOff>28540</xdr:rowOff>
    </xdr:from>
    <xdr:to>
      <xdr:col>17</xdr:col>
      <xdr:colOff>826213</xdr:colOff>
      <xdr:row>109</xdr:row>
      <xdr:rowOff>42524</xdr:rowOff>
    </xdr:to>
    <xdr:pic>
      <xdr:nvPicPr>
        <xdr:cNvPr id="5" name="图片 4">
          <a:extLst>
            <a:ext uri="{FF2B5EF4-FFF2-40B4-BE49-F238E27FC236}">
              <a16:creationId xmlns:a16="http://schemas.microsoft.com/office/drawing/2014/main" id="{6544E1ED-E18F-F34C-A523-30521E8A7BFB}"/>
            </a:ext>
          </a:extLst>
        </xdr:cNvPr>
        <xdr:cNvPicPr>
          <a:picLocks noChangeAspect="1"/>
        </xdr:cNvPicPr>
      </xdr:nvPicPr>
      <xdr:blipFill>
        <a:blip xmlns:r="http://schemas.openxmlformats.org/officeDocument/2006/relationships" r:embed="rId4"/>
        <a:stretch>
          <a:fillRect/>
        </a:stretch>
      </xdr:blipFill>
      <xdr:spPr>
        <a:xfrm>
          <a:off x="827640" y="17665843"/>
          <a:ext cx="15367000" cy="104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16</xdr:col>
      <xdr:colOff>177800</xdr:colOff>
      <xdr:row>138</xdr:row>
      <xdr:rowOff>139700</xdr:rowOff>
    </xdr:to>
    <xdr:pic>
      <xdr:nvPicPr>
        <xdr:cNvPr id="3" name="图片 2">
          <a:extLst>
            <a:ext uri="{FF2B5EF4-FFF2-40B4-BE49-F238E27FC236}">
              <a16:creationId xmlns:a16="http://schemas.microsoft.com/office/drawing/2014/main" id="{4948352F-4DE0-A841-8922-560781E85E45}"/>
            </a:ext>
          </a:extLst>
        </xdr:cNvPr>
        <xdr:cNvPicPr>
          <a:picLocks noChangeAspect="1"/>
        </xdr:cNvPicPr>
      </xdr:nvPicPr>
      <xdr:blipFill>
        <a:blip xmlns:r="http://schemas.openxmlformats.org/officeDocument/2006/relationships" r:embed="rId1"/>
        <a:stretch>
          <a:fillRect/>
        </a:stretch>
      </xdr:blipFill>
      <xdr:spPr>
        <a:xfrm>
          <a:off x="0" y="8001000"/>
          <a:ext cx="17373600" cy="7251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8353;&#24030;&#33487;&#23425;-&#22303;&#22320;-2&#21495;&#22320;&#22359;&#20303;&#23429;&#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8353;&#24030;&#33487;&#23425;-&#22303;&#22320;-1&#21495;&#22320;&#22359;&#21830;&#19994;&#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住宅土地案例"/>
      <sheetName val="Sheet1"/>
      <sheetName val="数据-基础表"/>
      <sheetName val="抵押物清单（分楼）"/>
      <sheetName val="数据-汇总表"/>
      <sheetName val="数据-取费表"/>
      <sheetName val="比较法-住宅、综合"/>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地下车库"/>
      <sheetName val="不动产收益法-自持地上商业"/>
      <sheetName val="不动产收益法-自持地下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D3">
            <v>119465</v>
          </cell>
          <cell r="E3">
            <v>334742</v>
          </cell>
        </row>
      </sheetData>
      <sheetData sheetId="16" refreshError="1"/>
      <sheetData sheetId="17" refreshError="1"/>
      <sheetData sheetId="18" refreshError="1"/>
      <sheetData sheetId="19" refreshError="1"/>
      <sheetData sheetId="20">
        <row r="19">
          <cell r="G19">
            <v>86150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住宅土地案例"/>
      <sheetName val="商业土地案例"/>
      <sheetName val="数据-基础表"/>
      <sheetName val="抵押物清单（分楼）"/>
      <sheetName val="数据-汇总表"/>
      <sheetName val="数据-取费表"/>
      <sheetName val="比较法-住宅、综合"/>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地下车库"/>
      <sheetName val="不动产收益法-自持地上商业"/>
      <sheetName val="不动产收益法-自持地下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D3">
            <v>52002</v>
          </cell>
          <cell r="E3">
            <v>210751</v>
          </cell>
        </row>
      </sheetData>
      <sheetData sheetId="16" refreshError="1"/>
      <sheetData sheetId="17" refreshError="1"/>
      <sheetData sheetId="18" refreshError="1"/>
      <sheetData sheetId="19" refreshError="1"/>
      <sheetData sheetId="20">
        <row r="19">
          <cell r="G19">
            <v>15201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chuzhou.jiwu.com/news/3352853.html" TargetMode="External"/><Relationship Id="rId2" Type="http://schemas.openxmlformats.org/officeDocument/2006/relationships/hyperlink" Target="http://www.chuzhou.gov.cn/public/2681503/100526638.html" TargetMode="External"/><Relationship Id="rId1" Type="http://schemas.openxmlformats.org/officeDocument/2006/relationships/hyperlink" Target="https://chuzhou.leju.com/news/2018-12-29/14156484662899276315856.shtml"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78/Pl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41" customWidth="1"/>
    <col min="2" max="2" width="78.1640625" style="2842" customWidth="1"/>
    <col min="3" max="18" width="9" style="2836"/>
    <col min="19" max="19" width="17.83203125" style="2836" customWidth="1"/>
    <col min="20" max="51" width="9" style="2836"/>
    <col min="52" max="52" width="13.1640625" style="2836" customWidth="1"/>
    <col min="53" max="53" width="13.5" style="2836" bestFit="1" customWidth="1"/>
    <col min="54" max="54" width="11.6640625" style="2836" bestFit="1" customWidth="1"/>
    <col min="55" max="55" width="13.5" style="2836" bestFit="1" customWidth="1"/>
    <col min="56" max="16384" width="9" style="2836"/>
  </cols>
  <sheetData>
    <row r="1" spans="1:55" s="2847" customFormat="1" ht="17" thickBot="1">
      <c r="A1" s="2845" t="s">
        <v>2653</v>
      </c>
      <c r="B1" s="2846" t="s">
        <v>2750</v>
      </c>
    </row>
    <row r="2" spans="1:55" s="2850" customFormat="1" ht="17" thickTop="1">
      <c r="A2" s="2848" t="s">
        <v>2657</v>
      </c>
      <c r="B2" s="2849" t="str">
        <f>'预评函-封皮'!B37</f>
        <v>出让国有建设用地使用权预评估</v>
      </c>
      <c r="AX2" s="2851"/>
      <c r="AZ2" s="2851"/>
      <c r="BA2" s="2852"/>
      <c r="BC2" s="2852"/>
    </row>
    <row r="3" spans="1:55" s="2853" customFormat="1" ht="16">
      <c r="A3" s="2832" t="s">
        <v>2658</v>
      </c>
      <c r="B3" s="2835">
        <f>'预评函-封皮'!B40</f>
        <v>0</v>
      </c>
    </row>
    <row r="4" spans="1:55" s="2834" customFormat="1" ht="16">
      <c r="A4" s="2832" t="s">
        <v>2659</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7" thickBot="1">
      <c r="A5" s="2854" t="s">
        <v>2660</v>
      </c>
      <c r="B5" s="2855" t="str">
        <f>'预评函-封皮'!B49</f>
        <v>康正预评字号</v>
      </c>
    </row>
    <row r="6" spans="1:55" s="2856" customFormat="1" ht="17" thickTop="1">
      <c r="A6" s="2848" t="s">
        <v>2702</v>
      </c>
      <c r="B6" s="2849" t="str">
        <f>'预评函-1'!A4</f>
        <v>受贵公司委托，我公司对出让国有建设用地使用权进行了预评估。</v>
      </c>
      <c r="AM6" s="2857"/>
    </row>
    <row r="7" spans="1:55" s="2831" customFormat="1" ht="16">
      <c r="A7" s="2832" t="s">
        <v>2654</v>
      </c>
      <c r="B7" s="2833" t="str">
        <f>'预评函-1'!A6</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8" spans="1:55" s="2831" customFormat="1" ht="16">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ht="16">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ht="16">
      <c r="A10" s="2832" t="s">
        <v>2656</v>
      </c>
      <c r="B10" s="2833" t="str">
        <f>'预评函-1'!A11</f>
        <v>2020年2月14日（评估专业人员勘察现场之日）</v>
      </c>
    </row>
    <row r="11" spans="1:55" s="2831" customFormat="1" ht="16">
      <c r="A11" s="2832" t="s">
        <v>2662</v>
      </c>
      <c r="B11" s="2833" t="str">
        <f>'预评函-1'!A14</f>
        <v>根据《国有土地使用证》[]，本次评估估价对象证载（地类）用途为。</v>
      </c>
    </row>
    <row r="12" spans="1:55" s="2831" customFormat="1" ht="16">
      <c r="A12" s="2832" t="s">
        <v>2663</v>
      </c>
      <c r="B12" s="2833" t="str">
        <f>'预评函-1'!A15</f>
        <v>本次评估设定用途即为证载用途。</v>
      </c>
    </row>
    <row r="13" spans="1:55" s="2831" customFormat="1" ht="16">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ht="16">
      <c r="A14" s="2832" t="s">
        <v>2665</v>
      </c>
      <c r="B14" s="2833" t="str">
        <f>'预评函-1'!A18</f>
        <v>。本次评估设定土地开发程度为红线外市政基础设施达“七通”、宗地红线内场地平整。</v>
      </c>
    </row>
    <row r="15" spans="1:55" s="2831" customFormat="1" ht="16">
      <c r="A15" s="2832" t="s">
        <v>2661</v>
      </c>
      <c r="B15" s="2833" t="str">
        <f>'预评函-1'!A20</f>
        <v>根据《国有土地使用证》[]，估价对象（分摊）出让国有建设用地使用权面积为63650平方米。根据《建设工程规划许可证》[]、《出让合同》[]，估价对象规划建筑面积为237128平方米。</v>
      </c>
    </row>
    <row r="16" spans="1:55" s="2831" customFormat="1" ht="16">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10日、商业2060年2月10日地下车库2070年2月10日。截至估价期日，出让国有建设用地使用权剩余土地使用年限为。</v>
      </c>
    </row>
    <row r="17" spans="1:48" s="2831" customFormat="1" ht="16">
      <c r="A17" s="2832" t="s">
        <v>2667</v>
      </c>
      <c r="B17" s="2833" t="str">
        <f>'预评函-1'!A23</f>
        <v>本次评估设定估价对象剩余土地使用年限为。</v>
      </c>
    </row>
    <row r="18" spans="1:48" s="2831" customFormat="1" ht="16">
      <c r="A18" s="2832" t="s">
        <v>2668</v>
      </c>
      <c r="B18" s="2833" t="str">
        <f>'预评函-1'!A25</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19" spans="1:48" s="2831" customFormat="1" ht="16">
      <c r="A19" s="2832" t="s">
        <v>2669</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ht="16">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7"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2" t="s">
        <v>2673</v>
      </c>
      <c r="B23" s="2833" t="str">
        <f>'预评函-2'!K2</f>
        <v>估价期日：2020年2月14日</v>
      </c>
    </row>
    <row r="24" spans="1:48" ht="16">
      <c r="A24" s="2832" t="s">
        <v>2674</v>
      </c>
      <c r="B24" s="2833" t="str">
        <f>'预评函-2'!R2</f>
        <v>估价期日的国有建设用地使用权性质：出让</v>
      </c>
    </row>
    <row r="25" spans="1:48" ht="16">
      <c r="A25" s="2832" t="s">
        <v>2730</v>
      </c>
      <c r="B25" s="2833" t="str">
        <f>'预评函-2'!A3</f>
        <v>估价期日土地使用者</v>
      </c>
    </row>
    <row r="26" spans="1:48" ht="16">
      <c r="A26" s="2832" t="s">
        <v>2706</v>
      </c>
      <c r="B26" s="2833" t="str">
        <f>'预评函-2'!A5</f>
        <v>中信开发</v>
      </c>
    </row>
    <row r="27" spans="1:48" ht="16">
      <c r="A27" s="2832" t="s">
        <v>2731</v>
      </c>
      <c r="B27" s="2833" t="str">
        <f>'预评函-2'!B3</f>
        <v>宗地编号/不动产单元号</v>
      </c>
    </row>
    <row r="28" spans="1:48" ht="16">
      <c r="A28" s="2832" t="s">
        <v>2707</v>
      </c>
      <c r="B28" s="2833" t="str">
        <f>'预评函-2'!B5</f>
        <v>11111111111</v>
      </c>
    </row>
    <row r="29" spans="1:48" ht="16">
      <c r="A29" s="2832" t="s">
        <v>2733</v>
      </c>
      <c r="B29" s="2833">
        <f>'预评函-2'!C5</f>
        <v>22</v>
      </c>
    </row>
    <row r="30" spans="1:48" ht="16">
      <c r="A30" s="2832" t="s">
        <v>2734</v>
      </c>
      <c r="B30" s="2833" t="str">
        <f>'预评函-2'!D3</f>
        <v>土地使用证编号/不动产权证书编号</v>
      </c>
    </row>
    <row r="31" spans="1:48" ht="16">
      <c r="A31" s="2832" t="s">
        <v>2708</v>
      </c>
      <c r="B31" s="2833" t="str">
        <f>'预评函-2'!D5</f>
        <v>京国土字第111号</v>
      </c>
    </row>
    <row r="32" spans="1:48" ht="16">
      <c r="A32" s="2832" t="s">
        <v>2709</v>
      </c>
      <c r="B32" s="2833">
        <f>'预评函-2'!E5</f>
        <v>0</v>
      </c>
      <c r="AV32" s="2837"/>
    </row>
    <row r="33" spans="1:2" ht="16">
      <c r="A33" s="2832" t="s">
        <v>2710</v>
      </c>
      <c r="B33" s="2833">
        <f>'预评函-2'!F5</f>
        <v>258</v>
      </c>
    </row>
    <row r="34" spans="1:2" ht="16">
      <c r="A34" s="2832" t="s">
        <v>2711</v>
      </c>
      <c r="B34" s="2833">
        <f>'预评函-2'!G5</f>
        <v>0</v>
      </c>
    </row>
    <row r="35" spans="1:2" ht="16">
      <c r="A35" s="2832" t="s">
        <v>2712</v>
      </c>
      <c r="B35" s="2833">
        <f>'预评函-2'!H5</f>
        <v>1.5</v>
      </c>
    </row>
    <row r="36" spans="1:2" ht="16">
      <c r="A36" s="2832" t="s">
        <v>2713</v>
      </c>
      <c r="B36" s="2833">
        <f>'预评函-2'!I5</f>
        <v>1.5</v>
      </c>
    </row>
    <row r="37" spans="1:2" ht="16">
      <c r="A37" s="2832" t="s">
        <v>2714</v>
      </c>
      <c r="B37" s="2833">
        <f>'预评函-2'!J5</f>
        <v>1.5</v>
      </c>
    </row>
    <row r="38" spans="1:2" ht="16">
      <c r="A38" s="2832" t="s">
        <v>2715</v>
      </c>
      <c r="B38" s="2833" t="str">
        <f>'预评函-2'!K5</f>
        <v>红线外七通、宗地红线内</v>
      </c>
    </row>
    <row r="39" spans="1:2" ht="16">
      <c r="A39" s="2832" t="s">
        <v>2716</v>
      </c>
      <c r="B39" s="2833" t="str">
        <f>'预评函-2'!L5</f>
        <v>红线外七通、宗地红线内场地</v>
      </c>
    </row>
    <row r="40" spans="1:2" ht="16">
      <c r="A40" s="2832" t="s">
        <v>2735</v>
      </c>
      <c r="B40" s="2833" t="str">
        <f>'预评函-2'!M3</f>
        <v>（剩余）土地使用年限/年</v>
      </c>
    </row>
    <row r="41" spans="1:2" ht="16">
      <c r="A41" s="2832" t="s">
        <v>2717</v>
      </c>
      <c r="B41" s="2833">
        <f>'预评函-2'!M5</f>
        <v>0</v>
      </c>
    </row>
    <row r="42" spans="1:2" ht="16">
      <c r="A42" s="2832" t="s">
        <v>2736</v>
      </c>
      <c r="B42" s="2833" t="str">
        <f>'预评函-2'!N3</f>
        <v>（分摊）出让国有建设用地使用权面积/㎡</v>
      </c>
    </row>
    <row r="43" spans="1:2" ht="16">
      <c r="A43" s="2832" t="s">
        <v>2718</v>
      </c>
      <c r="B43" s="2833">
        <f>'预评函-2'!N5</f>
        <v>63650</v>
      </c>
    </row>
    <row r="44" spans="1:2" ht="16">
      <c r="A44" s="2832" t="s">
        <v>2737</v>
      </c>
      <c r="B44" s="2833" t="str">
        <f>'预评函-2'!O3</f>
        <v>规划建筑面积/㎡</v>
      </c>
    </row>
    <row r="45" spans="1:2" ht="16">
      <c r="A45" s="2832" t="s">
        <v>2719</v>
      </c>
      <c r="B45" s="2833">
        <f>'预评函-2'!O5</f>
        <v>237128</v>
      </c>
    </row>
    <row r="46" spans="1:2" ht="16">
      <c r="A46" s="2832" t="s">
        <v>2720</v>
      </c>
      <c r="B46" s="2833">
        <f ca="1">'预评函-2'!P5</f>
        <v>8821</v>
      </c>
    </row>
    <row r="47" spans="1:2" ht="16">
      <c r="A47" s="2832" t="s">
        <v>2721</v>
      </c>
      <c r="B47" s="2833">
        <f ca="1">'预评函-2'!Q5</f>
        <v>2368</v>
      </c>
    </row>
    <row r="48" spans="1:2" ht="16">
      <c r="A48" s="2832" t="s">
        <v>2722</v>
      </c>
      <c r="B48" s="2833">
        <f ca="1">'预评函-2'!R5</f>
        <v>56146</v>
      </c>
    </row>
    <row r="49" spans="1:2" ht="16">
      <c r="A49" s="2832" t="s">
        <v>2738</v>
      </c>
      <c r="B49" s="2833" t="str">
        <f>'预评函-2'!A6</f>
        <v>抵押价格</v>
      </c>
    </row>
    <row r="50" spans="1:2" ht="16">
      <c r="A50" s="2832" t="s">
        <v>2723</v>
      </c>
      <c r="B50" s="2833" t="str">
        <f>'预评函-2'!R6</f>
        <v>——</v>
      </c>
    </row>
    <row r="51" spans="1:2" ht="16">
      <c r="A51" s="2832" t="s">
        <v>2739</v>
      </c>
      <c r="B51" s="2833" t="str">
        <f>'预评函-2'!A7</f>
        <v>——</v>
      </c>
    </row>
    <row r="52" spans="1:2" ht="16">
      <c r="A52" s="2832" t="s">
        <v>2724</v>
      </c>
      <c r="B52" s="2833" t="str">
        <f>'预评函-2'!R7</f>
        <v>——</v>
      </c>
    </row>
    <row r="53" spans="1:2" ht="16">
      <c r="A53" s="2832" t="s">
        <v>2740</v>
      </c>
      <c r="B53" s="2833">
        <f>'预评函-2'!A8</f>
        <v>0</v>
      </c>
    </row>
    <row r="54" spans="1:2" s="2847" customFormat="1" ht="17" thickBot="1">
      <c r="A54" s="2854" t="s">
        <v>2725</v>
      </c>
      <c r="B54" s="2855" t="str">
        <f>'预评函-2'!R8</f>
        <v>——</v>
      </c>
    </row>
    <row r="55" spans="1:2" ht="17" thickTop="1">
      <c r="A55" s="2843" t="s">
        <v>2675</v>
      </c>
      <c r="B55" s="2844" t="str">
        <f>'预评函-3'!A2</f>
        <v>1.权利限制：根据估价对象《不动产权证书》原件、《国有土地使用权》复印件，截至估价期日，估价对象抵押权未见登记。未设定租赁等其他他项权利。</v>
      </c>
    </row>
    <row r="56" spans="1:2" ht="16">
      <c r="A56" s="2832" t="s">
        <v>2676</v>
      </c>
      <c r="B56" s="2833" t="str">
        <f>'预评函-3'!A3</f>
        <v>2.基础设施条件：估价对象实际开发程度为红线外七通、宗地红线内；本次评估设定开发程度为红线外七通、宗地红线内场地。</v>
      </c>
    </row>
    <row r="57" spans="1:2" ht="16">
      <c r="A57" s="2832" t="s">
        <v>2677</v>
      </c>
      <c r="B57" s="2833" t="str">
        <f>'预评函-3'!A4</f>
        <v>3.估价规划限制条件：详见《建设工程规划许可证》[]、《出让合同》[]。</v>
      </c>
    </row>
    <row r="58" spans="1:2" s="2847" customFormat="1" ht="17" thickBot="1">
      <c r="A58" s="2854" t="s">
        <v>2726</v>
      </c>
      <c r="B58" s="2855" t="str">
        <f>'预评函-3'!A5</f>
        <v>4.影响价格的其他限定条件：无。</v>
      </c>
    </row>
    <row r="59" spans="1:2" ht="17" thickTop="1">
      <c r="A59" s="2843" t="s">
        <v>2678</v>
      </c>
      <c r="B59" s="2844" t="str">
        <f>'预评函-3'!A8</f>
        <v>2.本《评估意见函》仅供金融机构进行内部审核使用，不做其他目的之用。</v>
      </c>
    </row>
    <row r="60" spans="1:2" ht="16">
      <c r="A60" s="2832" t="s">
        <v>2679</v>
      </c>
      <c r="B60" s="2833" t="str">
        <f>'预评函-3'!A9</f>
        <v>3.抵押双方在办理抵押登记手续时，应使用本公司出具的正式《土地估价报告》，特提请报告使用者注意。</v>
      </c>
    </row>
    <row r="61" spans="1:2" ht="16">
      <c r="A61" s="2832" t="s">
        <v>2681</v>
      </c>
      <c r="B61" s="2833" t="str">
        <f>'预评函-3'!A10</f>
        <v>4.估价师所知悉的法定优先受偿款情况为：</v>
      </c>
    </row>
    <row r="62" spans="1:2" ht="16">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2" t="s">
        <v>2683</v>
      </c>
      <c r="B64" s="2838" t="str">
        <f>'预评函-3'!A13</f>
        <v>（3）。</v>
      </c>
    </row>
    <row r="65" spans="1:2" ht="16">
      <c r="A65" s="2832" t="s">
        <v>2684</v>
      </c>
      <c r="B65" s="2839" t="str">
        <f>'预评函-3'!A14</f>
        <v>综上，本次评估不存在估价师知悉的法定优先受偿款</v>
      </c>
    </row>
    <row r="66" spans="1:2" ht="16">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7" thickBot="1">
      <c r="A68" s="2854" t="s">
        <v>2689</v>
      </c>
      <c r="B68" s="2858">
        <f>'预评函-3'!D30</f>
        <v>42558</v>
      </c>
    </row>
    <row r="69" spans="1:2" ht="17" thickTop="1">
      <c r="A69" s="2843" t="s">
        <v>2687</v>
      </c>
      <c r="B69" s="2844" t="str">
        <f>'预评函-3'!A20</f>
        <v>土地估价师</v>
      </c>
    </row>
    <row r="70" spans="1:2" ht="16">
      <c r="A70" s="2832" t="s">
        <v>2687</v>
      </c>
      <c r="B70" s="2839">
        <f>'预评函-3'!B20</f>
        <v>0</v>
      </c>
    </row>
    <row r="71" spans="1:2" ht="16">
      <c r="A71" s="2832" t="s">
        <v>2688</v>
      </c>
      <c r="B71" s="2833" t="str">
        <f>'预评函-3'!A21</f>
        <v>土地估价师</v>
      </c>
    </row>
    <row r="72" spans="1:2" s="2847" customFormat="1" ht="17" thickBot="1">
      <c r="A72" s="2854" t="s">
        <v>2688</v>
      </c>
      <c r="B72" s="2860">
        <f>'预评函-3'!B21</f>
        <v>0</v>
      </c>
    </row>
    <row r="73" spans="1:2" ht="17"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7"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41" t="s">
        <v>2784</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3" sqref="D3"/>
    </sheetView>
  </sheetViews>
  <sheetFormatPr baseColWidth="10" defaultColWidth="10" defaultRowHeight="16"/>
  <cols>
    <col min="1" max="1" width="15.33203125" style="1674" customWidth="1"/>
    <col min="2" max="2" width="11.33203125" style="1674" customWidth="1"/>
    <col min="3" max="3" width="12.6640625" style="1674" customWidth="1"/>
    <col min="4" max="4" width="12" style="1674" customWidth="1"/>
    <col min="5" max="5" width="12.5" style="1674" customWidth="1"/>
    <col min="6" max="6" width="11.33203125" style="1674" customWidth="1"/>
    <col min="7" max="7" width="12.3320312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8" thickBot="1">
      <c r="A1" s="1642" t="s">
        <v>1935</v>
      </c>
      <c r="B1" s="3240" t="str">
        <f>IF(B10="北京市","北京市",C10)&amp;F10&amp;B16&amp;"国有建设用地使用权"&amp;B9&amp;"预评估"</f>
        <v>出让国有建设用地使用权预评估</v>
      </c>
      <c r="C1" s="3241"/>
      <c r="D1" s="3241"/>
      <c r="E1" s="3241"/>
      <c r="F1" s="3241"/>
      <c r="G1" s="3241"/>
      <c r="H1" s="3241"/>
      <c r="I1" s="3242"/>
      <c r="J1" s="1677"/>
      <c r="K1" s="2418" t="str">
        <f>IF(B10="北京市","北京市",C10)&amp;F10&amp;B16&amp;"国有建设用地使用权"&amp;B9</f>
        <v>出让国有建设用地使用权</v>
      </c>
      <c r="L1" s="1706"/>
      <c r="M1" s="1706"/>
      <c r="N1" s="1677"/>
      <c r="O1" s="1678"/>
      <c r="P1" s="1677"/>
      <c r="Q1" s="1677"/>
      <c r="R1" s="1677"/>
      <c r="S1" s="1677"/>
      <c r="T1" s="1677"/>
      <c r="U1" s="1677"/>
    </row>
    <row r="2" spans="1:21" ht="17">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ht="17">
      <c r="A3" s="1644" t="s">
        <v>1937</v>
      </c>
      <c r="B3" s="1645">
        <v>43875</v>
      </c>
      <c r="C3" s="1646" t="s">
        <v>1993</v>
      </c>
      <c r="D3" s="1645">
        <f>B3</f>
        <v>43875</v>
      </c>
      <c r="E3" s="1677"/>
      <c r="F3" s="1677"/>
      <c r="G3" s="1677"/>
      <c r="H3" s="1643"/>
      <c r="I3" s="1678"/>
      <c r="J3" s="1677"/>
      <c r="K3" s="1757"/>
      <c r="L3" s="1706"/>
      <c r="M3" s="1706"/>
      <c r="N3" s="1677"/>
      <c r="O3" s="1678"/>
      <c r="P3" s="1677"/>
      <c r="Q3" s="1677"/>
      <c r="R3" s="1677"/>
      <c r="S3" s="1677"/>
      <c r="T3" s="1677"/>
      <c r="U3" s="1677"/>
    </row>
    <row r="4" spans="1:21" ht="18"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8"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17">
      <c r="A6" s="1646" t="s">
        <v>2703</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ht="17">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ht="17">
      <c r="A8" s="1652" t="s">
        <v>1940</v>
      </c>
      <c r="B8" s="1653" t="s">
        <v>2990</v>
      </c>
      <c r="C8" s="1654"/>
      <c r="D8" s="3246" t="s">
        <v>1942</v>
      </c>
      <c r="E8" s="1827"/>
      <c r="F8" s="1655"/>
      <c r="G8" s="1643"/>
      <c r="H8" s="1643"/>
      <c r="I8" s="1690"/>
      <c r="J8" s="1677"/>
      <c r="K8" s="1757"/>
      <c r="L8" s="1706"/>
      <c r="M8" s="1706"/>
      <c r="N8" s="1677"/>
      <c r="O8" s="1678"/>
      <c r="P8" s="1677"/>
      <c r="Q8" s="1677"/>
      <c r="R8" s="1677"/>
      <c r="S8" s="1677"/>
      <c r="T8" s="1677"/>
      <c r="U8" s="1677"/>
    </row>
    <row r="9" spans="1:21" ht="18" thickBot="1">
      <c r="A9" s="1656" t="s">
        <v>1941</v>
      </c>
      <c r="B9" s="1657"/>
      <c r="C9" s="1658"/>
      <c r="D9" s="3247"/>
      <c r="E9" s="1657"/>
      <c r="F9" s="1730"/>
      <c r="G9" s="1725"/>
      <c r="H9" s="1725"/>
      <c r="I9" s="1726"/>
      <c r="J9" s="1677"/>
      <c r="K9" s="1757"/>
      <c r="L9" s="1706"/>
      <c r="M9" s="1706"/>
      <c r="N9" s="1677"/>
      <c r="O9" s="1678"/>
      <c r="P9" s="1677"/>
      <c r="Q9" s="1677"/>
      <c r="R9" s="1677"/>
      <c r="S9" s="1677"/>
      <c r="T9" s="1677"/>
      <c r="U9" s="1677"/>
    </row>
    <row r="10" spans="1:21" ht="18" thickTop="1">
      <c r="A10" s="1727" t="s">
        <v>1997</v>
      </c>
      <c r="B10" s="1702"/>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ht="34">
      <c r="A11" s="1680" t="s">
        <v>1998</v>
      </c>
      <c r="B11" s="1681" t="s">
        <v>2998</v>
      </c>
      <c r="C11" s="1662" t="s">
        <v>2997</v>
      </c>
      <c r="D11" s="1745"/>
      <c r="E11" s="1643"/>
      <c r="F11" s="1643"/>
      <c r="G11" s="1643"/>
      <c r="H11" s="1643"/>
      <c r="I11" s="1643"/>
      <c r="J11" s="1677"/>
      <c r="K11" s="1757"/>
      <c r="L11" s="1706"/>
      <c r="M11" s="1706"/>
      <c r="N11" s="1677"/>
      <c r="O11" s="1678"/>
      <c r="P11" s="1677"/>
      <c r="Q11" s="1677"/>
      <c r="R11" s="1677"/>
      <c r="S11" s="1677"/>
      <c r="T11" s="1677"/>
      <c r="U11" s="1677"/>
    </row>
    <row r="12" spans="1:21" ht="17">
      <c r="A12" s="1768" t="s">
        <v>2056</v>
      </c>
      <c r="B12" s="3243"/>
      <c r="C12" s="3244"/>
      <c r="D12" s="3245"/>
      <c r="E12" s="1682" t="s">
        <v>2059</v>
      </c>
      <c r="F12" s="3261" t="s">
        <v>2887</v>
      </c>
      <c r="G12" s="3262"/>
      <c r="H12" s="3262"/>
      <c r="I12" s="3263"/>
      <c r="J12" s="1677"/>
      <c r="K12" s="1757"/>
      <c r="L12" s="1706"/>
      <c r="M12" s="1706"/>
      <c r="N12" s="1677"/>
      <c r="O12" s="1678"/>
      <c r="P12" s="1677"/>
      <c r="Q12" s="1677"/>
      <c r="R12" s="1677"/>
      <c r="S12" s="1677"/>
      <c r="T12" s="1677"/>
      <c r="U12" s="1677"/>
    </row>
    <row r="13" spans="1:21" ht="17">
      <c r="A13" s="1670" t="s">
        <v>2057</v>
      </c>
      <c r="B13" s="3243"/>
      <c r="C13" s="3244"/>
      <c r="D13" s="3245"/>
      <c r="E13" s="1682" t="s">
        <v>2059</v>
      </c>
      <c r="F13" s="3261" t="s">
        <v>2888</v>
      </c>
      <c r="G13" s="3262"/>
      <c r="H13" s="3262"/>
      <c r="I13" s="3263"/>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t="17"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51">
      <c r="A16" s="1663" t="s">
        <v>1945</v>
      </c>
      <c r="B16" s="1664" t="s">
        <v>2985</v>
      </c>
      <c r="C16" s="1682" t="s">
        <v>1946</v>
      </c>
      <c r="D16" s="2609" t="s">
        <v>1947</v>
      </c>
      <c r="E16" s="1705" t="s">
        <v>2999</v>
      </c>
      <c r="F16" s="1705"/>
      <c r="G16" s="1705" t="s">
        <v>35</v>
      </c>
      <c r="H16" s="1705"/>
      <c r="I16" s="1669" t="s">
        <v>1952</v>
      </c>
      <c r="J16" s="1677"/>
      <c r="K16" s="2419" t="str">
        <f>IF(D17="","",D16&amp;TEXT(D17,"yyyy年m月d日;;"))</f>
        <v>住宅2090年2月10日</v>
      </c>
      <c r="L16" s="1682" t="str">
        <f>IF(OR(K16="",M16=""),"","、")</f>
        <v>、</v>
      </c>
      <c r="M16" s="2419" t="str">
        <f>IF(E17="","",E16&amp;TEXT(E17,"yyyy年m月d日;;"))</f>
        <v>商业2060年2月10日</v>
      </c>
      <c r="N16" s="1682" t="str">
        <f>IF(OR(M16="",O16=""),"","、")</f>
        <v/>
      </c>
      <c r="O16" s="2419" t="str">
        <f>IF(F17="","",F16&amp;TEXT(F17,"yyyy年m月d日;;"))</f>
        <v/>
      </c>
      <c r="P16" s="1682" t="str">
        <f>IF(OR(O16="",Q16=""),"","、")</f>
        <v/>
      </c>
      <c r="Q16" s="2419" t="str">
        <f>IF(G17="","",G16&amp;TEXT(G17,"yyyy年m月d日;;"))</f>
        <v>地下车库2070年2月10日</v>
      </c>
      <c r="R16" s="1682" t="str">
        <f>IF(OR(Q16="",S16=""),"","、")</f>
        <v/>
      </c>
      <c r="S16" s="2419" t="str">
        <f>IF(H17="","",H16&amp;TEXT(H17,"yyyy年m月d日;;"))</f>
        <v/>
      </c>
      <c r="T16" s="1682" t="str">
        <f>IF(OR(S16="",U16=""),"","、")</f>
        <v/>
      </c>
      <c r="U16" s="2419" t="str">
        <f>IF(I17="","",I16&amp;TEXT(I17,"yyyy年m月d日;;"))</f>
        <v/>
      </c>
    </row>
    <row r="17" spans="1:21" ht="17">
      <c r="A17" s="1746"/>
      <c r="B17" s="1665"/>
      <c r="C17" s="1666" t="s">
        <v>1953</v>
      </c>
      <c r="D17" s="1683">
        <v>69439</v>
      </c>
      <c r="E17" s="1683">
        <v>58481</v>
      </c>
      <c r="F17" s="1683"/>
      <c r="G17" s="1683">
        <v>62134</v>
      </c>
      <c r="H17" s="1683"/>
      <c r="I17" s="1683"/>
      <c r="J17" s="1677"/>
      <c r="K17" s="2418" t="str">
        <f>CONCATENATE(K16,L16,M16,N16,O16,P16,Q16,R16,S16,T16,,U16)</f>
        <v>住宅2090年2月10日、商业2060年2月10日地下车库2070年2月10日</v>
      </c>
      <c r="L17" s="1706"/>
      <c r="M17" s="1706"/>
      <c r="N17" s="1677"/>
      <c r="O17" s="1678"/>
      <c r="P17" s="1677"/>
      <c r="Q17" s="1677"/>
      <c r="R17" s="1677"/>
      <c r="S17" s="1677"/>
      <c r="T17" s="1677"/>
      <c r="U17" s="1677"/>
    </row>
    <row r="18" spans="1:21" ht="17">
      <c r="A18" s="1746"/>
      <c r="B18" s="1665"/>
      <c r="C18" s="1666" t="s">
        <v>1954</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ht="17">
      <c r="A19" s="1746"/>
      <c r="B19" s="1665"/>
      <c r="C19" s="1643" t="s">
        <v>1955</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58"/>
      <c r="E20" s="3259"/>
      <c r="F20" s="3259"/>
      <c r="G20" s="3259"/>
      <c r="H20" s="3259"/>
      <c r="I20" s="3260"/>
      <c r="J20" s="1677"/>
      <c r="K20" s="1757"/>
      <c r="L20" s="1706"/>
      <c r="M20" s="1706"/>
      <c r="N20" s="1677"/>
      <c r="O20" s="1678"/>
      <c r="P20" s="1677"/>
      <c r="Q20" s="1677"/>
      <c r="R20" s="1677"/>
      <c r="S20" s="1677"/>
      <c r="T20" s="1677"/>
      <c r="U20" s="1677"/>
    </row>
    <row r="21" spans="1:21" ht="17">
      <c r="A21" s="1746" t="s">
        <v>1956</v>
      </c>
      <c r="B21" s="1747" t="s">
        <v>1957</v>
      </c>
      <c r="C21" s="1742">
        <f>'数据-汇总表'!E3</f>
        <v>237128</v>
      </c>
      <c r="D21" s="1743" t="s">
        <v>1958</v>
      </c>
      <c r="E21" s="3248" t="s">
        <v>1996</v>
      </c>
      <c r="F21" s="3249"/>
      <c r="G21" s="3249"/>
      <c r="H21" s="3249"/>
      <c r="I21" s="3250"/>
      <c r="J21" s="1677"/>
      <c r="K21" s="1757"/>
      <c r="L21" s="1706"/>
      <c r="M21" s="1706"/>
      <c r="N21" s="1677"/>
      <c r="O21" s="1678"/>
      <c r="P21" s="1677"/>
      <c r="Q21" s="1677"/>
      <c r="R21" s="1677"/>
      <c r="S21" s="1677"/>
      <c r="T21" s="1677"/>
      <c r="U21" s="1677"/>
    </row>
    <row r="22" spans="1:21" ht="17">
      <c r="A22" s="3095" t="s">
        <v>952</v>
      </c>
      <c r="B22" s="1644" t="s">
        <v>1959</v>
      </c>
      <c r="C22" s="1669">
        <f>'数据-汇总表'!D3</f>
        <v>63650</v>
      </c>
      <c r="D22" s="1670" t="s">
        <v>1958</v>
      </c>
      <c r="E22" s="3248" t="s">
        <v>2889</v>
      </c>
      <c r="F22" s="3249"/>
      <c r="G22" s="3249"/>
      <c r="H22" s="3249"/>
      <c r="I22" s="3250"/>
      <c r="J22" s="1677"/>
      <c r="K22" s="1757"/>
      <c r="L22" s="1706"/>
      <c r="M22" s="1706"/>
      <c r="N22" s="1677"/>
      <c r="O22" s="1678"/>
      <c r="P22" s="1677"/>
      <c r="Q22" s="1677"/>
      <c r="R22" s="1677"/>
      <c r="S22" s="1677"/>
      <c r="T22" s="1677"/>
      <c r="U22" s="1677"/>
    </row>
    <row r="23" spans="1:21" ht="52"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ht="17">
      <c r="A24" s="1733" t="s">
        <v>1963</v>
      </c>
      <c r="B24" s="3251" t="s">
        <v>1964</v>
      </c>
      <c r="C24" s="3252"/>
      <c r="D24" s="3253" t="s">
        <v>1965</v>
      </c>
      <c r="E24" s="3254"/>
      <c r="F24" s="1691" t="s">
        <v>1966</v>
      </c>
      <c r="G24" s="1677"/>
      <c r="H24" s="1677"/>
      <c r="I24" s="1690"/>
      <c r="J24" s="1677"/>
      <c r="K24" s="3239"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4">
      <c r="A25" s="1734"/>
      <c r="B25" s="1731" t="s">
        <v>2323</v>
      </c>
      <c r="C25" s="1692" t="s">
        <v>1968</v>
      </c>
      <c r="D25" s="1693"/>
      <c r="E25" s="1694" t="s">
        <v>952</v>
      </c>
      <c r="F25" s="1695"/>
      <c r="G25" s="1677"/>
      <c r="H25" s="1677"/>
      <c r="I25" s="1690"/>
      <c r="J25" s="1677"/>
      <c r="K25" s="323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35" thickBot="1">
      <c r="A26" s="1735"/>
      <c r="B26" s="1732" t="s">
        <v>1969</v>
      </c>
      <c r="C26" s="1692" t="s">
        <v>2324</v>
      </c>
      <c r="D26" s="1643"/>
      <c r="E26" s="1643"/>
      <c r="F26" s="1671"/>
      <c r="G26" s="1677"/>
      <c r="H26" s="1677"/>
      <c r="I26" s="1690"/>
      <c r="J26" s="1677"/>
      <c r="K26" s="323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ht="17">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ht="17">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ht="17">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8"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7" thickTop="1">
      <c r="A31" s="3266" t="s">
        <v>1999</v>
      </c>
      <c r="B31" s="1747" t="s">
        <v>2000</v>
      </c>
      <c r="C31" s="3264"/>
      <c r="D31" s="3265"/>
      <c r="E31" s="1677"/>
      <c r="F31" s="1677"/>
      <c r="G31" s="1677"/>
      <c r="H31" s="1677"/>
      <c r="I31" s="1690"/>
      <c r="J31" s="1677"/>
      <c r="K31" s="2421"/>
      <c r="L31" s="1677"/>
      <c r="M31" s="1677"/>
      <c r="N31" s="1677"/>
      <c r="O31" s="1677"/>
      <c r="P31" s="1677"/>
      <c r="Q31" s="1677"/>
      <c r="R31" s="1677"/>
      <c r="S31" s="1677"/>
      <c r="T31" s="1677"/>
      <c r="U31" s="1677"/>
    </row>
    <row r="32" spans="1:21">
      <c r="A32" s="3266"/>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66"/>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7"/>
      <c r="B34" s="1644" t="s">
        <v>2003</v>
      </c>
      <c r="C34" s="3268"/>
      <c r="D34" s="3269"/>
      <c r="E34" s="1677"/>
      <c r="F34" s="1677"/>
      <c r="G34" s="1677"/>
      <c r="H34" s="1677"/>
      <c r="I34" s="1690"/>
      <c r="J34" s="1677"/>
      <c r="K34" s="2421"/>
      <c r="L34" s="1677"/>
      <c r="M34" s="1677"/>
      <c r="N34" s="1677"/>
      <c r="O34" s="1677"/>
      <c r="P34" s="1677"/>
      <c r="Q34" s="1677"/>
      <c r="R34" s="1677"/>
      <c r="S34" s="1677"/>
      <c r="T34" s="1677"/>
      <c r="U34" s="1677"/>
    </row>
    <row r="35" spans="1:21" ht="17">
      <c r="A35" s="3270" t="s">
        <v>847</v>
      </c>
      <c r="B35" s="1705"/>
      <c r="C35" s="1759" t="str">
        <f>IF(B35="场地平整","——","具体情况：")</f>
        <v>具体情况：</v>
      </c>
      <c r="D35" s="3272"/>
      <c r="E35" s="3273"/>
      <c r="F35" s="3273"/>
      <c r="G35" s="3273"/>
      <c r="H35" s="3273"/>
      <c r="I35" s="3274"/>
      <c r="J35" s="1677"/>
      <c r="K35" s="1758"/>
      <c r="L35" s="1706"/>
      <c r="M35" s="1706"/>
      <c r="N35" s="1677"/>
      <c r="O35" s="1678"/>
      <c r="P35" s="1677"/>
      <c r="Q35" s="1677"/>
      <c r="R35" s="1677"/>
      <c r="S35" s="1677"/>
      <c r="T35" s="1677"/>
      <c r="U35" s="1677"/>
    </row>
    <row r="36" spans="1:21" ht="17">
      <c r="A36" s="3266"/>
      <c r="B36" s="3275" t="s">
        <v>2052</v>
      </c>
      <c r="C36" s="3276"/>
      <c r="D36" s="1775"/>
      <c r="E36" s="3277"/>
      <c r="F36" s="3277"/>
      <c r="G36" s="1670" t="str">
        <f>IF(B35="场地未平整","估价结果处理","")</f>
        <v/>
      </c>
      <c r="H36" s="3278"/>
      <c r="I36" s="3278"/>
      <c r="J36" s="1677"/>
      <c r="K36" s="1758"/>
      <c r="L36" s="1706"/>
      <c r="M36" s="1706"/>
      <c r="N36" s="1677"/>
      <c r="O36" s="1678"/>
      <c r="P36" s="1677"/>
      <c r="Q36" s="1677"/>
      <c r="R36" s="1677"/>
      <c r="S36" s="1677"/>
      <c r="T36" s="1677"/>
      <c r="U36" s="1677"/>
    </row>
    <row r="37" spans="1:21" ht="34">
      <c r="A37" s="3266"/>
      <c r="B37" s="3255"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ht="17">
      <c r="A38" s="3266"/>
      <c r="B38" s="3256"/>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67"/>
      <c r="B39" s="325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ht="17">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38" t="s">
        <v>1983</v>
      </c>
      <c r="T40" s="1714" t="str">
        <f>NUMBERSTRING(7-K40,1)&amp;"通"</f>
        <v>七通</v>
      </c>
      <c r="U40" s="1677"/>
    </row>
    <row r="41" spans="1:21">
      <c r="A41" s="1646"/>
      <c r="B41" s="3271" t="s">
        <v>1721</v>
      </c>
      <c r="C41" s="3271"/>
      <c r="D41" s="3271"/>
      <c r="E41" s="327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8"/>
      <c r="T41" s="1716" t="str">
        <f>IF(T40="一通",L41,IF(T40="二通",M41,IF(T40="三通",N41,IF(T40="四通",O41,IF(T40="五通",P41,IF(T40="六通",Q41,R41))))))</f>
        <v>、、、、、、</v>
      </c>
      <c r="U41" s="1677"/>
    </row>
    <row r="42" spans="1:21" ht="17">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ht="17">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ht="17">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0"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34">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59EC-A9D4-1846-A59F-FEE5F9BCFCD6}">
  <sheetPr>
    <tabColor rgb="FFFFFF00"/>
  </sheetPr>
  <dimension ref="A7:O44"/>
  <sheetViews>
    <sheetView topLeftCell="A3" zoomScale="89" zoomScaleNormal="39" workbookViewId="0">
      <selection activeCell="E23" sqref="E23:F23"/>
    </sheetView>
  </sheetViews>
  <sheetFormatPr baseColWidth="10" defaultRowHeight="14"/>
  <cols>
    <col min="6" max="9" width="15" customWidth="1"/>
    <col min="10" max="10" width="9.33203125" bestFit="1" customWidth="1"/>
    <col min="15" max="15" width="13" bestFit="1" customWidth="1"/>
  </cols>
  <sheetData>
    <row r="7" spans="2:9">
      <c r="C7" s="3202" t="s">
        <v>3102</v>
      </c>
      <c r="D7" s="3203"/>
      <c r="E7" s="3203"/>
      <c r="F7" s="3203">
        <v>3800</v>
      </c>
      <c r="G7" s="3203">
        <v>1300</v>
      </c>
      <c r="H7" s="3203">
        <v>3800</v>
      </c>
    </row>
    <row r="8" spans="2:9">
      <c r="C8" s="3204" t="s">
        <v>3103</v>
      </c>
      <c r="D8" s="3205"/>
      <c r="E8" s="3205"/>
      <c r="F8" s="3205">
        <f>F7*(F18+F22)/10000</f>
        <v>64666.879999999997</v>
      </c>
      <c r="G8" s="3205">
        <f t="shared" ref="G8:H8" si="0">G7*(G18+G22)/10000</f>
        <v>15215.98</v>
      </c>
      <c r="H8" s="3205">
        <f t="shared" si="0"/>
        <v>90793.4</v>
      </c>
    </row>
    <row r="11" spans="2:9">
      <c r="B11" s="3279" t="s">
        <v>3000</v>
      </c>
      <c r="C11" s="3279"/>
      <c r="D11" s="3279"/>
      <c r="E11" s="3279"/>
      <c r="F11" t="s">
        <v>3001</v>
      </c>
      <c r="H11" t="s">
        <v>3002</v>
      </c>
    </row>
    <row r="12" spans="2:9">
      <c r="B12" s="3279" t="s">
        <v>3003</v>
      </c>
      <c r="C12" s="3279"/>
      <c r="D12" s="3279"/>
      <c r="E12" s="3279"/>
      <c r="F12" t="s">
        <v>3004</v>
      </c>
      <c r="G12" t="s">
        <v>3005</v>
      </c>
      <c r="H12" t="s">
        <v>3004</v>
      </c>
      <c r="I12" t="s">
        <v>3006</v>
      </c>
    </row>
    <row r="13" spans="2:9">
      <c r="B13" s="3279" t="s">
        <v>3007</v>
      </c>
      <c r="C13" s="3279"/>
      <c r="D13" s="3279"/>
      <c r="E13" s="3279"/>
      <c r="F13">
        <v>63650</v>
      </c>
      <c r="G13">
        <v>52002</v>
      </c>
      <c r="H13">
        <v>119465</v>
      </c>
      <c r="I13">
        <f>SUM(F13:H13)</f>
        <v>235117</v>
      </c>
    </row>
    <row r="14" spans="2:9">
      <c r="B14" s="3279" t="s">
        <v>3008</v>
      </c>
      <c r="C14" s="3279"/>
      <c r="D14" s="3279"/>
      <c r="E14" s="3279"/>
      <c r="F14">
        <v>2.67</v>
      </c>
      <c r="G14">
        <v>2.5</v>
      </c>
      <c r="H14">
        <v>2</v>
      </c>
    </row>
    <row r="15" spans="2:9">
      <c r="G15" t="s">
        <v>3009</v>
      </c>
    </row>
    <row r="16" spans="2:9">
      <c r="B16" s="3279" t="s">
        <v>3010</v>
      </c>
      <c r="C16" s="3279"/>
      <c r="D16" s="3279"/>
      <c r="E16" s="3279"/>
      <c r="F16">
        <f>F17+F27</f>
        <v>237128</v>
      </c>
      <c r="G16">
        <f>G17+G27</f>
        <v>210751</v>
      </c>
      <c r="H16">
        <f>H17+H27</f>
        <v>334742</v>
      </c>
      <c r="I16">
        <f t="shared" ref="I16:I33" si="1">SUM(F16:H16)</f>
        <v>782621</v>
      </c>
    </row>
    <row r="17" spans="2:9">
      <c r="B17" s="3279" t="s">
        <v>3011</v>
      </c>
      <c r="C17" s="3279" t="s">
        <v>3012</v>
      </c>
      <c r="D17" s="3279"/>
      <c r="E17" s="3279"/>
      <c r="F17">
        <f>F18+F22+F25+F26</f>
        <v>173003</v>
      </c>
      <c r="G17">
        <f>G18+G22+G25+G26</f>
        <v>119420</v>
      </c>
      <c r="H17">
        <f>H18+H22+H25+H26</f>
        <v>245943</v>
      </c>
      <c r="I17">
        <f t="shared" si="1"/>
        <v>538366</v>
      </c>
    </row>
    <row r="18" spans="2:9">
      <c r="B18" s="3279"/>
      <c r="C18" s="3279" t="s">
        <v>3011</v>
      </c>
      <c r="D18" s="3279" t="s">
        <v>3004</v>
      </c>
      <c r="E18" s="3279"/>
      <c r="F18">
        <f>SUM(F19:F21)</f>
        <v>167543</v>
      </c>
      <c r="G18">
        <f t="shared" ref="G18:H18" si="2">SUM(G19:G21)</f>
        <v>0</v>
      </c>
      <c r="H18">
        <f t="shared" si="2"/>
        <v>231130</v>
      </c>
      <c r="I18">
        <f t="shared" si="1"/>
        <v>398673</v>
      </c>
    </row>
    <row r="19" spans="2:9">
      <c r="B19" s="3279"/>
      <c r="C19" s="3279"/>
      <c r="D19" s="3279" t="s">
        <v>3011</v>
      </c>
      <c r="E19" t="s">
        <v>3013</v>
      </c>
      <c r="F19">
        <v>167543</v>
      </c>
      <c r="H19">
        <v>194890</v>
      </c>
      <c r="I19">
        <f t="shared" si="1"/>
        <v>362433</v>
      </c>
    </row>
    <row r="20" spans="2:9">
      <c r="B20" s="3279"/>
      <c r="C20" s="3279"/>
      <c r="D20" s="3279"/>
      <c r="E20" t="s">
        <v>3014</v>
      </c>
      <c r="H20">
        <v>22800</v>
      </c>
      <c r="I20">
        <f t="shared" si="1"/>
        <v>22800</v>
      </c>
    </row>
    <row r="21" spans="2:9">
      <c r="B21" s="3279"/>
      <c r="C21" s="3279"/>
      <c r="D21" s="3279"/>
      <c r="E21" t="s">
        <v>3015</v>
      </c>
      <c r="H21">
        <v>13440</v>
      </c>
      <c r="I21">
        <f t="shared" si="1"/>
        <v>13440</v>
      </c>
    </row>
    <row r="22" spans="2:9">
      <c r="B22" s="3279"/>
      <c r="C22" s="3279"/>
      <c r="D22" s="3279" t="s">
        <v>3005</v>
      </c>
      <c r="E22" s="3279"/>
      <c r="F22">
        <f>SUM(F23:F24)</f>
        <v>2633</v>
      </c>
      <c r="G22">
        <f>SUM(G23:G24)</f>
        <v>117046</v>
      </c>
      <c r="H22">
        <f>SUM(H23:H24)</f>
        <v>7800</v>
      </c>
      <c r="I22">
        <f t="shared" si="1"/>
        <v>127479</v>
      </c>
    </row>
    <row r="23" spans="2:9">
      <c r="B23" s="3279"/>
      <c r="C23" s="3279"/>
      <c r="D23" t="s">
        <v>3011</v>
      </c>
      <c r="E23" t="s">
        <v>3016</v>
      </c>
      <c r="F23">
        <v>2633</v>
      </c>
      <c r="G23">
        <v>17046</v>
      </c>
      <c r="H23">
        <v>7800</v>
      </c>
      <c r="I23">
        <f t="shared" si="1"/>
        <v>27479</v>
      </c>
    </row>
    <row r="24" spans="2:9">
      <c r="B24" s="3279"/>
      <c r="C24" s="3279"/>
      <c r="E24" t="s">
        <v>3017</v>
      </c>
      <c r="G24">
        <v>100000</v>
      </c>
      <c r="I24">
        <f t="shared" si="1"/>
        <v>100000</v>
      </c>
    </row>
    <row r="25" spans="2:9">
      <c r="B25" s="3279"/>
      <c r="C25" s="3279"/>
      <c r="D25" s="3279" t="s">
        <v>3018</v>
      </c>
      <c r="E25" s="3279"/>
      <c r="F25">
        <v>2827</v>
      </c>
      <c r="G25">
        <v>2374</v>
      </c>
      <c r="H25">
        <v>3265</v>
      </c>
      <c r="I25">
        <f t="shared" si="1"/>
        <v>8466</v>
      </c>
    </row>
    <row r="26" spans="2:9">
      <c r="B26" s="3279"/>
      <c r="C26" s="3279"/>
      <c r="D26" s="3279" t="s">
        <v>3019</v>
      </c>
      <c r="E26" s="3279"/>
      <c r="H26">
        <v>3748</v>
      </c>
      <c r="I26">
        <f t="shared" si="1"/>
        <v>3748</v>
      </c>
    </row>
    <row r="27" spans="2:9">
      <c r="B27" s="3279"/>
      <c r="C27" s="3279" t="s">
        <v>3020</v>
      </c>
      <c r="D27" s="3279"/>
      <c r="E27" s="3279"/>
      <c r="F27">
        <f>F28+F31+F32</f>
        <v>64125</v>
      </c>
      <c r="G27">
        <f t="shared" ref="G27:H27" si="3">G28+G31+G32</f>
        <v>91331</v>
      </c>
      <c r="H27">
        <f t="shared" si="3"/>
        <v>88799</v>
      </c>
      <c r="I27">
        <f t="shared" si="1"/>
        <v>244255</v>
      </c>
    </row>
    <row r="28" spans="2:9">
      <c r="B28" s="3279"/>
      <c r="C28" s="3279" t="s">
        <v>3011</v>
      </c>
      <c r="D28" s="3279" t="s">
        <v>3005</v>
      </c>
      <c r="E28" s="3279"/>
      <c r="F28">
        <f>F29+F30</f>
        <v>0</v>
      </c>
      <c r="G28">
        <f t="shared" ref="G28:H28" si="4">G29+G30</f>
        <v>20000</v>
      </c>
      <c r="H28">
        <f t="shared" si="4"/>
        <v>0</v>
      </c>
      <c r="I28">
        <f t="shared" si="1"/>
        <v>20000</v>
      </c>
    </row>
    <row r="29" spans="2:9">
      <c r="B29" s="3279"/>
      <c r="C29" s="3279"/>
      <c r="D29" s="3279" t="s">
        <v>3011</v>
      </c>
      <c r="E29" s="3187" t="s">
        <v>3016</v>
      </c>
      <c r="F29">
        <v>0</v>
      </c>
      <c r="G29">
        <v>0</v>
      </c>
      <c r="H29">
        <v>0</v>
      </c>
      <c r="I29">
        <f t="shared" si="1"/>
        <v>0</v>
      </c>
    </row>
    <row r="30" spans="2:9">
      <c r="B30" s="3279"/>
      <c r="C30" s="3279"/>
      <c r="D30" s="3279"/>
      <c r="E30" s="3187" t="s">
        <v>3017</v>
      </c>
      <c r="F30">
        <v>0</v>
      </c>
      <c r="G30">
        <v>20000</v>
      </c>
      <c r="H30">
        <v>0</v>
      </c>
      <c r="I30">
        <f t="shared" si="1"/>
        <v>20000</v>
      </c>
    </row>
    <row r="31" spans="2:9">
      <c r="B31" s="3279"/>
      <c r="C31" s="3279"/>
      <c r="D31" s="3279" t="s">
        <v>3018</v>
      </c>
      <c r="E31" s="3279"/>
      <c r="F31">
        <v>0</v>
      </c>
      <c r="G31">
        <v>8840</v>
      </c>
      <c r="H31">
        <v>0</v>
      </c>
      <c r="I31">
        <f t="shared" si="1"/>
        <v>8840</v>
      </c>
    </row>
    <row r="32" spans="2:9">
      <c r="B32" s="3279"/>
      <c r="C32" s="3279"/>
      <c r="D32" s="3279" t="s">
        <v>3021</v>
      </c>
      <c r="E32" s="3279"/>
      <c r="F32">
        <v>64125</v>
      </c>
      <c r="G32">
        <v>62491</v>
      </c>
      <c r="H32">
        <v>88799</v>
      </c>
      <c r="I32">
        <f t="shared" si="1"/>
        <v>215415</v>
      </c>
    </row>
    <row r="33" spans="1:15">
      <c r="B33" s="3279"/>
      <c r="C33" s="3279"/>
      <c r="E33" t="s">
        <v>3022</v>
      </c>
      <c r="F33">
        <v>1686</v>
      </c>
      <c r="G33">
        <v>1394</v>
      </c>
      <c r="H33">
        <v>2336</v>
      </c>
      <c r="I33">
        <f t="shared" si="1"/>
        <v>5416</v>
      </c>
    </row>
    <row r="34" spans="1:15">
      <c r="G34">
        <f>(G24)/G17</f>
        <v>0.83738067325406129</v>
      </c>
    </row>
    <row r="36" spans="1:15">
      <c r="A36" s="3190"/>
      <c r="B36" s="3280" t="s">
        <v>3023</v>
      </c>
      <c r="C36" s="3280" t="s">
        <v>3024</v>
      </c>
      <c r="D36" s="3280" t="s">
        <v>3025</v>
      </c>
      <c r="E36" s="3280" t="s">
        <v>3026</v>
      </c>
      <c r="F36" s="3280" t="s">
        <v>3027</v>
      </c>
      <c r="G36" s="3188" t="s">
        <v>3028</v>
      </c>
      <c r="H36" s="3280" t="s">
        <v>3030</v>
      </c>
      <c r="I36" s="3188" t="s">
        <v>3031</v>
      </c>
      <c r="J36" s="3280" t="s">
        <v>3033</v>
      </c>
      <c r="K36" s="3280" t="s">
        <v>3034</v>
      </c>
    </row>
    <row r="37" spans="1:15">
      <c r="B37" s="3280"/>
      <c r="C37" s="3280"/>
      <c r="D37" s="3280"/>
      <c r="E37" s="3280"/>
      <c r="F37" s="3280"/>
      <c r="G37" s="3188" t="s">
        <v>3029</v>
      </c>
      <c r="H37" s="3280"/>
      <c r="I37" s="3188" t="s">
        <v>3032</v>
      </c>
      <c r="J37" s="3280"/>
      <c r="K37" s="3280"/>
      <c r="L37" s="3190" t="s">
        <v>3060</v>
      </c>
    </row>
    <row r="38" spans="1:15">
      <c r="A38" s="3191" t="s">
        <v>3047</v>
      </c>
      <c r="B38" s="3188" t="s">
        <v>3058</v>
      </c>
      <c r="C38" s="3188" t="s">
        <v>3035</v>
      </c>
      <c r="D38" s="3188" t="s">
        <v>3036</v>
      </c>
      <c r="E38" s="3189" t="s">
        <v>3037</v>
      </c>
      <c r="F38" s="3189">
        <v>32753</v>
      </c>
      <c r="G38" s="3189">
        <v>32853</v>
      </c>
      <c r="H38" s="3188" t="s">
        <v>3038</v>
      </c>
      <c r="I38" s="3188" t="s">
        <v>3039</v>
      </c>
      <c r="J38" s="3188" t="s">
        <v>3040</v>
      </c>
      <c r="K38" s="3188" t="s">
        <v>3041</v>
      </c>
      <c r="L38">
        <v>2</v>
      </c>
      <c r="M38">
        <f>32853/111971*10000/2</f>
        <v>1467.031642121621</v>
      </c>
      <c r="O38">
        <f>M38*(F18+G18+F22+G22)/10000</f>
        <v>42136.376231345625</v>
      </c>
    </row>
    <row r="39" spans="1:15">
      <c r="A39" s="3191" t="s">
        <v>3048</v>
      </c>
      <c r="B39" s="3188" t="s">
        <v>3058</v>
      </c>
      <c r="C39" s="3188" t="s">
        <v>3035</v>
      </c>
      <c r="D39" s="3188" t="s">
        <v>3042</v>
      </c>
      <c r="E39" s="3189" t="s">
        <v>3043</v>
      </c>
      <c r="F39" s="3189">
        <v>47061</v>
      </c>
      <c r="G39" s="3189">
        <v>47161</v>
      </c>
      <c r="H39" s="3188" t="s">
        <v>3046</v>
      </c>
      <c r="I39" s="3188" t="s">
        <v>3044</v>
      </c>
      <c r="J39" s="3188" t="s">
        <v>3040</v>
      </c>
      <c r="K39" s="3188" t="s">
        <v>3045</v>
      </c>
      <c r="L39">
        <v>2</v>
      </c>
      <c r="M39">
        <f>47161/107811*10000/2</f>
        <v>2187.2072423036611</v>
      </c>
      <c r="O39">
        <f>M39*(H18+H22)/10000</f>
        <v>52258.942640361376</v>
      </c>
    </row>
    <row r="40" spans="1:15">
      <c r="A40" s="3191" t="s">
        <v>3049</v>
      </c>
    </row>
    <row r="42" spans="1:15">
      <c r="B42" s="3190" t="s">
        <v>3059</v>
      </c>
      <c r="C42" s="3190" t="s">
        <v>3095</v>
      </c>
      <c r="D42" s="3190" t="s">
        <v>3096</v>
      </c>
      <c r="E42" s="3190">
        <v>55719</v>
      </c>
      <c r="F42" s="3190">
        <v>33432</v>
      </c>
      <c r="G42" s="3190">
        <v>44500</v>
      </c>
      <c r="H42" s="3190" t="s">
        <v>3056</v>
      </c>
      <c r="I42" s="3190" t="s">
        <v>3098</v>
      </c>
      <c r="J42" s="3190" t="s">
        <v>3057</v>
      </c>
      <c r="K42" s="3190" t="s">
        <v>3092</v>
      </c>
      <c r="L42" s="3190">
        <v>2</v>
      </c>
      <c r="M42" s="3190">
        <f>G42/E42*10000/L42</f>
        <v>3993.2518530483317</v>
      </c>
    </row>
    <row r="43" spans="1:15">
      <c r="B43" s="3190" t="s">
        <v>3100</v>
      </c>
      <c r="C43" s="3190" t="s">
        <v>3093</v>
      </c>
      <c r="D43" s="3190" t="s">
        <v>3094</v>
      </c>
      <c r="E43" s="3190">
        <v>63832</v>
      </c>
      <c r="F43" s="3190">
        <v>38300</v>
      </c>
      <c r="G43" s="3190">
        <v>48100</v>
      </c>
      <c r="H43" s="3190" t="s">
        <v>3056</v>
      </c>
      <c r="I43" s="3190" t="s">
        <v>3098</v>
      </c>
      <c r="J43" s="3190" t="s">
        <v>3057</v>
      </c>
      <c r="K43" s="3190" t="s">
        <v>3097</v>
      </c>
      <c r="L43" s="3190">
        <v>1.4</v>
      </c>
      <c r="M43" s="3190">
        <f>G43/E43*10000/L43</f>
        <v>5382.4324566272189</v>
      </c>
    </row>
    <row r="44" spans="1:15">
      <c r="B44" s="3190" t="s">
        <v>3099</v>
      </c>
      <c r="C44" s="3190"/>
      <c r="D44" s="3190"/>
      <c r="E44" s="3190">
        <v>99852</v>
      </c>
      <c r="F44" s="3190"/>
      <c r="G44" s="3190">
        <v>84700</v>
      </c>
      <c r="H44" s="3190"/>
      <c r="I44" s="3190"/>
      <c r="J44" s="3190"/>
      <c r="K44" s="3190"/>
      <c r="L44" s="3190">
        <v>1.8</v>
      </c>
      <c r="M44" s="3190">
        <f>G44/E44*10000/L44</f>
        <v>4712.5301001037087</v>
      </c>
    </row>
  </sheetData>
  <mergeCells count="27">
    <mergeCell ref="J36:J37"/>
    <mergeCell ref="K36:K37"/>
    <mergeCell ref="B36:B37"/>
    <mergeCell ref="C36:C37"/>
    <mergeCell ref="D36:D37"/>
    <mergeCell ref="E36:E37"/>
    <mergeCell ref="F36:F37"/>
    <mergeCell ref="H36:H37"/>
    <mergeCell ref="B11:E11"/>
    <mergeCell ref="B12:E12"/>
    <mergeCell ref="B13:E13"/>
    <mergeCell ref="B14:E14"/>
    <mergeCell ref="B16:E16"/>
    <mergeCell ref="B17:B33"/>
    <mergeCell ref="C17:E17"/>
    <mergeCell ref="C18:C26"/>
    <mergeCell ref="D18:E18"/>
    <mergeCell ref="D19:D21"/>
    <mergeCell ref="D22:E22"/>
    <mergeCell ref="D25:E25"/>
    <mergeCell ref="D26:E26"/>
    <mergeCell ref="C27:E27"/>
    <mergeCell ref="C28:C33"/>
    <mergeCell ref="D28:E28"/>
    <mergeCell ref="D29:D30"/>
    <mergeCell ref="D31:E31"/>
    <mergeCell ref="D32:E32"/>
  </mergeCells>
  <phoneticPr fontId="227" type="noConversion"/>
  <hyperlinks>
    <hyperlink ref="A38" r:id="rId1" xr:uid="{C60D6C2F-C613-0441-9EB9-950E565AB222}"/>
    <hyperlink ref="A39" r:id="rId2" xr:uid="{842220A4-26AE-1745-BA85-F706B60E7A9A}"/>
    <hyperlink ref="A40" r:id="rId3" xr:uid="{B7DA9A6E-EC0F-2F4F-B2A6-065847CEB7BA}"/>
  </hyperlink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B797-B0E1-184D-8F45-FD55C94C777D}">
  <sheetPr filterMode="1">
    <tabColor rgb="FFFFFF00"/>
  </sheetPr>
  <dimension ref="A1:Q98"/>
  <sheetViews>
    <sheetView topLeftCell="A103" workbookViewId="0">
      <selection activeCell="B97" sqref="B97"/>
    </sheetView>
  </sheetViews>
  <sheetFormatPr baseColWidth="10" defaultRowHeight="14"/>
  <cols>
    <col min="1" max="1" width="33.83203125" customWidth="1"/>
    <col min="9" max="9" width="30.5" customWidth="1"/>
    <col min="12" max="12" width="20.5" customWidth="1"/>
  </cols>
  <sheetData>
    <row r="1" spans="1:17">
      <c r="A1" s="2894" t="s">
        <v>3104</v>
      </c>
      <c r="B1" s="2894" t="s">
        <v>3105</v>
      </c>
      <c r="C1" s="2894" t="s">
        <v>3106</v>
      </c>
      <c r="D1" s="2894" t="s">
        <v>3107</v>
      </c>
      <c r="E1" s="2894" t="s">
        <v>3033</v>
      </c>
      <c r="F1" s="2894" t="s">
        <v>3108</v>
      </c>
      <c r="G1" s="2894" t="s">
        <v>3109</v>
      </c>
      <c r="H1" s="2894" t="s">
        <v>3110</v>
      </c>
      <c r="I1" s="2894" t="s">
        <v>2030</v>
      </c>
      <c r="J1" s="2894" t="s">
        <v>3111</v>
      </c>
      <c r="K1" s="2894" t="s">
        <v>3112</v>
      </c>
      <c r="L1" s="2894" t="s">
        <v>3113</v>
      </c>
      <c r="M1" s="2894" t="s">
        <v>3114</v>
      </c>
      <c r="N1" s="2894" t="s">
        <v>3115</v>
      </c>
      <c r="O1" s="2894" t="s">
        <v>3116</v>
      </c>
      <c r="P1" s="2894" t="s">
        <v>3117</v>
      </c>
      <c r="Q1" s="2894" t="s">
        <v>3118</v>
      </c>
    </row>
    <row r="2" spans="1:17" s="3198" customFormat="1" hidden="1">
      <c r="A2" s="3197" t="s">
        <v>3188</v>
      </c>
      <c r="B2" s="3197" t="s">
        <v>3120</v>
      </c>
      <c r="C2" s="3197" t="s">
        <v>3121</v>
      </c>
      <c r="D2" s="3197" t="s">
        <v>3189</v>
      </c>
      <c r="E2" s="3197" t="s">
        <v>3040</v>
      </c>
      <c r="F2" s="3197" t="s">
        <v>3190</v>
      </c>
      <c r="G2" s="3197">
        <v>76967</v>
      </c>
      <c r="H2" s="3197">
        <v>153934</v>
      </c>
      <c r="I2" s="3197" t="s">
        <v>3191</v>
      </c>
      <c r="J2" s="3197" t="s">
        <v>3192</v>
      </c>
      <c r="K2" s="3197" t="s">
        <v>3192</v>
      </c>
      <c r="L2" s="3197" t="s">
        <v>3193</v>
      </c>
      <c r="M2" s="3197">
        <v>35230</v>
      </c>
      <c r="N2" s="3197">
        <v>305.14999999999998</v>
      </c>
      <c r="O2" s="3197">
        <v>2288.63</v>
      </c>
      <c r="P2" s="3197">
        <v>8.9700000000000006</v>
      </c>
      <c r="Q2" s="3197" t="s">
        <v>3126</v>
      </c>
    </row>
    <row r="3" spans="1:17" hidden="1">
      <c r="A3" s="2894" t="s">
        <v>3194</v>
      </c>
      <c r="B3" s="2894" t="s">
        <v>3120</v>
      </c>
      <c r="C3" s="2894" t="s">
        <v>3121</v>
      </c>
      <c r="D3" s="2894" t="s">
        <v>3189</v>
      </c>
      <c r="E3" s="2894" t="s">
        <v>3052</v>
      </c>
      <c r="F3" s="2894" t="s">
        <v>3195</v>
      </c>
      <c r="G3" s="2894">
        <v>95028</v>
      </c>
      <c r="H3" s="2894">
        <v>152044.79999999999</v>
      </c>
      <c r="I3" s="2894" t="s">
        <v>3196</v>
      </c>
      <c r="J3" s="2894" t="s">
        <v>3197</v>
      </c>
      <c r="K3" s="2894" t="s">
        <v>3197</v>
      </c>
      <c r="L3" s="2894" t="s">
        <v>3198</v>
      </c>
      <c r="M3" s="2894">
        <v>42800</v>
      </c>
      <c r="N3" s="2894">
        <v>300.26</v>
      </c>
      <c r="O3" s="2894">
        <v>2814.96</v>
      </c>
      <c r="P3" s="2894">
        <v>25.11</v>
      </c>
      <c r="Q3" s="2894" t="s">
        <v>3199</v>
      </c>
    </row>
    <row r="4" spans="1:17" hidden="1">
      <c r="A4" s="2894" t="s">
        <v>3200</v>
      </c>
      <c r="B4" s="2894" t="s">
        <v>3120</v>
      </c>
      <c r="C4" s="2894" t="s">
        <v>3157</v>
      </c>
      <c r="D4" s="2894" t="s">
        <v>3189</v>
      </c>
      <c r="E4" s="2894" t="s">
        <v>3040</v>
      </c>
      <c r="F4" s="2894" t="s">
        <v>3201</v>
      </c>
      <c r="G4" s="2894">
        <v>199538</v>
      </c>
      <c r="H4" s="2894">
        <v>359168.4</v>
      </c>
      <c r="I4" s="2894" t="s">
        <v>3202</v>
      </c>
      <c r="J4" s="2894" t="s">
        <v>3203</v>
      </c>
      <c r="K4" s="2894" t="s">
        <v>3203</v>
      </c>
      <c r="L4" s="2894" t="s">
        <v>3204</v>
      </c>
      <c r="M4" s="2894">
        <v>31628</v>
      </c>
      <c r="N4" s="2894">
        <v>105.67</v>
      </c>
      <c r="O4" s="2894">
        <v>880.59</v>
      </c>
      <c r="P4" s="2894">
        <v>0.64</v>
      </c>
      <c r="Q4" s="2894" t="s">
        <v>3126</v>
      </c>
    </row>
    <row r="5" spans="1:17" hidden="1">
      <c r="A5" s="2894" t="s">
        <v>3205</v>
      </c>
      <c r="B5" s="2894" t="s">
        <v>3120</v>
      </c>
      <c r="C5" s="2894" t="s">
        <v>3157</v>
      </c>
      <c r="D5" s="2894" t="s">
        <v>3189</v>
      </c>
      <c r="E5" s="2894" t="s">
        <v>3040</v>
      </c>
      <c r="F5" s="2894" t="s">
        <v>3206</v>
      </c>
      <c r="G5" s="2894">
        <v>69853</v>
      </c>
      <c r="H5" s="2894">
        <v>139706</v>
      </c>
      <c r="I5" s="2894" t="s">
        <v>3207</v>
      </c>
      <c r="J5" s="2894" t="s">
        <v>3203</v>
      </c>
      <c r="K5" s="2894" t="s">
        <v>3208</v>
      </c>
      <c r="L5" s="2894" t="s">
        <v>3209</v>
      </c>
      <c r="M5" s="2894">
        <v>37000</v>
      </c>
      <c r="N5" s="2894">
        <v>353.12</v>
      </c>
      <c r="O5" s="2894">
        <v>2648.42</v>
      </c>
      <c r="P5" s="2894">
        <v>47.12</v>
      </c>
      <c r="Q5" s="2894" t="s">
        <v>3199</v>
      </c>
    </row>
    <row r="6" spans="1:17" s="3187" customFormat="1">
      <c r="A6" s="3196" t="s">
        <v>3119</v>
      </c>
      <c r="B6" s="3196" t="s">
        <v>3120</v>
      </c>
      <c r="C6" s="3196" t="s">
        <v>3121</v>
      </c>
      <c r="D6" s="3196" t="s">
        <v>3122</v>
      </c>
      <c r="E6" s="3196" t="s">
        <v>3040</v>
      </c>
      <c r="F6" s="3199" t="s">
        <v>3373</v>
      </c>
      <c r="G6" s="3196">
        <v>51189</v>
      </c>
      <c r="H6" s="3196">
        <v>102378</v>
      </c>
      <c r="I6" s="3196" t="s">
        <v>3123</v>
      </c>
      <c r="J6" s="3196" t="s">
        <v>3124</v>
      </c>
      <c r="K6" s="3196" t="s">
        <v>3124</v>
      </c>
      <c r="L6" s="3196" t="s">
        <v>3125</v>
      </c>
      <c r="M6" s="3196">
        <v>41760</v>
      </c>
      <c r="N6" s="3196">
        <v>543.87</v>
      </c>
      <c r="O6" s="3196">
        <v>4079</v>
      </c>
      <c r="P6" s="3196">
        <v>20.83</v>
      </c>
      <c r="Q6" s="3196" t="s">
        <v>3126</v>
      </c>
    </row>
    <row r="7" spans="1:17" hidden="1">
      <c r="A7" s="2894" t="s">
        <v>3210</v>
      </c>
      <c r="B7" s="2894" t="s">
        <v>3120</v>
      </c>
      <c r="C7" s="2894" t="s">
        <v>3121</v>
      </c>
      <c r="D7" s="2894" t="s">
        <v>3189</v>
      </c>
      <c r="E7" s="2894" t="s">
        <v>3052</v>
      </c>
      <c r="F7" s="2894" t="s">
        <v>3211</v>
      </c>
      <c r="G7" s="2894">
        <v>56776</v>
      </c>
      <c r="H7" s="2894">
        <v>113552</v>
      </c>
      <c r="I7" s="2894" t="s">
        <v>3123</v>
      </c>
      <c r="J7" s="2894" t="s">
        <v>3212</v>
      </c>
      <c r="K7" s="2894" t="s">
        <v>3212</v>
      </c>
      <c r="L7" s="2894" t="s">
        <v>3213</v>
      </c>
      <c r="M7" s="2894">
        <v>47000</v>
      </c>
      <c r="N7" s="2894">
        <v>551.88</v>
      </c>
      <c r="O7" s="2894">
        <v>4139.0600000000004</v>
      </c>
      <c r="P7" s="2894">
        <v>57.67</v>
      </c>
      <c r="Q7" s="2894" t="s">
        <v>3126</v>
      </c>
    </row>
    <row r="8" spans="1:17" hidden="1">
      <c r="A8" s="2894" t="s">
        <v>3214</v>
      </c>
      <c r="B8" s="2894" t="s">
        <v>3120</v>
      </c>
      <c r="C8" s="2894" t="s">
        <v>3121</v>
      </c>
      <c r="D8" s="2894" t="s">
        <v>3189</v>
      </c>
      <c r="E8" s="2894" t="s">
        <v>3052</v>
      </c>
      <c r="F8" s="2894" t="s">
        <v>3215</v>
      </c>
      <c r="G8" s="2894">
        <v>66956</v>
      </c>
      <c r="H8" s="2894">
        <v>133912</v>
      </c>
      <c r="I8" s="2894" t="s">
        <v>3123</v>
      </c>
      <c r="J8" s="2894" t="s">
        <v>3212</v>
      </c>
      <c r="K8" s="2894" t="s">
        <v>3212</v>
      </c>
      <c r="L8" s="2894" t="s">
        <v>3213</v>
      </c>
      <c r="M8" s="2894">
        <v>52500</v>
      </c>
      <c r="N8" s="2894">
        <v>522.73</v>
      </c>
      <c r="O8" s="2894">
        <v>3920.48</v>
      </c>
      <c r="P8" s="2894">
        <v>49.32</v>
      </c>
      <c r="Q8" s="2894" t="s">
        <v>3126</v>
      </c>
    </row>
    <row r="9" spans="1:17">
      <c r="A9" s="2894" t="s">
        <v>3127</v>
      </c>
      <c r="B9" s="2894" t="s">
        <v>3120</v>
      </c>
      <c r="C9" s="2894" t="s">
        <v>3121</v>
      </c>
      <c r="D9" s="2894" t="s">
        <v>3122</v>
      </c>
      <c r="E9" s="2894" t="s">
        <v>3040</v>
      </c>
      <c r="F9" s="2894" t="s">
        <v>3128</v>
      </c>
      <c r="G9" s="2894">
        <v>136461</v>
      </c>
      <c r="H9" s="2894">
        <v>272922</v>
      </c>
      <c r="I9" s="2894" t="s">
        <v>3123</v>
      </c>
      <c r="J9" s="2894" t="s">
        <v>3129</v>
      </c>
      <c r="K9" s="2894" t="s">
        <v>3129</v>
      </c>
      <c r="L9" s="2894" t="s">
        <v>3130</v>
      </c>
      <c r="M9" s="2894">
        <v>45332</v>
      </c>
      <c r="N9" s="2894">
        <v>221.46</v>
      </c>
      <c r="O9" s="2894">
        <v>1660.99</v>
      </c>
      <c r="P9" s="2894">
        <v>0.67</v>
      </c>
      <c r="Q9" s="2894" t="s">
        <v>3131</v>
      </c>
    </row>
    <row r="10" spans="1:17">
      <c r="A10" s="2894" t="s">
        <v>3222</v>
      </c>
      <c r="B10" s="2894" t="s">
        <v>3120</v>
      </c>
      <c r="C10" s="2894" t="s">
        <v>3121</v>
      </c>
      <c r="D10" s="2894" t="s">
        <v>3122</v>
      </c>
      <c r="E10" s="2894" t="s">
        <v>3040</v>
      </c>
      <c r="F10" s="2894" t="s">
        <v>3223</v>
      </c>
      <c r="G10" s="2894">
        <v>112027</v>
      </c>
      <c r="H10" s="2894">
        <v>224054</v>
      </c>
      <c r="I10" s="2894" t="s">
        <v>3191</v>
      </c>
      <c r="J10" s="2894" t="s">
        <v>3218</v>
      </c>
      <c r="K10" s="2894" t="s">
        <v>3218</v>
      </c>
      <c r="L10" s="2894" t="s">
        <v>3224</v>
      </c>
      <c r="M10" s="2894">
        <v>24734</v>
      </c>
      <c r="N10" s="2894">
        <v>147.19</v>
      </c>
      <c r="O10" s="2894">
        <v>1103.93</v>
      </c>
      <c r="P10" s="2894">
        <v>0.82</v>
      </c>
      <c r="Q10" s="2894" t="s">
        <v>3131</v>
      </c>
    </row>
    <row r="11" spans="1:17">
      <c r="A11" s="2894" t="s">
        <v>3219</v>
      </c>
      <c r="B11" s="2894" t="s">
        <v>3120</v>
      </c>
      <c r="C11" s="2894" t="s">
        <v>3121</v>
      </c>
      <c r="D11" s="2894" t="s">
        <v>3122</v>
      </c>
      <c r="E11" s="2894" t="s">
        <v>3040</v>
      </c>
      <c r="F11" s="2894" t="s">
        <v>3220</v>
      </c>
      <c r="G11" s="2894">
        <v>77564</v>
      </c>
      <c r="H11" s="2894">
        <v>155128</v>
      </c>
      <c r="I11" s="2894" t="s">
        <v>3123</v>
      </c>
      <c r="J11" s="2894" t="s">
        <v>3218</v>
      </c>
      <c r="K11" s="2894" t="s">
        <v>3218</v>
      </c>
      <c r="L11" s="2894" t="s">
        <v>3221</v>
      </c>
      <c r="M11" s="2894">
        <v>14062</v>
      </c>
      <c r="N11" s="2894">
        <v>120.86</v>
      </c>
      <c r="O11" s="2894">
        <v>906.48</v>
      </c>
      <c r="P11" s="2894">
        <v>0.72</v>
      </c>
      <c r="Q11" s="2894" t="s">
        <v>3131</v>
      </c>
    </row>
    <row r="12" spans="1:17">
      <c r="A12" s="2894" t="s">
        <v>3216</v>
      </c>
      <c r="B12" s="2894" t="s">
        <v>3120</v>
      </c>
      <c r="C12" s="2894" t="s">
        <v>3121</v>
      </c>
      <c r="D12" s="2894" t="s">
        <v>3122</v>
      </c>
      <c r="E12" s="2894" t="s">
        <v>3040</v>
      </c>
      <c r="F12" s="2894" t="s">
        <v>3217</v>
      </c>
      <c r="G12" s="2894">
        <v>98375</v>
      </c>
      <c r="H12" s="2894">
        <v>196750</v>
      </c>
      <c r="I12" s="2894" t="s">
        <v>3123</v>
      </c>
      <c r="J12" s="2894" t="s">
        <v>3218</v>
      </c>
      <c r="K12" s="2894" t="s">
        <v>3218</v>
      </c>
      <c r="L12" s="2894" t="s">
        <v>3209</v>
      </c>
      <c r="M12" s="2894">
        <v>17800</v>
      </c>
      <c r="N12" s="2894">
        <v>120.63</v>
      </c>
      <c r="O12" s="2894">
        <v>904.7</v>
      </c>
      <c r="P12" s="2894">
        <v>0.52</v>
      </c>
      <c r="Q12" s="2894" t="s">
        <v>3131</v>
      </c>
    </row>
    <row r="13" spans="1:17">
      <c r="A13" s="2894" t="s">
        <v>3225</v>
      </c>
      <c r="B13" s="2894" t="s">
        <v>3120</v>
      </c>
      <c r="C13" s="2894" t="s">
        <v>3121</v>
      </c>
      <c r="D13" s="2894" t="s">
        <v>3122</v>
      </c>
      <c r="E13" s="2894" t="s">
        <v>3040</v>
      </c>
      <c r="F13" s="2894" t="s">
        <v>3226</v>
      </c>
      <c r="G13" s="2894">
        <v>44143</v>
      </c>
      <c r="H13" s="2894">
        <v>61800.2</v>
      </c>
      <c r="I13" s="2894" t="s">
        <v>3227</v>
      </c>
      <c r="J13" s="2894" t="s">
        <v>3228</v>
      </c>
      <c r="K13" s="2894" t="s">
        <v>3228</v>
      </c>
      <c r="L13" s="2894" t="s">
        <v>3229</v>
      </c>
      <c r="M13" s="2894">
        <v>14670</v>
      </c>
      <c r="N13" s="2894">
        <v>221.55</v>
      </c>
      <c r="O13" s="2894">
        <v>2373.7800000000002</v>
      </c>
      <c r="P13" s="2894">
        <v>0.69</v>
      </c>
      <c r="Q13" s="2894" t="s">
        <v>3131</v>
      </c>
    </row>
    <row r="14" spans="1:17">
      <c r="A14" s="2894" t="s">
        <v>3230</v>
      </c>
      <c r="B14" s="2894" t="s">
        <v>3120</v>
      </c>
      <c r="C14" s="2894" t="s">
        <v>3121</v>
      </c>
      <c r="D14" s="2894" t="s">
        <v>3122</v>
      </c>
      <c r="E14" s="2894" t="s">
        <v>3040</v>
      </c>
      <c r="F14" s="2894" t="s">
        <v>3231</v>
      </c>
      <c r="G14" s="2894">
        <v>72090</v>
      </c>
      <c r="H14" s="2894">
        <v>144180</v>
      </c>
      <c r="I14" s="2894" t="s">
        <v>3191</v>
      </c>
      <c r="J14" s="2894" t="s">
        <v>3228</v>
      </c>
      <c r="K14" s="2894" t="s">
        <v>3228</v>
      </c>
      <c r="L14" s="2894" t="s">
        <v>3229</v>
      </c>
      <c r="M14" s="2894">
        <v>23890</v>
      </c>
      <c r="N14" s="2894">
        <v>220.93</v>
      </c>
      <c r="O14" s="2894">
        <v>1656.96</v>
      </c>
      <c r="P14" s="2894">
        <v>0.42</v>
      </c>
      <c r="Q14" s="2894" t="s">
        <v>3131</v>
      </c>
    </row>
    <row r="15" spans="1:17" s="3201" customFormat="1">
      <c r="A15" s="3200" t="s">
        <v>3054</v>
      </c>
      <c r="B15" s="3200" t="s">
        <v>3120</v>
      </c>
      <c r="C15" s="3200" t="s">
        <v>3157</v>
      </c>
      <c r="D15" s="3200" t="s">
        <v>3122</v>
      </c>
      <c r="E15" s="3200" t="s">
        <v>3052</v>
      </c>
      <c r="F15" s="3200" t="s">
        <v>3055</v>
      </c>
      <c r="G15" s="3200">
        <v>63832</v>
      </c>
      <c r="H15" s="3200">
        <v>89364.800000000003</v>
      </c>
      <c r="I15" s="3200" t="s">
        <v>3232</v>
      </c>
      <c r="J15" s="3200" t="s">
        <v>3233</v>
      </c>
      <c r="K15" s="3200" t="s">
        <v>3233</v>
      </c>
      <c r="L15" s="3200" t="s">
        <v>3209</v>
      </c>
      <c r="M15" s="3200">
        <v>48100</v>
      </c>
      <c r="N15" s="3200">
        <v>502.36</v>
      </c>
      <c r="O15" s="3200">
        <v>5382.43</v>
      </c>
      <c r="P15" s="3200">
        <v>25.59</v>
      </c>
      <c r="Q15" s="3200" t="s">
        <v>3199</v>
      </c>
    </row>
    <row r="16" spans="1:17" s="3187" customFormat="1">
      <c r="A16" s="3196" t="s">
        <v>3051</v>
      </c>
      <c r="B16" s="3196" t="s">
        <v>3120</v>
      </c>
      <c r="C16" s="3196" t="s">
        <v>3157</v>
      </c>
      <c r="D16" s="3196" t="s">
        <v>3122</v>
      </c>
      <c r="E16" s="3196" t="s">
        <v>3052</v>
      </c>
      <c r="F16" s="3196" t="s">
        <v>3053</v>
      </c>
      <c r="G16" s="3196">
        <v>55719</v>
      </c>
      <c r="H16" s="3196">
        <v>111438</v>
      </c>
      <c r="I16" s="3196" t="s">
        <v>3234</v>
      </c>
      <c r="J16" s="3196" t="s">
        <v>3233</v>
      </c>
      <c r="K16" s="3196" t="s">
        <v>3233</v>
      </c>
      <c r="L16" s="3196" t="s">
        <v>3050</v>
      </c>
      <c r="M16" s="3196">
        <v>44500</v>
      </c>
      <c r="N16" s="3196">
        <v>532.42999999999995</v>
      </c>
      <c r="O16" s="3196">
        <v>3993.25</v>
      </c>
      <c r="P16" s="3196">
        <v>33.11</v>
      </c>
      <c r="Q16" s="3196" t="s">
        <v>3126</v>
      </c>
    </row>
    <row r="17" spans="1:17" hidden="1">
      <c r="A17" s="2894" t="s">
        <v>3235</v>
      </c>
      <c r="B17" s="2894" t="s">
        <v>3120</v>
      </c>
      <c r="C17" s="2894" t="s">
        <v>3121</v>
      </c>
      <c r="D17" s="2894" t="s">
        <v>3189</v>
      </c>
      <c r="E17" s="2894" t="s">
        <v>3040</v>
      </c>
      <c r="F17" s="2894" t="s">
        <v>3236</v>
      </c>
      <c r="G17" s="2894">
        <v>100528</v>
      </c>
      <c r="H17" s="2894">
        <v>180950.39999999999</v>
      </c>
      <c r="I17" s="2894" t="s">
        <v>3237</v>
      </c>
      <c r="J17" s="2894" t="s">
        <v>3238</v>
      </c>
      <c r="K17" s="2894" t="s">
        <v>3238</v>
      </c>
      <c r="L17" s="2894" t="s">
        <v>3239</v>
      </c>
      <c r="M17" s="2894">
        <v>33275</v>
      </c>
      <c r="N17" s="2894">
        <v>220.67</v>
      </c>
      <c r="O17" s="2894">
        <v>1838.9</v>
      </c>
      <c r="P17" s="2894">
        <v>0.3</v>
      </c>
      <c r="Q17" s="2894" t="s">
        <v>3126</v>
      </c>
    </row>
    <row r="18" spans="1:17" hidden="1">
      <c r="A18" s="2894" t="s">
        <v>3240</v>
      </c>
      <c r="B18" s="2894" t="s">
        <v>3120</v>
      </c>
      <c r="C18" s="2894" t="s">
        <v>3121</v>
      </c>
      <c r="D18" s="2894" t="s">
        <v>3189</v>
      </c>
      <c r="E18" s="2894" t="s">
        <v>3040</v>
      </c>
      <c r="F18" s="2894" t="s">
        <v>3241</v>
      </c>
      <c r="G18" s="2894">
        <v>37384</v>
      </c>
      <c r="H18" s="2894">
        <v>74768</v>
      </c>
      <c r="I18" s="2894" t="s">
        <v>3134</v>
      </c>
      <c r="J18" s="2894" t="s">
        <v>3238</v>
      </c>
      <c r="K18" s="2894" t="s">
        <v>3242</v>
      </c>
      <c r="L18" s="2894" t="s">
        <v>3243</v>
      </c>
      <c r="M18" s="2894">
        <v>27300</v>
      </c>
      <c r="N18" s="2894">
        <v>486.84</v>
      </c>
      <c r="O18" s="2894">
        <v>3651.28</v>
      </c>
      <c r="P18" s="2894">
        <v>87.23</v>
      </c>
      <c r="Q18" s="2894" t="s">
        <v>3199</v>
      </c>
    </row>
    <row r="19" spans="1:17" hidden="1">
      <c r="A19" s="2894" t="s">
        <v>3244</v>
      </c>
      <c r="B19" s="2894" t="s">
        <v>3120</v>
      </c>
      <c r="C19" s="2894" t="s">
        <v>3121</v>
      </c>
      <c r="D19" s="2894" t="s">
        <v>3189</v>
      </c>
      <c r="E19" s="2894" t="s">
        <v>3040</v>
      </c>
      <c r="F19" s="2894" t="s">
        <v>3245</v>
      </c>
      <c r="G19" s="2894">
        <v>51833</v>
      </c>
      <c r="H19" s="2894">
        <v>82932.800000000003</v>
      </c>
      <c r="I19" s="2894" t="s">
        <v>3170</v>
      </c>
      <c r="J19" s="2894" t="s">
        <v>3238</v>
      </c>
      <c r="K19" s="2894" t="s">
        <v>3242</v>
      </c>
      <c r="L19" s="2894" t="s">
        <v>3213</v>
      </c>
      <c r="M19" s="2894">
        <v>32800</v>
      </c>
      <c r="N19" s="2894">
        <v>421.87</v>
      </c>
      <c r="O19" s="2894">
        <v>3955.01</v>
      </c>
      <c r="P19" s="2894">
        <v>62.26</v>
      </c>
      <c r="Q19" s="2894" t="s">
        <v>3126</v>
      </c>
    </row>
    <row r="20" spans="1:17" hidden="1">
      <c r="A20" s="2894" t="s">
        <v>3246</v>
      </c>
      <c r="B20" s="2894" t="s">
        <v>3120</v>
      </c>
      <c r="C20" s="2894" t="s">
        <v>3121</v>
      </c>
      <c r="D20" s="2894" t="s">
        <v>3189</v>
      </c>
      <c r="E20" s="2894" t="s">
        <v>3040</v>
      </c>
      <c r="F20" s="2894" t="s">
        <v>3247</v>
      </c>
      <c r="G20" s="2894">
        <v>72290</v>
      </c>
      <c r="H20" s="2894">
        <v>144580</v>
      </c>
      <c r="I20" s="2894" t="s">
        <v>3134</v>
      </c>
      <c r="J20" s="2894" t="s">
        <v>3238</v>
      </c>
      <c r="K20" s="2894" t="s">
        <v>3242</v>
      </c>
      <c r="L20" s="2894" t="s">
        <v>3213</v>
      </c>
      <c r="M20" s="2894">
        <v>45800</v>
      </c>
      <c r="N20" s="2894">
        <v>422.37</v>
      </c>
      <c r="O20" s="2894">
        <v>3167.8</v>
      </c>
      <c r="P20" s="2894">
        <v>62.45</v>
      </c>
      <c r="Q20" s="2894" t="s">
        <v>3131</v>
      </c>
    </row>
    <row r="21" spans="1:17">
      <c r="A21" s="2894" t="s">
        <v>3132</v>
      </c>
      <c r="B21" s="2894" t="s">
        <v>3120</v>
      </c>
      <c r="C21" s="2894" t="s">
        <v>3121</v>
      </c>
      <c r="D21" s="2894" t="s">
        <v>3122</v>
      </c>
      <c r="E21" s="2894" t="s">
        <v>3040</v>
      </c>
      <c r="F21" s="2894" t="s">
        <v>3133</v>
      </c>
      <c r="G21" s="2894">
        <v>149570</v>
      </c>
      <c r="H21" s="2894">
        <v>299140</v>
      </c>
      <c r="I21" s="2894" t="s">
        <v>3134</v>
      </c>
      <c r="J21" s="2894" t="s">
        <v>3135</v>
      </c>
      <c r="K21" s="2894" t="s">
        <v>3135</v>
      </c>
      <c r="L21" s="2894" t="s">
        <v>3130</v>
      </c>
      <c r="M21" s="2894">
        <v>49660</v>
      </c>
      <c r="N21" s="2894">
        <v>221.35</v>
      </c>
      <c r="O21" s="2894">
        <v>1660.08</v>
      </c>
      <c r="P21" s="2894">
        <v>0.61</v>
      </c>
      <c r="Q21" s="2894" t="s">
        <v>3131</v>
      </c>
    </row>
    <row r="22" spans="1:17" hidden="1">
      <c r="A22" s="2894" t="s">
        <v>3248</v>
      </c>
      <c r="B22" s="2894" t="s">
        <v>3120</v>
      </c>
      <c r="C22" s="2894" t="s">
        <v>3121</v>
      </c>
      <c r="D22" s="2894" t="s">
        <v>3189</v>
      </c>
      <c r="E22" s="2894" t="s">
        <v>3040</v>
      </c>
      <c r="F22" s="2894" t="s">
        <v>3249</v>
      </c>
      <c r="G22" s="2894">
        <v>141390</v>
      </c>
      <c r="H22" s="2894">
        <v>282780</v>
      </c>
      <c r="I22" s="2894" t="s">
        <v>3250</v>
      </c>
      <c r="J22" s="2894" t="s">
        <v>3135</v>
      </c>
      <c r="K22" s="2894" t="s">
        <v>3135</v>
      </c>
      <c r="L22" s="2894" t="s">
        <v>3251</v>
      </c>
      <c r="M22" s="2894">
        <v>73744</v>
      </c>
      <c r="N22" s="2894">
        <v>347.71</v>
      </c>
      <c r="O22" s="2894">
        <v>2607.8200000000002</v>
      </c>
      <c r="P22" s="2894">
        <v>33.729999999999997</v>
      </c>
      <c r="Q22" s="2894" t="s">
        <v>3126</v>
      </c>
    </row>
    <row r="23" spans="1:17" hidden="1">
      <c r="A23" s="2894" t="s">
        <v>3252</v>
      </c>
      <c r="B23" s="2894" t="s">
        <v>3120</v>
      </c>
      <c r="C23" s="2894" t="s">
        <v>3121</v>
      </c>
      <c r="D23" s="2894" t="s">
        <v>3189</v>
      </c>
      <c r="E23" s="2894" t="s">
        <v>3040</v>
      </c>
      <c r="F23" s="2894">
        <v>3.41102012001007E+18</v>
      </c>
      <c r="G23" s="2894">
        <v>16680</v>
      </c>
      <c r="H23" s="2894">
        <v>25020</v>
      </c>
      <c r="I23" s="2894" t="s">
        <v>3253</v>
      </c>
      <c r="J23" s="2894" t="s">
        <v>3135</v>
      </c>
      <c r="K23" s="2894" t="s">
        <v>3135</v>
      </c>
      <c r="L23" s="2894" t="s">
        <v>3254</v>
      </c>
      <c r="M23" s="2894">
        <v>2522</v>
      </c>
      <c r="N23" s="2894">
        <v>100.8</v>
      </c>
      <c r="O23" s="2894">
        <v>1007.99</v>
      </c>
      <c r="P23" s="2894">
        <v>0.8</v>
      </c>
      <c r="Q23" s="2894" t="s">
        <v>3199</v>
      </c>
    </row>
    <row r="24" spans="1:17">
      <c r="A24" s="2894" t="s">
        <v>3136</v>
      </c>
      <c r="B24" s="2894" t="s">
        <v>3120</v>
      </c>
      <c r="C24" s="2894" t="s">
        <v>3121</v>
      </c>
      <c r="D24" s="2894" t="s">
        <v>3122</v>
      </c>
      <c r="E24" s="2894" t="s">
        <v>3040</v>
      </c>
      <c r="F24" s="2894" t="s">
        <v>3137</v>
      </c>
      <c r="G24" s="2894">
        <v>52108</v>
      </c>
      <c r="H24" s="2894">
        <v>104216</v>
      </c>
      <c r="I24" s="2894" t="s">
        <v>3138</v>
      </c>
      <c r="J24" s="2894" t="s">
        <v>3139</v>
      </c>
      <c r="K24" s="2894" t="s">
        <v>3139</v>
      </c>
      <c r="L24" s="2894" t="s">
        <v>3140</v>
      </c>
      <c r="M24" s="2894">
        <v>22085</v>
      </c>
      <c r="N24" s="2894">
        <v>282.55</v>
      </c>
      <c r="O24" s="2894">
        <v>2119.15</v>
      </c>
      <c r="P24" s="2894">
        <v>0.91</v>
      </c>
      <c r="Q24" s="2894" t="s">
        <v>3126</v>
      </c>
    </row>
    <row r="25" spans="1:17">
      <c r="A25" s="2894" t="s">
        <v>3257</v>
      </c>
      <c r="B25" s="2894" t="s">
        <v>3120</v>
      </c>
      <c r="C25" s="2894" t="s">
        <v>3121</v>
      </c>
      <c r="D25" s="2894" t="s">
        <v>3122</v>
      </c>
      <c r="E25" s="2894" t="s">
        <v>3040</v>
      </c>
      <c r="F25" s="2894" t="s">
        <v>3258</v>
      </c>
      <c r="G25" s="2894">
        <v>64433</v>
      </c>
      <c r="H25" s="2894">
        <v>141752.6</v>
      </c>
      <c r="I25" s="2894" t="s">
        <v>3143</v>
      </c>
      <c r="J25" s="2894" t="s">
        <v>3144</v>
      </c>
      <c r="K25" s="2894" t="s">
        <v>3144</v>
      </c>
      <c r="L25" s="2894" t="s">
        <v>3145</v>
      </c>
      <c r="M25" s="2894">
        <v>9765</v>
      </c>
      <c r="N25" s="2894">
        <v>101.04</v>
      </c>
      <c r="O25" s="2894">
        <v>688.87</v>
      </c>
      <c r="P25" s="2894">
        <v>1.03</v>
      </c>
      <c r="Q25" s="2894" t="s">
        <v>3131</v>
      </c>
    </row>
    <row r="26" spans="1:17">
      <c r="A26" s="2894" t="s">
        <v>3262</v>
      </c>
      <c r="B26" s="2894" t="s">
        <v>3120</v>
      </c>
      <c r="C26" s="2894" t="s">
        <v>3121</v>
      </c>
      <c r="D26" s="2894" t="s">
        <v>3122</v>
      </c>
      <c r="E26" s="2894" t="s">
        <v>3040</v>
      </c>
      <c r="F26" s="2894" t="s">
        <v>3263</v>
      </c>
      <c r="G26" s="2894">
        <v>9481</v>
      </c>
      <c r="H26" s="2894">
        <v>20858.2</v>
      </c>
      <c r="I26" s="2894" t="s">
        <v>3143</v>
      </c>
      <c r="J26" s="2894" t="s">
        <v>3144</v>
      </c>
      <c r="K26" s="2894" t="s">
        <v>3144</v>
      </c>
      <c r="L26" s="2894" t="s">
        <v>3145</v>
      </c>
      <c r="M26" s="2894">
        <v>1433</v>
      </c>
      <c r="N26" s="2894">
        <v>100.76</v>
      </c>
      <c r="O26" s="2894">
        <v>687.01</v>
      </c>
      <c r="P26" s="2894">
        <v>0.7</v>
      </c>
      <c r="Q26" s="2894" t="s">
        <v>3131</v>
      </c>
    </row>
    <row r="27" spans="1:17" hidden="1">
      <c r="A27" s="2894" t="s">
        <v>3036</v>
      </c>
      <c r="B27" s="2894" t="s">
        <v>3120</v>
      </c>
      <c r="C27" s="2894" t="s">
        <v>3121</v>
      </c>
      <c r="D27" s="2894" t="s">
        <v>3189</v>
      </c>
      <c r="E27" s="2894" t="s">
        <v>3040</v>
      </c>
      <c r="F27" s="2894" t="s">
        <v>3041</v>
      </c>
      <c r="G27" s="2894">
        <v>111971</v>
      </c>
      <c r="H27" s="2894">
        <v>223942</v>
      </c>
      <c r="I27" s="2894" t="s">
        <v>3259</v>
      </c>
      <c r="J27" s="2894" t="s">
        <v>3144</v>
      </c>
      <c r="K27" s="2894" t="s">
        <v>3144</v>
      </c>
      <c r="L27" s="2894" t="s">
        <v>3035</v>
      </c>
      <c r="M27" s="2894">
        <v>32853</v>
      </c>
      <c r="N27" s="2894">
        <v>195.6</v>
      </c>
      <c r="O27" s="2894">
        <v>1467.02</v>
      </c>
      <c r="P27" s="2894">
        <v>0.31</v>
      </c>
      <c r="Q27" s="2894" t="s">
        <v>3126</v>
      </c>
    </row>
    <row r="28" spans="1:17">
      <c r="A28" s="2894" t="s">
        <v>3260</v>
      </c>
      <c r="B28" s="2894" t="s">
        <v>3120</v>
      </c>
      <c r="C28" s="2894" t="s">
        <v>3121</v>
      </c>
      <c r="D28" s="2894" t="s">
        <v>3122</v>
      </c>
      <c r="E28" s="2894" t="s">
        <v>3040</v>
      </c>
      <c r="F28" s="2894" t="s">
        <v>3261</v>
      </c>
      <c r="G28" s="2894">
        <v>94269</v>
      </c>
      <c r="H28" s="2894">
        <v>207391.8</v>
      </c>
      <c r="I28" s="2894" t="s">
        <v>3143</v>
      </c>
      <c r="J28" s="2894" t="s">
        <v>3144</v>
      </c>
      <c r="K28" s="2894" t="s">
        <v>3144</v>
      </c>
      <c r="L28" s="2894" t="s">
        <v>3145</v>
      </c>
      <c r="M28" s="2894">
        <v>12827</v>
      </c>
      <c r="N28" s="2894">
        <v>90.71</v>
      </c>
      <c r="O28" s="2894">
        <v>618.49</v>
      </c>
      <c r="P28" s="2894">
        <v>0.79</v>
      </c>
      <c r="Q28" s="2894" t="s">
        <v>3131</v>
      </c>
    </row>
    <row r="29" spans="1:17">
      <c r="A29" s="2894" t="s">
        <v>3141</v>
      </c>
      <c r="B29" s="2894" t="s">
        <v>3120</v>
      </c>
      <c r="C29" s="2894" t="s">
        <v>3121</v>
      </c>
      <c r="D29" s="2894" t="s">
        <v>3122</v>
      </c>
      <c r="E29" s="2894" t="s">
        <v>3040</v>
      </c>
      <c r="F29" s="2894" t="s">
        <v>3142</v>
      </c>
      <c r="G29" s="2894">
        <v>106076</v>
      </c>
      <c r="H29" s="2894">
        <v>233367.2</v>
      </c>
      <c r="I29" s="2894" t="s">
        <v>3143</v>
      </c>
      <c r="J29" s="2894" t="s">
        <v>3144</v>
      </c>
      <c r="K29" s="2894" t="s">
        <v>3144</v>
      </c>
      <c r="L29" s="2894" t="s">
        <v>3145</v>
      </c>
      <c r="M29" s="2894">
        <v>14421</v>
      </c>
      <c r="N29" s="2894">
        <v>90.63</v>
      </c>
      <c r="O29" s="2894">
        <v>617.95000000000005</v>
      </c>
      <c r="P29" s="2894">
        <v>0.7</v>
      </c>
      <c r="Q29" s="2894" t="s">
        <v>3131</v>
      </c>
    </row>
    <row r="30" spans="1:17">
      <c r="A30" s="2894" t="s">
        <v>3255</v>
      </c>
      <c r="B30" s="2894" t="s">
        <v>3120</v>
      </c>
      <c r="C30" s="2894" t="s">
        <v>3121</v>
      </c>
      <c r="D30" s="2894" t="s">
        <v>3122</v>
      </c>
      <c r="E30" s="2894" t="s">
        <v>3040</v>
      </c>
      <c r="F30" s="2894" t="s">
        <v>3256</v>
      </c>
      <c r="G30" s="2894">
        <v>48977</v>
      </c>
      <c r="H30" s="2894">
        <v>107749.4</v>
      </c>
      <c r="I30" s="2894" t="s">
        <v>3143</v>
      </c>
      <c r="J30" s="2894" t="s">
        <v>3144</v>
      </c>
      <c r="K30" s="2894" t="s">
        <v>3144</v>
      </c>
      <c r="L30" s="2894" t="s">
        <v>3145</v>
      </c>
      <c r="M30" s="2894">
        <v>6295</v>
      </c>
      <c r="N30" s="2894">
        <v>85.69</v>
      </c>
      <c r="O30" s="2894">
        <v>584.23</v>
      </c>
      <c r="P30" s="2894">
        <v>0.8</v>
      </c>
      <c r="Q30" s="2894" t="s">
        <v>3131</v>
      </c>
    </row>
    <row r="31" spans="1:17">
      <c r="A31" s="2894" t="s">
        <v>3264</v>
      </c>
      <c r="B31" s="2894" t="s">
        <v>3120</v>
      </c>
      <c r="C31" s="2894" t="s">
        <v>3121</v>
      </c>
      <c r="D31" s="2894" t="s">
        <v>3122</v>
      </c>
      <c r="E31" s="2894" t="s">
        <v>3040</v>
      </c>
      <c r="F31" s="2894" t="s">
        <v>3265</v>
      </c>
      <c r="G31" s="2894">
        <v>112362</v>
      </c>
      <c r="H31" s="2894">
        <v>247196.4</v>
      </c>
      <c r="I31" s="2894" t="s">
        <v>3143</v>
      </c>
      <c r="J31" s="2894" t="s">
        <v>3144</v>
      </c>
      <c r="K31" s="2894" t="s">
        <v>3144</v>
      </c>
      <c r="L31" s="2894" t="s">
        <v>3145</v>
      </c>
      <c r="M31" s="2894">
        <v>13584</v>
      </c>
      <c r="N31" s="2894">
        <v>80.599999999999994</v>
      </c>
      <c r="O31" s="2894">
        <v>549.51</v>
      </c>
      <c r="P31" s="2894">
        <v>0.74</v>
      </c>
      <c r="Q31" s="2894" t="s">
        <v>3131</v>
      </c>
    </row>
    <row r="32" spans="1:17" hidden="1">
      <c r="A32" s="2894" t="s">
        <v>3042</v>
      </c>
      <c r="B32" s="2894" t="s">
        <v>3120</v>
      </c>
      <c r="C32" s="2894" t="s">
        <v>3121</v>
      </c>
      <c r="D32" s="2894" t="s">
        <v>3189</v>
      </c>
      <c r="E32" s="2894" t="s">
        <v>3040</v>
      </c>
      <c r="F32" s="2894" t="s">
        <v>3045</v>
      </c>
      <c r="G32" s="2894">
        <v>107811</v>
      </c>
      <c r="H32" s="2894">
        <v>215622</v>
      </c>
      <c r="I32" s="2894" t="s">
        <v>3259</v>
      </c>
      <c r="J32" s="2894" t="s">
        <v>3144</v>
      </c>
      <c r="K32" s="2894" t="s">
        <v>3144</v>
      </c>
      <c r="L32" s="2894" t="s">
        <v>3035</v>
      </c>
      <c r="M32" s="2894">
        <v>47161</v>
      </c>
      <c r="N32" s="2894">
        <v>291.63</v>
      </c>
      <c r="O32" s="2894">
        <v>2187.21</v>
      </c>
      <c r="P32" s="2894">
        <v>0.21</v>
      </c>
      <c r="Q32" s="2894" t="s">
        <v>3126</v>
      </c>
    </row>
    <row r="33" spans="1:17">
      <c r="A33" s="2894" t="s">
        <v>3266</v>
      </c>
      <c r="B33" s="2894" t="s">
        <v>3120</v>
      </c>
      <c r="C33" s="2894" t="s">
        <v>3121</v>
      </c>
      <c r="D33" s="2894" t="s">
        <v>3122</v>
      </c>
      <c r="E33" s="2894" t="s">
        <v>3040</v>
      </c>
      <c r="F33" s="2894" t="s">
        <v>3267</v>
      </c>
      <c r="G33" s="2894">
        <v>103892</v>
      </c>
      <c r="H33" s="2894">
        <v>207784</v>
      </c>
      <c r="I33" s="2894" t="s">
        <v>3259</v>
      </c>
      <c r="J33" s="2894" t="s">
        <v>3148</v>
      </c>
      <c r="K33" s="2894" t="s">
        <v>3148</v>
      </c>
      <c r="L33" s="2894" t="s">
        <v>3140</v>
      </c>
      <c r="M33" s="2894">
        <v>43836</v>
      </c>
      <c r="N33" s="2894">
        <v>281.29000000000002</v>
      </c>
      <c r="O33" s="2894">
        <v>2109.69</v>
      </c>
      <c r="P33" s="2894">
        <v>0.46</v>
      </c>
      <c r="Q33" s="2894" t="s">
        <v>3126</v>
      </c>
    </row>
    <row r="34" spans="1:17">
      <c r="A34" s="2894" t="s">
        <v>3268</v>
      </c>
      <c r="B34" s="2894" t="s">
        <v>3120</v>
      </c>
      <c r="C34" s="2894" t="s">
        <v>3121</v>
      </c>
      <c r="D34" s="2894" t="s">
        <v>3122</v>
      </c>
      <c r="E34" s="2894" t="s">
        <v>3040</v>
      </c>
      <c r="F34" s="2894" t="s">
        <v>3269</v>
      </c>
      <c r="G34" s="2894">
        <v>111070</v>
      </c>
      <c r="H34" s="2894">
        <v>222140</v>
      </c>
      <c r="I34" s="2894" t="s">
        <v>3259</v>
      </c>
      <c r="J34" s="2894" t="s">
        <v>3148</v>
      </c>
      <c r="K34" s="2894" t="s">
        <v>3148</v>
      </c>
      <c r="L34" s="2894" t="s">
        <v>3140</v>
      </c>
      <c r="M34" s="2894">
        <v>46851</v>
      </c>
      <c r="N34" s="2894">
        <v>281.20999999999998</v>
      </c>
      <c r="O34" s="2894">
        <v>2109.0700000000002</v>
      </c>
      <c r="P34" s="2894">
        <v>0.43</v>
      </c>
      <c r="Q34" s="2894" t="s">
        <v>3131</v>
      </c>
    </row>
    <row r="35" spans="1:17">
      <c r="A35" s="2894" t="s">
        <v>3146</v>
      </c>
      <c r="B35" s="2894" t="s">
        <v>3120</v>
      </c>
      <c r="C35" s="2894" t="s">
        <v>3121</v>
      </c>
      <c r="D35" s="2894" t="s">
        <v>3122</v>
      </c>
      <c r="E35" s="2894" t="s">
        <v>3040</v>
      </c>
      <c r="F35" s="2894" t="s">
        <v>3147</v>
      </c>
      <c r="G35" s="2894">
        <v>161952</v>
      </c>
      <c r="H35" s="2894">
        <v>323904</v>
      </c>
      <c r="I35" s="2894" t="s">
        <v>3138</v>
      </c>
      <c r="J35" s="2894" t="s">
        <v>3148</v>
      </c>
      <c r="K35" s="2894" t="s">
        <v>3148</v>
      </c>
      <c r="L35" s="2894" t="s">
        <v>3149</v>
      </c>
      <c r="M35" s="2894">
        <v>58800</v>
      </c>
      <c r="N35" s="2894">
        <v>242.05</v>
      </c>
      <c r="O35" s="2894">
        <v>1815.34</v>
      </c>
      <c r="P35" s="2894">
        <v>10.02</v>
      </c>
      <c r="Q35" s="2894" t="s">
        <v>3150</v>
      </c>
    </row>
    <row r="36" spans="1:17">
      <c r="A36" s="2894" t="s">
        <v>3270</v>
      </c>
      <c r="B36" s="2894" t="s">
        <v>3120</v>
      </c>
      <c r="C36" s="2894" t="s">
        <v>3121</v>
      </c>
      <c r="D36" s="2894" t="s">
        <v>3122</v>
      </c>
      <c r="E36" s="2894" t="s">
        <v>3040</v>
      </c>
      <c r="F36" s="2894" t="s">
        <v>3271</v>
      </c>
      <c r="G36" s="2894">
        <v>76967</v>
      </c>
      <c r="H36" s="2894">
        <v>153934</v>
      </c>
      <c r="I36" s="2894" t="s">
        <v>3138</v>
      </c>
      <c r="J36" s="2894" t="s">
        <v>3272</v>
      </c>
      <c r="K36" s="2894" t="s">
        <v>3272</v>
      </c>
      <c r="L36" s="2894" t="s">
        <v>3145</v>
      </c>
      <c r="M36" s="2894">
        <v>13955</v>
      </c>
      <c r="N36" s="2894">
        <v>120.87</v>
      </c>
      <c r="O36" s="2894">
        <v>906.55</v>
      </c>
      <c r="P36" s="2894">
        <v>0.72</v>
      </c>
      <c r="Q36" s="2894" t="s">
        <v>3126</v>
      </c>
    </row>
    <row r="37" spans="1:17" hidden="1">
      <c r="A37" s="2894" t="s">
        <v>3273</v>
      </c>
      <c r="B37" s="2894" t="s">
        <v>3120</v>
      </c>
      <c r="C37" s="2894" t="s">
        <v>3121</v>
      </c>
      <c r="D37" s="2894" t="s">
        <v>3189</v>
      </c>
      <c r="E37" s="2894" t="s">
        <v>3040</v>
      </c>
      <c r="F37" s="2894" t="s">
        <v>3274</v>
      </c>
      <c r="G37" s="2894">
        <v>63194</v>
      </c>
      <c r="H37" s="2894">
        <v>126388</v>
      </c>
      <c r="I37" s="2894" t="s">
        <v>3138</v>
      </c>
      <c r="J37" s="2894" t="s">
        <v>3272</v>
      </c>
      <c r="K37" s="2894" t="s">
        <v>3272</v>
      </c>
      <c r="L37" s="2894" t="s">
        <v>3145</v>
      </c>
      <c r="M37" s="2894">
        <v>11475</v>
      </c>
      <c r="N37" s="2894">
        <v>121.06</v>
      </c>
      <c r="O37" s="2894">
        <v>907.91</v>
      </c>
      <c r="P37" s="2894">
        <v>0.88</v>
      </c>
      <c r="Q37" s="2894" t="s">
        <v>3131</v>
      </c>
    </row>
    <row r="38" spans="1:17" hidden="1">
      <c r="A38" s="2894" t="s">
        <v>3275</v>
      </c>
      <c r="B38" s="2894" t="s">
        <v>3120</v>
      </c>
      <c r="C38" s="2894" t="s">
        <v>3121</v>
      </c>
      <c r="D38" s="2894" t="s">
        <v>3189</v>
      </c>
      <c r="E38" s="2894" t="s">
        <v>3040</v>
      </c>
      <c r="F38" s="2894" t="s">
        <v>3276</v>
      </c>
      <c r="G38" s="2894">
        <v>52960</v>
      </c>
      <c r="H38" s="2894">
        <v>74144</v>
      </c>
      <c r="I38" s="2894" t="s">
        <v>3277</v>
      </c>
      <c r="J38" s="2894" t="s">
        <v>3154</v>
      </c>
      <c r="K38" s="2894" t="s">
        <v>3154</v>
      </c>
      <c r="L38" s="2894" t="s">
        <v>3155</v>
      </c>
      <c r="M38" s="2894">
        <v>12116</v>
      </c>
      <c r="N38" s="2894">
        <v>152.52000000000001</v>
      </c>
      <c r="O38" s="2894">
        <v>1634.11</v>
      </c>
      <c r="P38" s="2894">
        <v>1.68</v>
      </c>
      <c r="Q38" s="2894" t="s">
        <v>3126</v>
      </c>
    </row>
    <row r="39" spans="1:17" hidden="1">
      <c r="A39" s="2894" t="s">
        <v>3278</v>
      </c>
      <c r="B39" s="2894" t="s">
        <v>3120</v>
      </c>
      <c r="C39" s="2894" t="s">
        <v>3121</v>
      </c>
      <c r="D39" s="2894" t="s">
        <v>3189</v>
      </c>
      <c r="E39" s="2894" t="s">
        <v>3040</v>
      </c>
      <c r="F39" s="2894" t="s">
        <v>3279</v>
      </c>
      <c r="G39" s="2894">
        <v>17136</v>
      </c>
      <c r="H39" s="2894">
        <v>23990.400000000001</v>
      </c>
      <c r="I39" s="2894" t="s">
        <v>3277</v>
      </c>
      <c r="J39" s="2894" t="s">
        <v>3154</v>
      </c>
      <c r="K39" s="2894" t="s">
        <v>3154</v>
      </c>
      <c r="L39" s="2894" t="s">
        <v>3155</v>
      </c>
      <c r="M39" s="2894">
        <v>3916</v>
      </c>
      <c r="N39" s="2894">
        <v>152.35</v>
      </c>
      <c r="O39" s="2894">
        <v>1632.31</v>
      </c>
      <c r="P39" s="2894">
        <v>1.56</v>
      </c>
      <c r="Q39" s="2894" t="s">
        <v>3150</v>
      </c>
    </row>
    <row r="40" spans="1:17" hidden="1">
      <c r="A40" s="2894" t="s">
        <v>3280</v>
      </c>
      <c r="B40" s="2894" t="s">
        <v>3120</v>
      </c>
      <c r="C40" s="2894" t="s">
        <v>3121</v>
      </c>
      <c r="D40" s="2894" t="s">
        <v>3189</v>
      </c>
      <c r="E40" s="2894" t="s">
        <v>3040</v>
      </c>
      <c r="F40" s="2894" t="s">
        <v>3281</v>
      </c>
      <c r="G40" s="2894">
        <v>68524</v>
      </c>
      <c r="H40" s="2894">
        <v>137048</v>
      </c>
      <c r="I40" s="2894" t="s">
        <v>3259</v>
      </c>
      <c r="J40" s="2894" t="s">
        <v>3154</v>
      </c>
      <c r="K40" s="2894" t="s">
        <v>3154</v>
      </c>
      <c r="L40" s="2894" t="s">
        <v>3155</v>
      </c>
      <c r="M40" s="2894">
        <v>15619</v>
      </c>
      <c r="N40" s="2894">
        <v>151.96</v>
      </c>
      <c r="O40" s="2894">
        <v>1139.67</v>
      </c>
      <c r="P40" s="2894">
        <v>1.3</v>
      </c>
      <c r="Q40" s="2894" t="s">
        <v>3126</v>
      </c>
    </row>
    <row r="41" spans="1:17">
      <c r="A41" s="2894" t="s">
        <v>3151</v>
      </c>
      <c r="B41" s="2894" t="s">
        <v>3120</v>
      </c>
      <c r="C41" s="2894" t="s">
        <v>3121</v>
      </c>
      <c r="D41" s="2894" t="s">
        <v>3122</v>
      </c>
      <c r="E41" s="2894" t="s">
        <v>3040</v>
      </c>
      <c r="F41" s="2894" t="s">
        <v>3152</v>
      </c>
      <c r="G41" s="2894">
        <v>61395</v>
      </c>
      <c r="H41" s="2894">
        <v>98232</v>
      </c>
      <c r="I41" s="2894" t="s">
        <v>3153</v>
      </c>
      <c r="J41" s="2894" t="s">
        <v>3154</v>
      </c>
      <c r="K41" s="2894" t="s">
        <v>3154</v>
      </c>
      <c r="L41" s="2894" t="s">
        <v>3155</v>
      </c>
      <c r="M41" s="2894">
        <v>23224</v>
      </c>
      <c r="N41" s="2894">
        <v>252.18</v>
      </c>
      <c r="O41" s="2894">
        <v>2364.19</v>
      </c>
      <c r="P41" s="2894">
        <v>0.87</v>
      </c>
      <c r="Q41" s="2894" t="s">
        <v>3126</v>
      </c>
    </row>
    <row r="42" spans="1:17" hidden="1">
      <c r="A42" s="2894" t="s">
        <v>3282</v>
      </c>
      <c r="B42" s="2894" t="s">
        <v>3120</v>
      </c>
      <c r="C42" s="2894" t="s">
        <v>3157</v>
      </c>
      <c r="D42" s="2894" t="s">
        <v>3189</v>
      </c>
      <c r="E42" s="2894" t="s">
        <v>3040</v>
      </c>
      <c r="F42" s="2894">
        <v>3.4110301100800742E+18</v>
      </c>
      <c r="G42" s="2894">
        <v>139790</v>
      </c>
      <c r="H42" s="2894">
        <v>251622</v>
      </c>
      <c r="I42" s="2894" t="s">
        <v>3283</v>
      </c>
      <c r="J42" s="2894" t="s">
        <v>3160</v>
      </c>
      <c r="K42" s="2894" t="s">
        <v>3160</v>
      </c>
      <c r="L42" s="2894" t="s">
        <v>3155</v>
      </c>
      <c r="M42" s="2894">
        <v>84080</v>
      </c>
      <c r="N42" s="2894">
        <v>400.98</v>
      </c>
      <c r="O42" s="2894">
        <v>3341.51</v>
      </c>
      <c r="P42" s="2894">
        <v>0.24</v>
      </c>
      <c r="Q42" s="2894" t="s">
        <v>3126</v>
      </c>
    </row>
    <row r="43" spans="1:17">
      <c r="A43" s="2894" t="s">
        <v>3156</v>
      </c>
      <c r="B43" s="2894" t="s">
        <v>3120</v>
      </c>
      <c r="C43" s="2894" t="s">
        <v>3157</v>
      </c>
      <c r="D43" s="2894" t="s">
        <v>3122</v>
      </c>
      <c r="E43" s="2894" t="s">
        <v>3040</v>
      </c>
      <c r="F43" s="2894" t="s">
        <v>3158</v>
      </c>
      <c r="G43" s="2894">
        <v>112563</v>
      </c>
      <c r="H43" s="2894">
        <v>247638.6</v>
      </c>
      <c r="I43" s="2894" t="s">
        <v>3159</v>
      </c>
      <c r="J43" s="2894" t="s">
        <v>3160</v>
      </c>
      <c r="K43" s="2894" t="s">
        <v>3160</v>
      </c>
      <c r="L43" s="2894" t="s">
        <v>3161</v>
      </c>
      <c r="M43" s="2894">
        <v>40645</v>
      </c>
      <c r="N43" s="2894">
        <v>240.72</v>
      </c>
      <c r="O43" s="2894">
        <v>1641.29</v>
      </c>
      <c r="P43" s="2894">
        <v>9.42</v>
      </c>
      <c r="Q43" s="2894" t="s">
        <v>3131</v>
      </c>
    </row>
    <row r="44" spans="1:17">
      <c r="A44" s="2894" t="s">
        <v>3290</v>
      </c>
      <c r="B44" s="2894" t="s">
        <v>3120</v>
      </c>
      <c r="C44" s="2894" t="s">
        <v>3121</v>
      </c>
      <c r="D44" s="2894" t="s">
        <v>3122</v>
      </c>
      <c r="E44" s="2894" t="s">
        <v>3052</v>
      </c>
      <c r="F44" s="2894">
        <v>3.411030110120066E+18</v>
      </c>
      <c r="G44" s="2894">
        <v>96079</v>
      </c>
      <c r="H44" s="2894">
        <v>192158</v>
      </c>
      <c r="I44" s="2894" t="s">
        <v>3291</v>
      </c>
      <c r="J44" s="2894" t="s">
        <v>3285</v>
      </c>
      <c r="K44" s="2894" t="s">
        <v>3285</v>
      </c>
      <c r="L44" s="2894" t="s">
        <v>3286</v>
      </c>
      <c r="M44" s="2894">
        <v>43500</v>
      </c>
      <c r="N44" s="2894">
        <v>301.83</v>
      </c>
      <c r="O44" s="2894">
        <v>2263.7600000000002</v>
      </c>
      <c r="P44" s="2894">
        <v>50.92</v>
      </c>
      <c r="Q44" s="2894" t="s">
        <v>3131</v>
      </c>
    </row>
    <row r="45" spans="1:17">
      <c r="A45" s="2894" t="s">
        <v>3284</v>
      </c>
      <c r="B45" s="2894" t="s">
        <v>3120</v>
      </c>
      <c r="C45" s="2894" t="s">
        <v>3121</v>
      </c>
      <c r="D45" s="2894" t="s">
        <v>3122</v>
      </c>
      <c r="E45" s="2894" t="s">
        <v>3052</v>
      </c>
      <c r="F45" s="2894">
        <v>3.4110301101200671E+18</v>
      </c>
      <c r="G45" s="2894">
        <v>47367</v>
      </c>
      <c r="H45" s="2894">
        <v>94734</v>
      </c>
      <c r="I45" s="2894" t="s">
        <v>3259</v>
      </c>
      <c r="J45" s="2894" t="s">
        <v>3285</v>
      </c>
      <c r="K45" s="2894" t="s">
        <v>3285</v>
      </c>
      <c r="L45" s="2894" t="s">
        <v>3286</v>
      </c>
      <c r="M45" s="2894">
        <v>21400</v>
      </c>
      <c r="N45" s="2894">
        <v>301.19</v>
      </c>
      <c r="O45" s="2894">
        <v>2258.96</v>
      </c>
      <c r="P45" s="2894">
        <v>50.6</v>
      </c>
      <c r="Q45" s="2894" t="s">
        <v>3131</v>
      </c>
    </row>
    <row r="46" spans="1:17">
      <c r="A46" s="2894" t="s">
        <v>3287</v>
      </c>
      <c r="B46" s="2894" t="s">
        <v>3120</v>
      </c>
      <c r="C46" s="2894" t="s">
        <v>3121</v>
      </c>
      <c r="D46" s="2894" t="s">
        <v>3122</v>
      </c>
      <c r="E46" s="2894" t="s">
        <v>3052</v>
      </c>
      <c r="F46" s="2894" t="s">
        <v>3288</v>
      </c>
      <c r="G46" s="2894">
        <v>53527</v>
      </c>
      <c r="H46" s="2894">
        <v>117759.4</v>
      </c>
      <c r="I46" s="2894" t="s">
        <v>3159</v>
      </c>
      <c r="J46" s="2894" t="s">
        <v>3285</v>
      </c>
      <c r="K46" s="2894" t="s">
        <v>3285</v>
      </c>
      <c r="L46" s="2894" t="s">
        <v>3289</v>
      </c>
      <c r="M46" s="2894">
        <v>19500</v>
      </c>
      <c r="N46" s="2894">
        <v>242.87</v>
      </c>
      <c r="O46" s="2894">
        <v>1655.92</v>
      </c>
      <c r="P46" s="2894">
        <v>10.39</v>
      </c>
      <c r="Q46" s="2894" t="s">
        <v>3131</v>
      </c>
    </row>
    <row r="47" spans="1:17" hidden="1">
      <c r="A47" s="2894" t="s">
        <v>3292</v>
      </c>
      <c r="B47" s="2894" t="s">
        <v>3120</v>
      </c>
      <c r="C47" s="2894" t="s">
        <v>3121</v>
      </c>
      <c r="D47" s="2894" t="s">
        <v>3189</v>
      </c>
      <c r="E47" s="2894" t="s">
        <v>3052</v>
      </c>
      <c r="F47" s="2894" t="s">
        <v>3293</v>
      </c>
      <c r="G47" s="2894">
        <v>67624</v>
      </c>
      <c r="H47" s="2894">
        <v>135248</v>
      </c>
      <c r="I47" s="2894" t="s">
        <v>3259</v>
      </c>
      <c r="J47" s="2894" t="s">
        <v>3294</v>
      </c>
      <c r="K47" s="2894" t="s">
        <v>3294</v>
      </c>
      <c r="L47" s="2894" t="s">
        <v>3209</v>
      </c>
      <c r="M47" s="2894">
        <v>35600</v>
      </c>
      <c r="N47" s="2894">
        <v>350.96</v>
      </c>
      <c r="O47" s="2894">
        <v>2632.19</v>
      </c>
      <c r="P47" s="2894">
        <v>16.98</v>
      </c>
      <c r="Q47" s="2894" t="s">
        <v>3199</v>
      </c>
    </row>
    <row r="48" spans="1:17" hidden="1">
      <c r="A48" s="2894" t="s">
        <v>3295</v>
      </c>
      <c r="B48" s="2894" t="s">
        <v>3120</v>
      </c>
      <c r="C48" s="2894" t="s">
        <v>3121</v>
      </c>
      <c r="D48" s="2894" t="s">
        <v>3189</v>
      </c>
      <c r="E48" s="2894" t="s">
        <v>3052</v>
      </c>
      <c r="F48" s="2894">
        <v>3.4110201300400323E+18</v>
      </c>
      <c r="G48" s="2894">
        <v>68937</v>
      </c>
      <c r="H48" s="2894">
        <v>137874</v>
      </c>
      <c r="I48" s="2894" t="s">
        <v>3259</v>
      </c>
      <c r="J48" s="2894" t="s">
        <v>3294</v>
      </c>
      <c r="K48" s="2894" t="s">
        <v>3294</v>
      </c>
      <c r="L48" s="2894" t="s">
        <v>3209</v>
      </c>
      <c r="M48" s="2894">
        <v>31100</v>
      </c>
      <c r="N48" s="2894">
        <v>300.76</v>
      </c>
      <c r="O48" s="2894">
        <v>2255.67</v>
      </c>
      <c r="P48" s="2894">
        <v>50.31</v>
      </c>
      <c r="Q48" s="2894" t="s">
        <v>3199</v>
      </c>
    </row>
    <row r="49" spans="1:17">
      <c r="A49" s="2894" t="s">
        <v>3162</v>
      </c>
      <c r="B49" s="2894" t="s">
        <v>3120</v>
      </c>
      <c r="C49" s="2894" t="s">
        <v>3121</v>
      </c>
      <c r="D49" s="2894" t="s">
        <v>3122</v>
      </c>
      <c r="E49" s="2894" t="s">
        <v>3040</v>
      </c>
      <c r="F49" s="2894">
        <v>3.4110300900900388E+18</v>
      </c>
      <c r="G49" s="2894">
        <v>99953</v>
      </c>
      <c r="H49" s="2894">
        <v>179915.4</v>
      </c>
      <c r="I49" s="2894" t="s">
        <v>3163</v>
      </c>
      <c r="J49" s="2894" t="s">
        <v>3164</v>
      </c>
      <c r="K49" s="2894" t="s">
        <v>3164</v>
      </c>
      <c r="L49" s="2894" t="s">
        <v>3165</v>
      </c>
      <c r="M49" s="2894">
        <v>5498</v>
      </c>
      <c r="N49" s="2894">
        <v>36.67</v>
      </c>
      <c r="O49" s="2894">
        <v>305.58</v>
      </c>
      <c r="P49" s="2894">
        <v>1.85</v>
      </c>
      <c r="Q49" s="2894" t="s">
        <v>3150</v>
      </c>
    </row>
    <row r="50" spans="1:17">
      <c r="A50" s="2894" t="s">
        <v>3296</v>
      </c>
      <c r="B50" s="2894" t="s">
        <v>3120</v>
      </c>
      <c r="C50" s="2894" t="s">
        <v>3121</v>
      </c>
      <c r="D50" s="2894" t="s">
        <v>3122</v>
      </c>
      <c r="E50" s="2894" t="s">
        <v>3040</v>
      </c>
      <c r="F50" s="2894">
        <v>3.411030110130048E+18</v>
      </c>
      <c r="G50" s="2894">
        <v>96630</v>
      </c>
      <c r="H50" s="2894">
        <v>212586</v>
      </c>
      <c r="I50" s="2894" t="s">
        <v>3143</v>
      </c>
      <c r="J50" s="2894" t="s">
        <v>3297</v>
      </c>
      <c r="K50" s="2894" t="s">
        <v>3297</v>
      </c>
      <c r="L50" s="2894" t="s">
        <v>3298</v>
      </c>
      <c r="M50" s="2894">
        <v>22813</v>
      </c>
      <c r="N50" s="2894">
        <v>157.38999999999999</v>
      </c>
      <c r="O50" s="2894">
        <v>1073.1099999999999</v>
      </c>
      <c r="P50" s="2894">
        <v>0.88</v>
      </c>
      <c r="Q50" s="2894" t="s">
        <v>3150</v>
      </c>
    </row>
    <row r="51" spans="1:17">
      <c r="A51" s="2894" t="s">
        <v>3299</v>
      </c>
      <c r="B51" s="2894" t="s">
        <v>3120</v>
      </c>
      <c r="C51" s="2894" t="s">
        <v>3121</v>
      </c>
      <c r="D51" s="2894" t="s">
        <v>3122</v>
      </c>
      <c r="E51" s="2894" t="s">
        <v>3040</v>
      </c>
      <c r="F51" s="2894">
        <v>3.411030110130047E+18</v>
      </c>
      <c r="G51" s="2894">
        <v>143294</v>
      </c>
      <c r="H51" s="2894">
        <v>286588</v>
      </c>
      <c r="I51" s="2894" t="s">
        <v>3138</v>
      </c>
      <c r="J51" s="2894" t="s">
        <v>3297</v>
      </c>
      <c r="K51" s="2894" t="s">
        <v>3297</v>
      </c>
      <c r="L51" s="2894" t="s">
        <v>3298</v>
      </c>
      <c r="M51" s="2894">
        <v>29217</v>
      </c>
      <c r="N51" s="2894">
        <v>135.93</v>
      </c>
      <c r="O51" s="2894">
        <v>1019.48</v>
      </c>
      <c r="P51" s="2894">
        <v>0.69</v>
      </c>
      <c r="Q51" s="2894" t="s">
        <v>3150</v>
      </c>
    </row>
    <row r="52" spans="1:17" hidden="1">
      <c r="A52" s="2894" t="s">
        <v>3300</v>
      </c>
      <c r="B52" s="2894" t="s">
        <v>3120</v>
      </c>
      <c r="C52" s="2894" t="s">
        <v>3121</v>
      </c>
      <c r="D52" s="2894" t="s">
        <v>3189</v>
      </c>
      <c r="E52" s="2894" t="s">
        <v>3052</v>
      </c>
      <c r="F52" s="2894">
        <v>3.4110301100700401E+18</v>
      </c>
      <c r="G52" s="2894">
        <v>52607</v>
      </c>
      <c r="H52" s="2894">
        <v>84171.199999999997</v>
      </c>
      <c r="I52" s="2894" t="s">
        <v>3153</v>
      </c>
      <c r="J52" s="2894" t="s">
        <v>3301</v>
      </c>
      <c r="K52" s="2894" t="s">
        <v>3301</v>
      </c>
      <c r="L52" s="2894" t="s">
        <v>3209</v>
      </c>
      <c r="M52" s="2894">
        <v>43410</v>
      </c>
      <c r="N52" s="2894">
        <v>550.12</v>
      </c>
      <c r="O52" s="2894">
        <v>5157.3500000000004</v>
      </c>
      <c r="P52" s="2894">
        <v>57.17</v>
      </c>
      <c r="Q52" s="2894" t="s">
        <v>3126</v>
      </c>
    </row>
    <row r="53" spans="1:17">
      <c r="A53" s="2894" t="s">
        <v>3166</v>
      </c>
      <c r="B53" s="2894" t="s">
        <v>3120</v>
      </c>
      <c r="C53" s="2894" t="s">
        <v>3121</v>
      </c>
      <c r="D53" s="2894" t="s">
        <v>3122</v>
      </c>
      <c r="E53" s="2894" t="s">
        <v>3040</v>
      </c>
      <c r="F53" s="2894">
        <v>3.4110200900600238E+18</v>
      </c>
      <c r="G53" s="2894">
        <v>134848</v>
      </c>
      <c r="H53" s="2894">
        <v>269696</v>
      </c>
      <c r="I53" s="2894" t="s">
        <v>3138</v>
      </c>
      <c r="J53" s="2894" t="s">
        <v>3167</v>
      </c>
      <c r="K53" s="2894" t="s">
        <v>3167</v>
      </c>
      <c r="L53" s="2894" t="s">
        <v>3168</v>
      </c>
      <c r="M53" s="2894">
        <v>14260</v>
      </c>
      <c r="N53" s="2894">
        <v>70.5</v>
      </c>
      <c r="O53" s="2894">
        <v>528.74</v>
      </c>
      <c r="P53" s="2894">
        <v>0.71</v>
      </c>
      <c r="Q53" s="2894" t="s">
        <v>3131</v>
      </c>
    </row>
    <row r="54" spans="1:17" hidden="1">
      <c r="A54" s="2894" t="s">
        <v>3302</v>
      </c>
      <c r="B54" s="2894" t="s">
        <v>3120</v>
      </c>
      <c r="C54" s="2894" t="s">
        <v>3121</v>
      </c>
      <c r="D54" s="2894" t="s">
        <v>3189</v>
      </c>
      <c r="E54" s="2894" t="s">
        <v>3052</v>
      </c>
      <c r="F54" s="2894">
        <v>3.411030110070038E+18</v>
      </c>
      <c r="G54" s="2894">
        <v>59207</v>
      </c>
      <c r="H54" s="2894">
        <v>118414</v>
      </c>
      <c r="I54" s="2894" t="s">
        <v>3259</v>
      </c>
      <c r="J54" s="2894" t="s">
        <v>3303</v>
      </c>
      <c r="K54" s="2894" t="s">
        <v>3303</v>
      </c>
      <c r="L54" s="2894" t="s">
        <v>3304</v>
      </c>
      <c r="M54" s="2894">
        <v>55600</v>
      </c>
      <c r="N54" s="2894">
        <v>626.04999999999995</v>
      </c>
      <c r="O54" s="2894">
        <v>4695.3900000000003</v>
      </c>
      <c r="P54" s="2894">
        <v>108.63</v>
      </c>
      <c r="Q54" s="2894" t="s">
        <v>3126</v>
      </c>
    </row>
    <row r="55" spans="1:17" hidden="1">
      <c r="A55" s="2894" t="s">
        <v>3305</v>
      </c>
      <c r="B55" s="2894" t="s">
        <v>3120</v>
      </c>
      <c r="C55" s="2894" t="s">
        <v>3121</v>
      </c>
      <c r="D55" s="2894" t="s">
        <v>3189</v>
      </c>
      <c r="E55" s="2894" t="s">
        <v>3052</v>
      </c>
      <c r="F55" s="2894">
        <v>3.4110201300400312E+18</v>
      </c>
      <c r="G55" s="2894">
        <v>58413</v>
      </c>
      <c r="H55" s="2894">
        <v>105143.4</v>
      </c>
      <c r="I55" s="2894" t="s">
        <v>3306</v>
      </c>
      <c r="J55" s="2894" t="s">
        <v>3307</v>
      </c>
      <c r="K55" s="2894" t="s">
        <v>3307</v>
      </c>
      <c r="L55" s="2894" t="s">
        <v>3209</v>
      </c>
      <c r="M55" s="2894">
        <v>34900</v>
      </c>
      <c r="N55" s="2894">
        <v>398.31</v>
      </c>
      <c r="O55" s="2894">
        <v>3319.28</v>
      </c>
      <c r="P55" s="2894">
        <v>99.09</v>
      </c>
      <c r="Q55" s="2894" t="s">
        <v>3199</v>
      </c>
    </row>
    <row r="56" spans="1:17" hidden="1">
      <c r="A56" s="2894" t="s">
        <v>3308</v>
      </c>
      <c r="B56" s="2894" t="s">
        <v>3120</v>
      </c>
      <c r="C56" s="2894" t="s">
        <v>3121</v>
      </c>
      <c r="D56" s="2894" t="s">
        <v>3189</v>
      </c>
      <c r="E56" s="2894" t="s">
        <v>3040</v>
      </c>
      <c r="F56" s="2894">
        <v>30090090014000</v>
      </c>
      <c r="G56" s="2894">
        <v>92897</v>
      </c>
      <c r="H56" s="2894">
        <v>167214.6</v>
      </c>
      <c r="I56" s="2894" t="s">
        <v>3163</v>
      </c>
      <c r="J56" s="2894" t="s">
        <v>3309</v>
      </c>
      <c r="K56" s="2894" t="s">
        <v>3309</v>
      </c>
      <c r="L56" s="2894" t="s">
        <v>3310</v>
      </c>
      <c r="M56" s="2894">
        <v>35040</v>
      </c>
      <c r="N56" s="2894">
        <v>251.46</v>
      </c>
      <c r="O56" s="2894">
        <v>2095.5100000000002</v>
      </c>
      <c r="P56" s="2894">
        <v>0.56999999999999995</v>
      </c>
      <c r="Q56" s="2894" t="s">
        <v>3131</v>
      </c>
    </row>
    <row r="57" spans="1:17" hidden="1">
      <c r="A57" s="2894" t="s">
        <v>3311</v>
      </c>
      <c r="B57" s="2894" t="s">
        <v>3120</v>
      </c>
      <c r="C57" s="2894" t="s">
        <v>3121</v>
      </c>
      <c r="D57" s="2894" t="s">
        <v>3189</v>
      </c>
      <c r="E57" s="2894" t="s">
        <v>3040</v>
      </c>
      <c r="F57" s="2894">
        <v>30090090015000</v>
      </c>
      <c r="G57" s="2894">
        <v>104981</v>
      </c>
      <c r="H57" s="2894">
        <v>125977.2</v>
      </c>
      <c r="I57" s="2894" t="s">
        <v>3312</v>
      </c>
      <c r="J57" s="2894" t="s">
        <v>3309</v>
      </c>
      <c r="K57" s="2894" t="s">
        <v>3309</v>
      </c>
      <c r="L57" s="2894" t="s">
        <v>3310</v>
      </c>
      <c r="M57" s="2894">
        <v>39570</v>
      </c>
      <c r="N57" s="2894">
        <v>251.28</v>
      </c>
      <c r="O57" s="2894">
        <v>3141.03</v>
      </c>
      <c r="P57" s="2894">
        <v>0.51</v>
      </c>
      <c r="Q57" s="2894" t="s">
        <v>3131</v>
      </c>
    </row>
    <row r="58" spans="1:17" hidden="1">
      <c r="A58" s="2894" t="s">
        <v>3313</v>
      </c>
      <c r="B58" s="2894" t="s">
        <v>3120</v>
      </c>
      <c r="C58" s="2894" t="s">
        <v>3121</v>
      </c>
      <c r="D58" s="2894" t="s">
        <v>3189</v>
      </c>
      <c r="E58" s="2894" t="s">
        <v>3040</v>
      </c>
      <c r="F58" s="2894">
        <v>30090070192000</v>
      </c>
      <c r="G58" s="2894">
        <v>61343</v>
      </c>
      <c r="H58" s="2894">
        <v>134954.6</v>
      </c>
      <c r="I58" s="2894" t="s">
        <v>3143</v>
      </c>
      <c r="J58" s="2894" t="s">
        <v>3314</v>
      </c>
      <c r="K58" s="2894" t="s">
        <v>3314</v>
      </c>
      <c r="L58" s="2894" t="s">
        <v>3145</v>
      </c>
      <c r="M58" s="2894">
        <v>13950</v>
      </c>
      <c r="N58" s="2894">
        <v>151.61000000000001</v>
      </c>
      <c r="O58" s="2894">
        <v>1033.68</v>
      </c>
      <c r="P58" s="2894">
        <v>1.05</v>
      </c>
      <c r="Q58" s="2894" t="s">
        <v>3126</v>
      </c>
    </row>
    <row r="59" spans="1:17" hidden="1">
      <c r="A59" s="2894" t="s">
        <v>3315</v>
      </c>
      <c r="B59" s="2894" t="s">
        <v>3120</v>
      </c>
      <c r="C59" s="2894" t="s">
        <v>3121</v>
      </c>
      <c r="D59" s="2894" t="s">
        <v>3189</v>
      </c>
      <c r="E59" s="2894" t="s">
        <v>3040</v>
      </c>
      <c r="F59" s="2894">
        <v>30090070191000</v>
      </c>
      <c r="G59" s="2894">
        <v>63722</v>
      </c>
      <c r="H59" s="2894">
        <v>140188.4</v>
      </c>
      <c r="I59" s="2894" t="s">
        <v>3143</v>
      </c>
      <c r="J59" s="2894" t="s">
        <v>3314</v>
      </c>
      <c r="K59" s="2894" t="s">
        <v>3314</v>
      </c>
      <c r="L59" s="2894" t="s">
        <v>3145</v>
      </c>
      <c r="M59" s="2894">
        <v>14440</v>
      </c>
      <c r="N59" s="2894">
        <v>151.07</v>
      </c>
      <c r="O59" s="2894">
        <v>1030.03</v>
      </c>
      <c r="P59" s="2894">
        <v>0.7</v>
      </c>
      <c r="Q59" s="2894" t="s">
        <v>3126</v>
      </c>
    </row>
    <row r="60" spans="1:17" hidden="1">
      <c r="A60" s="2894" t="s">
        <v>3316</v>
      </c>
      <c r="B60" s="2894" t="s">
        <v>3120</v>
      </c>
      <c r="C60" s="2894" t="s">
        <v>3121</v>
      </c>
      <c r="D60" s="2894" t="s">
        <v>3189</v>
      </c>
      <c r="E60" s="2894" t="s">
        <v>3040</v>
      </c>
      <c r="F60" s="2894">
        <v>30090070190000</v>
      </c>
      <c r="G60" s="2894">
        <v>52084</v>
      </c>
      <c r="H60" s="2894">
        <v>114584.8</v>
      </c>
      <c r="I60" s="2894" t="s">
        <v>3143</v>
      </c>
      <c r="J60" s="2894" t="s">
        <v>3314</v>
      </c>
      <c r="K60" s="2894" t="s">
        <v>3314</v>
      </c>
      <c r="L60" s="2894" t="s">
        <v>3145</v>
      </c>
      <c r="M60" s="2894">
        <v>11820</v>
      </c>
      <c r="N60" s="2894">
        <v>151.29</v>
      </c>
      <c r="O60" s="2894">
        <v>1031.54</v>
      </c>
      <c r="P60" s="2894">
        <v>0.85</v>
      </c>
      <c r="Q60" s="2894" t="s">
        <v>3131</v>
      </c>
    </row>
    <row r="61" spans="1:17" hidden="1">
      <c r="A61" s="2894" t="s">
        <v>3317</v>
      </c>
      <c r="B61" s="2894" t="s">
        <v>3120</v>
      </c>
      <c r="C61" s="2894" t="s">
        <v>3121</v>
      </c>
      <c r="D61" s="2894" t="s">
        <v>3189</v>
      </c>
      <c r="E61" s="2894" t="s">
        <v>3040</v>
      </c>
      <c r="F61" s="2894">
        <v>20020040321000</v>
      </c>
      <c r="G61" s="2894">
        <v>15194</v>
      </c>
      <c r="H61" s="2894">
        <v>18232.8</v>
      </c>
      <c r="I61" s="2894" t="s">
        <v>3318</v>
      </c>
      <c r="J61" s="2894" t="s">
        <v>3319</v>
      </c>
      <c r="K61" s="2894" t="s">
        <v>3319</v>
      </c>
      <c r="L61" s="2894" t="s">
        <v>3320</v>
      </c>
      <c r="M61" s="2894">
        <v>2807</v>
      </c>
      <c r="N61" s="2894">
        <v>123.16</v>
      </c>
      <c r="O61" s="2894">
        <v>1539.52</v>
      </c>
      <c r="P61" s="2894">
        <v>5.25</v>
      </c>
      <c r="Q61" s="2894" t="s">
        <v>3126</v>
      </c>
    </row>
    <row r="62" spans="1:17" hidden="1">
      <c r="A62" s="2894" t="s">
        <v>3321</v>
      </c>
      <c r="B62" s="2894" t="s">
        <v>3120</v>
      </c>
      <c r="C62" s="2894" t="s">
        <v>3121</v>
      </c>
      <c r="D62" s="2894" t="s">
        <v>3189</v>
      </c>
      <c r="E62" s="2894" t="s">
        <v>3040</v>
      </c>
      <c r="F62" s="2894">
        <v>20020040320000</v>
      </c>
      <c r="G62" s="2894">
        <v>20342</v>
      </c>
      <c r="H62" s="2894">
        <v>24410.400000000001</v>
      </c>
      <c r="I62" s="2894" t="s">
        <v>3318</v>
      </c>
      <c r="J62" s="2894" t="s">
        <v>3319</v>
      </c>
      <c r="K62" s="2894" t="s">
        <v>3319</v>
      </c>
      <c r="L62" s="2894" t="s">
        <v>3320</v>
      </c>
      <c r="M62" s="2894">
        <v>3710</v>
      </c>
      <c r="N62" s="2894">
        <v>121.59</v>
      </c>
      <c r="O62" s="2894">
        <v>1519.83</v>
      </c>
      <c r="P62" s="2894">
        <v>3.92</v>
      </c>
      <c r="Q62" s="2894" t="s">
        <v>3126</v>
      </c>
    </row>
    <row r="63" spans="1:17" hidden="1">
      <c r="A63" s="2894" t="s">
        <v>3322</v>
      </c>
      <c r="B63" s="2894" t="s">
        <v>3120</v>
      </c>
      <c r="C63" s="2894" t="s">
        <v>3121</v>
      </c>
      <c r="D63" s="2894" t="s">
        <v>3189</v>
      </c>
      <c r="E63" s="2894" t="s">
        <v>3052</v>
      </c>
      <c r="F63" s="2894">
        <v>20030050413000</v>
      </c>
      <c r="G63" s="2894">
        <v>54140</v>
      </c>
      <c r="H63" s="2894">
        <v>108280</v>
      </c>
      <c r="I63" s="2894" t="s">
        <v>3259</v>
      </c>
      <c r="J63" s="2894" t="s">
        <v>3323</v>
      </c>
      <c r="K63" s="2894" t="s">
        <v>3323</v>
      </c>
      <c r="L63" s="2894" t="s">
        <v>3324</v>
      </c>
      <c r="M63" s="2894">
        <v>31000</v>
      </c>
      <c r="N63" s="2894">
        <v>381.73</v>
      </c>
      <c r="O63" s="2894">
        <v>2862.94</v>
      </c>
      <c r="P63" s="2894">
        <v>90.83</v>
      </c>
      <c r="Q63" s="2894" t="s">
        <v>3199</v>
      </c>
    </row>
    <row r="64" spans="1:17" hidden="1">
      <c r="A64" s="2894" t="s">
        <v>3325</v>
      </c>
      <c r="B64" s="2894" t="s">
        <v>3120</v>
      </c>
      <c r="C64" s="2894" t="s">
        <v>3121</v>
      </c>
      <c r="D64" s="2894" t="s">
        <v>3189</v>
      </c>
      <c r="E64" s="2894" t="s">
        <v>3040</v>
      </c>
      <c r="F64" s="2894">
        <v>20080020491000</v>
      </c>
      <c r="G64" s="2894">
        <v>107502</v>
      </c>
      <c r="H64" s="2894">
        <v>196728.7</v>
      </c>
      <c r="I64" s="2894" t="s">
        <v>3326</v>
      </c>
      <c r="J64" s="2894" t="s">
        <v>3323</v>
      </c>
      <c r="K64" s="2894" t="s">
        <v>3323</v>
      </c>
      <c r="L64" s="2894" t="s">
        <v>3327</v>
      </c>
      <c r="M64" s="2894">
        <v>66200</v>
      </c>
      <c r="N64" s="2894">
        <v>410.53</v>
      </c>
      <c r="O64" s="2894">
        <v>3365.03</v>
      </c>
      <c r="P64" s="2894">
        <v>46.62</v>
      </c>
      <c r="Q64" s="2894" t="s">
        <v>3126</v>
      </c>
    </row>
    <row r="65" spans="1:17" hidden="1">
      <c r="A65" s="2894" t="s">
        <v>3328</v>
      </c>
      <c r="B65" s="2894" t="s">
        <v>3120</v>
      </c>
      <c r="C65" s="2894" t="s">
        <v>3121</v>
      </c>
      <c r="D65" s="2894" t="s">
        <v>3189</v>
      </c>
      <c r="E65" s="2894" t="s">
        <v>3040</v>
      </c>
      <c r="F65" s="2894">
        <v>30110090092000</v>
      </c>
      <c r="G65" s="2894">
        <v>139471</v>
      </c>
      <c r="H65" s="2894">
        <v>278942</v>
      </c>
      <c r="I65" s="2894" t="s">
        <v>3134</v>
      </c>
      <c r="J65" s="2894" t="s">
        <v>3329</v>
      </c>
      <c r="K65" s="2894" t="s">
        <v>3329</v>
      </c>
      <c r="L65" s="2894" t="s">
        <v>3330</v>
      </c>
      <c r="M65" s="2894">
        <v>31850</v>
      </c>
      <c r="N65" s="2894">
        <v>152.24</v>
      </c>
      <c r="O65" s="2894">
        <v>1141.8</v>
      </c>
      <c r="P65" s="2894">
        <v>1.43</v>
      </c>
      <c r="Q65" s="2894" t="s">
        <v>3126</v>
      </c>
    </row>
    <row r="66" spans="1:17" hidden="1">
      <c r="A66" s="2894" t="s">
        <v>3331</v>
      </c>
      <c r="B66" s="2894" t="s">
        <v>3120</v>
      </c>
      <c r="C66" s="2894" t="s">
        <v>3121</v>
      </c>
      <c r="D66" s="2894" t="s">
        <v>3189</v>
      </c>
      <c r="E66" s="2894" t="s">
        <v>3040</v>
      </c>
      <c r="F66" s="2894">
        <v>30110130035000</v>
      </c>
      <c r="G66" s="2894">
        <v>59536</v>
      </c>
      <c r="H66" s="2894">
        <v>107164.8</v>
      </c>
      <c r="I66" s="2894" t="s">
        <v>3179</v>
      </c>
      <c r="J66" s="2894" t="s">
        <v>3332</v>
      </c>
      <c r="K66" s="2894" t="s">
        <v>3332</v>
      </c>
      <c r="L66" s="2894" t="s">
        <v>3333</v>
      </c>
      <c r="M66" s="2894">
        <v>44650</v>
      </c>
      <c r="N66" s="2894">
        <v>499.98</v>
      </c>
      <c r="O66" s="2894">
        <v>4166.47</v>
      </c>
      <c r="P66" s="2894">
        <v>25</v>
      </c>
      <c r="Q66" s="2894" t="s">
        <v>3150</v>
      </c>
    </row>
    <row r="67" spans="1:17" hidden="1">
      <c r="A67" s="2894" t="s">
        <v>3334</v>
      </c>
      <c r="B67" s="2894" t="s">
        <v>3120</v>
      </c>
      <c r="C67" s="2894" t="s">
        <v>3121</v>
      </c>
      <c r="D67" s="2894" t="s">
        <v>3189</v>
      </c>
      <c r="E67" s="2894" t="s">
        <v>3040</v>
      </c>
      <c r="F67" s="2894">
        <v>30110120059000</v>
      </c>
      <c r="G67" s="2894">
        <v>40762</v>
      </c>
      <c r="H67" s="2894">
        <v>81524</v>
      </c>
      <c r="I67" s="2894" t="s">
        <v>3335</v>
      </c>
      <c r="J67" s="2894" t="s">
        <v>3332</v>
      </c>
      <c r="K67" s="2894" t="s">
        <v>3332</v>
      </c>
      <c r="L67" s="2894" t="s">
        <v>3333</v>
      </c>
      <c r="M67" s="2894">
        <v>30570</v>
      </c>
      <c r="N67" s="2894">
        <v>499.98</v>
      </c>
      <c r="O67" s="2894">
        <v>3749.82</v>
      </c>
      <c r="P67" s="2894">
        <v>24.98</v>
      </c>
      <c r="Q67" s="2894" t="s">
        <v>3131</v>
      </c>
    </row>
    <row r="68" spans="1:17" hidden="1">
      <c r="A68" s="2894" t="s">
        <v>3336</v>
      </c>
      <c r="B68" s="2894" t="s">
        <v>3120</v>
      </c>
      <c r="C68" s="2894" t="s">
        <v>3121</v>
      </c>
      <c r="D68" s="2894" t="s">
        <v>3189</v>
      </c>
      <c r="E68" s="2894" t="s">
        <v>3040</v>
      </c>
      <c r="F68" s="2894">
        <v>30110120058000</v>
      </c>
      <c r="G68" s="2894">
        <v>38804</v>
      </c>
      <c r="H68" s="2894">
        <v>77608</v>
      </c>
      <c r="I68" s="2894" t="s">
        <v>3335</v>
      </c>
      <c r="J68" s="2894" t="s">
        <v>3332</v>
      </c>
      <c r="K68" s="2894" t="s">
        <v>3332</v>
      </c>
      <c r="L68" s="2894" t="s">
        <v>3333</v>
      </c>
      <c r="M68" s="2894">
        <v>29100</v>
      </c>
      <c r="N68" s="2894">
        <v>499.95</v>
      </c>
      <c r="O68" s="2894">
        <v>3749.61</v>
      </c>
      <c r="P68" s="2894">
        <v>25</v>
      </c>
      <c r="Q68" s="2894" t="s">
        <v>3131</v>
      </c>
    </row>
    <row r="69" spans="1:17">
      <c r="A69" s="2894" t="s">
        <v>3169</v>
      </c>
      <c r="B69" s="2894" t="s">
        <v>3120</v>
      </c>
      <c r="C69" s="2894" t="s">
        <v>3121</v>
      </c>
      <c r="D69" s="2894" t="s">
        <v>3122</v>
      </c>
      <c r="E69" s="2894" t="s">
        <v>3040</v>
      </c>
      <c r="F69" s="2894">
        <v>31000070218000</v>
      </c>
      <c r="G69" s="2894">
        <v>99534</v>
      </c>
      <c r="H69" s="2894">
        <v>159254.39999999999</v>
      </c>
      <c r="I69" s="2894" t="s">
        <v>3170</v>
      </c>
      <c r="J69" s="2894" t="s">
        <v>3171</v>
      </c>
      <c r="K69" s="2894" t="s">
        <v>3171</v>
      </c>
      <c r="L69" s="2894" t="s">
        <v>3172</v>
      </c>
      <c r="M69" s="2894">
        <v>36850</v>
      </c>
      <c r="N69" s="2894">
        <v>246.82</v>
      </c>
      <c r="O69" s="2894">
        <v>2313.9</v>
      </c>
      <c r="P69" s="2894">
        <v>12.18</v>
      </c>
      <c r="Q69" s="2894" t="s">
        <v>3131</v>
      </c>
    </row>
    <row r="70" spans="1:17" hidden="1">
      <c r="A70" s="2894" t="s">
        <v>3337</v>
      </c>
      <c r="B70" s="2894" t="s">
        <v>3120</v>
      </c>
      <c r="C70" s="2894" t="s">
        <v>3121</v>
      </c>
      <c r="D70" s="2894" t="s">
        <v>3189</v>
      </c>
      <c r="E70" s="2894" t="s">
        <v>3040</v>
      </c>
      <c r="F70" s="2894">
        <v>20090020076000</v>
      </c>
      <c r="G70" s="2894">
        <v>80417</v>
      </c>
      <c r="H70" s="2894">
        <v>160834</v>
      </c>
      <c r="I70" s="2894" t="s">
        <v>3134</v>
      </c>
      <c r="J70" s="2894" t="s">
        <v>3171</v>
      </c>
      <c r="K70" s="2894" t="s">
        <v>3171</v>
      </c>
      <c r="L70" s="2894" t="s">
        <v>3338</v>
      </c>
      <c r="M70" s="2894">
        <v>29000</v>
      </c>
      <c r="N70" s="2894">
        <v>240.41</v>
      </c>
      <c r="O70" s="2894">
        <v>1803.09</v>
      </c>
      <c r="P70" s="2894">
        <v>9.27</v>
      </c>
      <c r="Q70" s="2894" t="s">
        <v>3131</v>
      </c>
    </row>
    <row r="71" spans="1:17" hidden="1">
      <c r="A71" s="2894" t="s">
        <v>3339</v>
      </c>
      <c r="B71" s="2894" t="s">
        <v>3120</v>
      </c>
      <c r="C71" s="2894" t="s">
        <v>3121</v>
      </c>
      <c r="D71" s="2894" t="s">
        <v>3189</v>
      </c>
      <c r="E71" s="2894" t="s">
        <v>3040</v>
      </c>
      <c r="F71" s="2894">
        <v>30110040081000</v>
      </c>
      <c r="G71" s="2894">
        <v>113196</v>
      </c>
      <c r="H71" s="2894">
        <v>226392</v>
      </c>
      <c r="I71" s="2894" t="s">
        <v>3340</v>
      </c>
      <c r="J71" s="2894" t="s">
        <v>3171</v>
      </c>
      <c r="K71" s="2894" t="s">
        <v>3171</v>
      </c>
      <c r="L71" s="2894" t="s">
        <v>3172</v>
      </c>
      <c r="M71" s="2894">
        <v>55950</v>
      </c>
      <c r="N71" s="2894">
        <v>329.52</v>
      </c>
      <c r="O71" s="2894">
        <v>2471.38</v>
      </c>
      <c r="P71" s="2894">
        <v>9.81</v>
      </c>
      <c r="Q71" s="2894" t="s">
        <v>3126</v>
      </c>
    </row>
    <row r="72" spans="1:17" hidden="1">
      <c r="A72" s="2894" t="s">
        <v>3341</v>
      </c>
      <c r="B72" s="2894" t="s">
        <v>3120</v>
      </c>
      <c r="C72" s="2894" t="s">
        <v>3121</v>
      </c>
      <c r="D72" s="2894" t="s">
        <v>3189</v>
      </c>
      <c r="E72" s="2894" t="s">
        <v>3040</v>
      </c>
      <c r="F72" s="2894">
        <v>20130050039000</v>
      </c>
      <c r="G72" s="2894">
        <v>68110</v>
      </c>
      <c r="H72" s="2894">
        <v>136220</v>
      </c>
      <c r="I72" s="2894" t="s">
        <v>3134</v>
      </c>
      <c r="J72" s="2894" t="s">
        <v>3342</v>
      </c>
      <c r="K72" s="2894" t="s">
        <v>3342</v>
      </c>
      <c r="L72" s="2894" t="s">
        <v>3343</v>
      </c>
      <c r="M72" s="2894">
        <v>26500</v>
      </c>
      <c r="N72" s="2894">
        <v>259.38</v>
      </c>
      <c r="O72" s="2894">
        <v>1945.38</v>
      </c>
      <c r="P72" s="2894">
        <v>44.02</v>
      </c>
      <c r="Q72" s="2894" t="s">
        <v>3199</v>
      </c>
    </row>
    <row r="73" spans="1:17">
      <c r="A73" s="3196" t="s">
        <v>3176</v>
      </c>
      <c r="B73" s="3196" t="s">
        <v>3120</v>
      </c>
      <c r="C73" s="3196" t="s">
        <v>3121</v>
      </c>
      <c r="D73" s="3196" t="s">
        <v>3122</v>
      </c>
      <c r="E73" s="3196" t="s">
        <v>3052</v>
      </c>
      <c r="F73" s="3196">
        <v>30110080069000</v>
      </c>
      <c r="G73" s="3196">
        <v>80867</v>
      </c>
      <c r="H73" s="3196">
        <v>129387.2</v>
      </c>
      <c r="I73" s="3196" t="s">
        <v>3170</v>
      </c>
      <c r="J73" s="3196" t="s">
        <v>3174</v>
      </c>
      <c r="K73" s="3196" t="s">
        <v>3174</v>
      </c>
      <c r="L73" s="3196" t="s">
        <v>3177</v>
      </c>
      <c r="M73" s="3196">
        <v>41300</v>
      </c>
      <c r="N73" s="3196">
        <v>340.48</v>
      </c>
      <c r="O73" s="3196">
        <v>3191.96</v>
      </c>
      <c r="P73" s="3196">
        <v>30.7</v>
      </c>
      <c r="Q73" s="3196" t="s">
        <v>3126</v>
      </c>
    </row>
    <row r="74" spans="1:17" hidden="1">
      <c r="A74" s="2894" t="s">
        <v>3344</v>
      </c>
      <c r="B74" s="2894" t="s">
        <v>3120</v>
      </c>
      <c r="C74" s="2894" t="s">
        <v>3121</v>
      </c>
      <c r="D74" s="2894" t="s">
        <v>3189</v>
      </c>
      <c r="E74" s="2894" t="s">
        <v>3052</v>
      </c>
      <c r="F74" s="2894">
        <v>31000070037000</v>
      </c>
      <c r="G74" s="2894">
        <v>61482</v>
      </c>
      <c r="H74" s="2894">
        <v>122964</v>
      </c>
      <c r="I74" s="2894" t="s">
        <v>3134</v>
      </c>
      <c r="J74" s="2894" t="s">
        <v>3174</v>
      </c>
      <c r="K74" s="2894" t="s">
        <v>3174</v>
      </c>
      <c r="L74" s="2894" t="s">
        <v>3345</v>
      </c>
      <c r="M74" s="2894">
        <v>32400</v>
      </c>
      <c r="N74" s="2894">
        <v>351.32</v>
      </c>
      <c r="O74" s="2894">
        <v>2634.92</v>
      </c>
      <c r="P74" s="2894">
        <v>35</v>
      </c>
      <c r="Q74" s="2894" t="s">
        <v>3126</v>
      </c>
    </row>
    <row r="75" spans="1:17" s="3187" customFormat="1">
      <c r="A75" s="2894" t="s">
        <v>3173</v>
      </c>
      <c r="B75" s="2894" t="s">
        <v>3120</v>
      </c>
      <c r="C75" s="2894" t="s">
        <v>3121</v>
      </c>
      <c r="D75" s="2894" t="s">
        <v>3122</v>
      </c>
      <c r="E75" s="2894" t="s">
        <v>3052</v>
      </c>
      <c r="F75" s="2894">
        <v>30110080067000</v>
      </c>
      <c r="G75" s="2894">
        <v>89886</v>
      </c>
      <c r="H75" s="2894">
        <v>179772</v>
      </c>
      <c r="I75" s="2894" t="s">
        <v>3134</v>
      </c>
      <c r="J75" s="2894" t="s">
        <v>3174</v>
      </c>
      <c r="K75" s="2894" t="s">
        <v>3174</v>
      </c>
      <c r="L75" s="2894" t="s">
        <v>3175</v>
      </c>
      <c r="M75" s="2894">
        <v>46600</v>
      </c>
      <c r="N75" s="2894">
        <v>345.62</v>
      </c>
      <c r="O75" s="2894">
        <v>2592.17</v>
      </c>
      <c r="P75" s="2894">
        <v>32.76</v>
      </c>
      <c r="Q75" s="2894" t="s">
        <v>3126</v>
      </c>
    </row>
    <row r="76" spans="1:17">
      <c r="A76" s="2894" t="s">
        <v>3346</v>
      </c>
      <c r="B76" s="2894" t="s">
        <v>3120</v>
      </c>
      <c r="C76" s="2894" t="s">
        <v>3121</v>
      </c>
      <c r="D76" s="2894" t="s">
        <v>3122</v>
      </c>
      <c r="E76" s="2894" t="s">
        <v>3040</v>
      </c>
      <c r="F76" s="2894">
        <v>31000030222000</v>
      </c>
      <c r="G76" s="2894">
        <v>155439</v>
      </c>
      <c r="H76" s="2894">
        <v>310878</v>
      </c>
      <c r="I76" s="2894" t="s">
        <v>3347</v>
      </c>
      <c r="J76" s="2894" t="s">
        <v>3348</v>
      </c>
      <c r="K76" s="2894" t="s">
        <v>3348</v>
      </c>
      <c r="L76" s="2894" t="s">
        <v>3172</v>
      </c>
      <c r="M76" s="2894">
        <v>69200</v>
      </c>
      <c r="N76" s="2894">
        <v>296.79000000000002</v>
      </c>
      <c r="O76" s="2894">
        <v>2225.94</v>
      </c>
      <c r="P76" s="2894">
        <v>34.369999999999997</v>
      </c>
      <c r="Q76" s="2894" t="s">
        <v>3199</v>
      </c>
    </row>
    <row r="77" spans="1:17" hidden="1">
      <c r="A77" s="2894" t="s">
        <v>3349</v>
      </c>
      <c r="B77" s="2894" t="s">
        <v>3120</v>
      </c>
      <c r="C77" s="2894" t="s">
        <v>3121</v>
      </c>
      <c r="D77" s="2894" t="s">
        <v>3189</v>
      </c>
      <c r="E77" s="2894" t="s">
        <v>3040</v>
      </c>
      <c r="F77" s="2894">
        <v>20130050038000</v>
      </c>
      <c r="G77" s="2894">
        <v>73625</v>
      </c>
      <c r="H77" s="2894">
        <v>147250</v>
      </c>
      <c r="I77" s="2894" t="s">
        <v>3259</v>
      </c>
      <c r="J77" s="2894" t="s">
        <v>3348</v>
      </c>
      <c r="K77" s="2894" t="s">
        <v>3348</v>
      </c>
      <c r="L77" s="2894" t="s">
        <v>3350</v>
      </c>
      <c r="M77" s="2894">
        <v>25700</v>
      </c>
      <c r="N77" s="2894">
        <v>232.71</v>
      </c>
      <c r="O77" s="2894">
        <v>1745.32</v>
      </c>
      <c r="P77" s="2894">
        <v>29.15</v>
      </c>
      <c r="Q77" s="2894" t="s">
        <v>3199</v>
      </c>
    </row>
    <row r="78" spans="1:17">
      <c r="A78" s="2894" t="s">
        <v>3178</v>
      </c>
      <c r="B78" s="2894" t="s">
        <v>3120</v>
      </c>
      <c r="C78" s="2894" t="s">
        <v>3121</v>
      </c>
      <c r="D78" s="2894" t="s">
        <v>3122</v>
      </c>
      <c r="E78" s="2894" t="s">
        <v>3040</v>
      </c>
      <c r="F78" s="2894">
        <v>30090090013000</v>
      </c>
      <c r="G78" s="2894">
        <v>64790</v>
      </c>
      <c r="H78" s="2894">
        <v>116622</v>
      </c>
      <c r="I78" s="2894" t="s">
        <v>3179</v>
      </c>
      <c r="J78" s="2894" t="s">
        <v>3180</v>
      </c>
      <c r="K78" s="2894" t="s">
        <v>3180</v>
      </c>
      <c r="L78" s="2894" t="s">
        <v>3145</v>
      </c>
      <c r="M78" s="2894">
        <v>12900</v>
      </c>
      <c r="N78" s="2894">
        <v>132.74</v>
      </c>
      <c r="O78" s="2894">
        <v>1106.1400000000001</v>
      </c>
      <c r="P78" s="2894">
        <v>1.57</v>
      </c>
      <c r="Q78" s="2894" t="s">
        <v>3126</v>
      </c>
    </row>
    <row r="79" spans="1:17" hidden="1">
      <c r="A79" s="2894" t="s">
        <v>3351</v>
      </c>
      <c r="B79" s="2894" t="s">
        <v>3120</v>
      </c>
      <c r="C79" s="2894" t="s">
        <v>3121</v>
      </c>
      <c r="D79" s="2894" t="s">
        <v>3189</v>
      </c>
      <c r="E79" s="2894" t="s">
        <v>3040</v>
      </c>
      <c r="F79" s="2894">
        <v>30090060008000</v>
      </c>
      <c r="G79" s="2894">
        <v>82756</v>
      </c>
      <c r="H79" s="2894">
        <v>165512</v>
      </c>
      <c r="I79" s="2894" t="s">
        <v>3335</v>
      </c>
      <c r="J79" s="2894" t="s">
        <v>3180</v>
      </c>
      <c r="K79" s="2894" t="s">
        <v>3180</v>
      </c>
      <c r="L79" s="2894" t="s">
        <v>3145</v>
      </c>
      <c r="M79" s="2894">
        <v>16400</v>
      </c>
      <c r="N79" s="2894">
        <v>132.12</v>
      </c>
      <c r="O79" s="2894">
        <v>990.86</v>
      </c>
      <c r="P79" s="2894">
        <v>1.23</v>
      </c>
      <c r="Q79" s="2894" t="s">
        <v>3150</v>
      </c>
    </row>
    <row r="80" spans="1:17" hidden="1">
      <c r="A80" s="2894" t="s">
        <v>3352</v>
      </c>
      <c r="B80" s="2894" t="s">
        <v>3120</v>
      </c>
      <c r="C80" s="2894" t="s">
        <v>3121</v>
      </c>
      <c r="D80" s="2894" t="s">
        <v>3189</v>
      </c>
      <c r="E80" s="2894" t="s">
        <v>3040</v>
      </c>
      <c r="F80" s="2894">
        <v>30090060006000</v>
      </c>
      <c r="G80" s="2894">
        <v>90113</v>
      </c>
      <c r="H80" s="2894">
        <v>180226</v>
      </c>
      <c r="I80" s="2894" t="s">
        <v>3335</v>
      </c>
      <c r="J80" s="2894" t="s">
        <v>3180</v>
      </c>
      <c r="K80" s="2894" t="s">
        <v>3180</v>
      </c>
      <c r="L80" s="2894" t="s">
        <v>3145</v>
      </c>
      <c r="M80" s="2894">
        <v>17800</v>
      </c>
      <c r="N80" s="2894">
        <v>131.69</v>
      </c>
      <c r="O80" s="2894">
        <v>987.64</v>
      </c>
      <c r="P80" s="2894">
        <v>1.1399999999999999</v>
      </c>
      <c r="Q80" s="2894" t="s">
        <v>3131</v>
      </c>
    </row>
    <row r="81" spans="1:17" hidden="1">
      <c r="A81" s="2894" t="s">
        <v>3353</v>
      </c>
      <c r="B81" s="2894" t="s">
        <v>3120</v>
      </c>
      <c r="C81" s="2894" t="s">
        <v>3121</v>
      </c>
      <c r="D81" s="2894" t="s">
        <v>3189</v>
      </c>
      <c r="E81" s="2894" t="s">
        <v>3040</v>
      </c>
      <c r="F81" s="2894">
        <v>30090060007000</v>
      </c>
      <c r="G81" s="2894">
        <v>79196</v>
      </c>
      <c r="H81" s="2894">
        <v>158392</v>
      </c>
      <c r="I81" s="2894" t="s">
        <v>3335</v>
      </c>
      <c r="J81" s="2894" t="s">
        <v>3180</v>
      </c>
      <c r="K81" s="2894" t="s">
        <v>3180</v>
      </c>
      <c r="L81" s="2894" t="s">
        <v>3145</v>
      </c>
      <c r="M81" s="2894">
        <v>15700</v>
      </c>
      <c r="N81" s="2894">
        <v>132.16</v>
      </c>
      <c r="O81" s="2894">
        <v>991.21</v>
      </c>
      <c r="P81" s="2894">
        <v>1.29</v>
      </c>
      <c r="Q81" s="2894" t="s">
        <v>3131</v>
      </c>
    </row>
    <row r="82" spans="1:17" hidden="1">
      <c r="A82" s="2894" t="s">
        <v>3354</v>
      </c>
      <c r="B82" s="2894" t="s">
        <v>3120</v>
      </c>
      <c r="C82" s="2894" t="s">
        <v>3121</v>
      </c>
      <c r="D82" s="2894" t="s">
        <v>3189</v>
      </c>
      <c r="E82" s="2894" t="s">
        <v>3040</v>
      </c>
      <c r="F82" s="2894">
        <v>20090030086000</v>
      </c>
      <c r="G82" s="2894">
        <v>96923</v>
      </c>
      <c r="H82" s="2894">
        <v>193846</v>
      </c>
      <c r="I82" s="2894" t="s">
        <v>3134</v>
      </c>
      <c r="J82" s="2894" t="s">
        <v>3182</v>
      </c>
      <c r="K82" s="2894" t="s">
        <v>3182</v>
      </c>
      <c r="L82" s="2894" t="s">
        <v>3355</v>
      </c>
      <c r="M82" s="2894">
        <v>37000</v>
      </c>
      <c r="N82" s="2894">
        <v>254.5</v>
      </c>
      <c r="O82" s="2894">
        <v>1908.73</v>
      </c>
      <c r="P82" s="2894">
        <v>68.180000000000007</v>
      </c>
      <c r="Q82" s="2894" t="s">
        <v>3126</v>
      </c>
    </row>
    <row r="83" spans="1:17" hidden="1">
      <c r="A83" s="2894" t="s">
        <v>3356</v>
      </c>
      <c r="B83" s="2894" t="s">
        <v>3120</v>
      </c>
      <c r="C83" s="2894" t="s">
        <v>3121</v>
      </c>
      <c r="D83" s="2894" t="s">
        <v>3189</v>
      </c>
      <c r="E83" s="2894" t="s">
        <v>3040</v>
      </c>
      <c r="F83" s="2894">
        <v>20090060005000</v>
      </c>
      <c r="G83" s="2894">
        <v>59524</v>
      </c>
      <c r="H83" s="2894">
        <v>119048</v>
      </c>
      <c r="I83" s="2894" t="s">
        <v>3250</v>
      </c>
      <c r="J83" s="2894" t="s">
        <v>3182</v>
      </c>
      <c r="K83" s="2894" t="s">
        <v>3182</v>
      </c>
      <c r="L83" s="2894" t="s">
        <v>3330</v>
      </c>
      <c r="M83" s="2894">
        <v>21000</v>
      </c>
      <c r="N83" s="2894">
        <v>235.2</v>
      </c>
      <c r="O83" s="2894">
        <v>1763.99</v>
      </c>
      <c r="P83" s="2894">
        <v>55.56</v>
      </c>
      <c r="Q83" s="2894" t="s">
        <v>3126</v>
      </c>
    </row>
    <row r="84" spans="1:17" hidden="1">
      <c r="A84" s="2894" t="s">
        <v>3357</v>
      </c>
      <c r="B84" s="2894" t="s">
        <v>3120</v>
      </c>
      <c r="C84" s="2894" t="s">
        <v>3121</v>
      </c>
      <c r="D84" s="2894" t="s">
        <v>3189</v>
      </c>
      <c r="E84" s="2894" t="s">
        <v>3040</v>
      </c>
      <c r="F84" s="2894">
        <v>20090060004000</v>
      </c>
      <c r="G84" s="2894">
        <v>94319</v>
      </c>
      <c r="H84" s="2894">
        <v>188638</v>
      </c>
      <c r="I84" s="2894" t="s">
        <v>3250</v>
      </c>
      <c r="J84" s="2894" t="s">
        <v>3182</v>
      </c>
      <c r="K84" s="2894" t="s">
        <v>3182</v>
      </c>
      <c r="L84" s="2894" t="s">
        <v>3330</v>
      </c>
      <c r="M84" s="2894">
        <v>25500</v>
      </c>
      <c r="N84" s="2894">
        <v>180.24</v>
      </c>
      <c r="O84" s="2894">
        <v>1351.79</v>
      </c>
      <c r="P84" s="2894">
        <v>18.600000000000001</v>
      </c>
      <c r="Q84" s="2894" t="s">
        <v>3126</v>
      </c>
    </row>
    <row r="85" spans="1:17" hidden="1">
      <c r="A85" s="2894" t="s">
        <v>3358</v>
      </c>
      <c r="B85" s="2894" t="s">
        <v>3120</v>
      </c>
      <c r="C85" s="2894" t="s">
        <v>3121</v>
      </c>
      <c r="D85" s="2894" t="s">
        <v>3189</v>
      </c>
      <c r="E85" s="2894" t="s">
        <v>3040</v>
      </c>
      <c r="F85" s="2894">
        <v>20090020071000</v>
      </c>
      <c r="G85" s="2894">
        <v>112023</v>
      </c>
      <c r="H85" s="2894">
        <v>224046</v>
      </c>
      <c r="I85" s="2894" t="s">
        <v>3134</v>
      </c>
      <c r="J85" s="2894" t="s">
        <v>3182</v>
      </c>
      <c r="K85" s="2894" t="s">
        <v>3182</v>
      </c>
      <c r="L85" s="2894" t="s">
        <v>3359</v>
      </c>
      <c r="M85" s="2894">
        <v>39600</v>
      </c>
      <c r="N85" s="2894">
        <v>235.67</v>
      </c>
      <c r="O85" s="2894">
        <v>1767.49</v>
      </c>
      <c r="P85" s="2894">
        <v>55.29</v>
      </c>
      <c r="Q85" s="2894" t="s">
        <v>3126</v>
      </c>
    </row>
    <row r="86" spans="1:17" hidden="1">
      <c r="A86" s="2894" t="s">
        <v>3360</v>
      </c>
      <c r="B86" s="2894" t="s">
        <v>3120</v>
      </c>
      <c r="C86" s="2894" t="s">
        <v>3121</v>
      </c>
      <c r="D86" s="2894" t="s">
        <v>3189</v>
      </c>
      <c r="E86" s="2894" t="s">
        <v>3040</v>
      </c>
      <c r="F86" s="2894">
        <v>20090020070000</v>
      </c>
      <c r="G86" s="2894">
        <v>118620</v>
      </c>
      <c r="H86" s="2894">
        <v>237240</v>
      </c>
      <c r="I86" s="2894" t="s">
        <v>3134</v>
      </c>
      <c r="J86" s="2894" t="s">
        <v>3182</v>
      </c>
      <c r="K86" s="2894" t="s">
        <v>3182</v>
      </c>
      <c r="L86" s="2894" t="s">
        <v>3359</v>
      </c>
      <c r="M86" s="2894">
        <v>40400</v>
      </c>
      <c r="N86" s="2894">
        <v>227.06</v>
      </c>
      <c r="O86" s="2894">
        <v>1702.92</v>
      </c>
      <c r="P86" s="2894">
        <v>49.63</v>
      </c>
      <c r="Q86" s="2894" t="s">
        <v>3126</v>
      </c>
    </row>
    <row r="87" spans="1:17">
      <c r="A87" s="2894" t="s">
        <v>3181</v>
      </c>
      <c r="B87" s="2894" t="s">
        <v>3120</v>
      </c>
      <c r="C87" s="2894" t="s">
        <v>3121</v>
      </c>
      <c r="D87" s="2894" t="s">
        <v>3122</v>
      </c>
      <c r="E87" s="2894" t="s">
        <v>3040</v>
      </c>
      <c r="F87" s="2894">
        <v>31000030213000</v>
      </c>
      <c r="G87" s="2894">
        <v>70716</v>
      </c>
      <c r="H87" s="2894">
        <v>141432</v>
      </c>
      <c r="I87" s="2894" t="s">
        <v>3134</v>
      </c>
      <c r="J87" s="2894" t="s">
        <v>3182</v>
      </c>
      <c r="K87" s="2894" t="s">
        <v>3182</v>
      </c>
      <c r="L87" s="2894" t="s">
        <v>3183</v>
      </c>
      <c r="M87" s="2894">
        <v>39500</v>
      </c>
      <c r="N87" s="2894">
        <v>372.38</v>
      </c>
      <c r="O87" s="2894">
        <v>2792.86</v>
      </c>
      <c r="P87" s="2894">
        <v>68.09</v>
      </c>
      <c r="Q87" s="2894" t="s">
        <v>3126</v>
      </c>
    </row>
    <row r="88" spans="1:17">
      <c r="A88" s="2894" t="s">
        <v>3181</v>
      </c>
      <c r="B88" s="2894" t="s">
        <v>3120</v>
      </c>
      <c r="C88" s="2894" t="s">
        <v>3121</v>
      </c>
      <c r="D88" s="2894" t="s">
        <v>3122</v>
      </c>
      <c r="E88" s="2894" t="s">
        <v>3040</v>
      </c>
      <c r="F88" s="2894">
        <v>31000030214000</v>
      </c>
      <c r="G88" s="2894">
        <v>65301</v>
      </c>
      <c r="H88" s="2894">
        <v>130602</v>
      </c>
      <c r="I88" s="2894" t="s">
        <v>3134</v>
      </c>
      <c r="J88" s="2894" t="s">
        <v>3182</v>
      </c>
      <c r="K88" s="2894" t="s">
        <v>3182</v>
      </c>
      <c r="L88" s="2894" t="s">
        <v>3183</v>
      </c>
      <c r="M88" s="2894">
        <v>28600</v>
      </c>
      <c r="N88" s="2894">
        <v>291.98</v>
      </c>
      <c r="O88" s="2894">
        <v>2189.86</v>
      </c>
      <c r="P88" s="2894">
        <v>32.409999999999997</v>
      </c>
      <c r="Q88" s="2894" t="s">
        <v>3126</v>
      </c>
    </row>
    <row r="89" spans="1:17">
      <c r="A89" s="2894" t="s">
        <v>3181</v>
      </c>
      <c r="B89" s="2894" t="s">
        <v>3120</v>
      </c>
      <c r="C89" s="2894" t="s">
        <v>3121</v>
      </c>
      <c r="D89" s="2894" t="s">
        <v>3122</v>
      </c>
      <c r="E89" s="2894" t="s">
        <v>3040</v>
      </c>
      <c r="F89" s="2894">
        <v>31000030215000</v>
      </c>
      <c r="G89" s="2894">
        <v>58729</v>
      </c>
      <c r="H89" s="2894">
        <v>117458</v>
      </c>
      <c r="I89" s="2894" t="s">
        <v>3134</v>
      </c>
      <c r="J89" s="2894" t="s">
        <v>3182</v>
      </c>
      <c r="K89" s="2894" t="s">
        <v>3182</v>
      </c>
      <c r="L89" s="2894" t="s">
        <v>3183</v>
      </c>
      <c r="M89" s="2894">
        <v>24500</v>
      </c>
      <c r="N89" s="2894">
        <v>278.11</v>
      </c>
      <c r="O89" s="2894">
        <v>2085.84</v>
      </c>
      <c r="P89" s="2894">
        <v>25.64</v>
      </c>
      <c r="Q89" s="2894" t="s">
        <v>3126</v>
      </c>
    </row>
    <row r="90" spans="1:17" hidden="1">
      <c r="A90" s="2894" t="s">
        <v>3361</v>
      </c>
      <c r="B90" s="2894" t="s">
        <v>3120</v>
      </c>
      <c r="C90" s="2894" t="s">
        <v>3157</v>
      </c>
      <c r="D90" s="2894" t="s">
        <v>3189</v>
      </c>
      <c r="E90" s="2894" t="s">
        <v>3052</v>
      </c>
      <c r="F90" s="2894">
        <v>30110070034000</v>
      </c>
      <c r="G90" s="2894">
        <v>98553</v>
      </c>
      <c r="H90" s="2894">
        <v>197106</v>
      </c>
      <c r="I90" s="2894" t="s">
        <v>3362</v>
      </c>
      <c r="J90" s="2894" t="s">
        <v>3186</v>
      </c>
      <c r="K90" s="2894" t="s">
        <v>3186</v>
      </c>
      <c r="L90" s="2894" t="s">
        <v>3187</v>
      </c>
      <c r="M90" s="2894">
        <v>73000</v>
      </c>
      <c r="N90" s="2894">
        <v>493.81</v>
      </c>
      <c r="O90" s="2894">
        <v>3703.59</v>
      </c>
      <c r="P90" s="2894">
        <v>146.62</v>
      </c>
      <c r="Q90" s="2894" t="s">
        <v>3126</v>
      </c>
    </row>
    <row r="91" spans="1:17" hidden="1">
      <c r="A91" s="2894" t="s">
        <v>3363</v>
      </c>
      <c r="B91" s="2894" t="s">
        <v>3120</v>
      </c>
      <c r="C91" s="2894" t="s">
        <v>3157</v>
      </c>
      <c r="D91" s="2894" t="s">
        <v>3189</v>
      </c>
      <c r="E91" s="2894" t="s">
        <v>3052</v>
      </c>
      <c r="F91" s="2894">
        <v>20030010545000</v>
      </c>
      <c r="G91" s="2894">
        <v>75452</v>
      </c>
      <c r="H91" s="2894">
        <v>150904</v>
      </c>
      <c r="I91" s="2894" t="s">
        <v>3364</v>
      </c>
      <c r="J91" s="2894" t="s">
        <v>3186</v>
      </c>
      <c r="K91" s="2894" t="s">
        <v>3186</v>
      </c>
      <c r="L91" s="2894" t="s">
        <v>3365</v>
      </c>
      <c r="M91" s="2894">
        <v>30000</v>
      </c>
      <c r="N91" s="2894">
        <v>265.07</v>
      </c>
      <c r="O91" s="2894">
        <v>1988.01</v>
      </c>
      <c r="P91" s="2894">
        <v>120.59</v>
      </c>
      <c r="Q91" s="2894" t="s">
        <v>3199</v>
      </c>
    </row>
    <row r="92" spans="1:17">
      <c r="A92" s="2894" t="s">
        <v>3184</v>
      </c>
      <c r="B92" s="2894" t="s">
        <v>3120</v>
      </c>
      <c r="C92" s="2894" t="s">
        <v>3157</v>
      </c>
      <c r="D92" s="2894" t="s">
        <v>3122</v>
      </c>
      <c r="E92" s="2894" t="s">
        <v>3052</v>
      </c>
      <c r="F92" s="2894">
        <v>31000030217000</v>
      </c>
      <c r="G92" s="2894">
        <v>104409</v>
      </c>
      <c r="H92" s="2894">
        <v>208818</v>
      </c>
      <c r="I92" s="2894" t="s">
        <v>3185</v>
      </c>
      <c r="J92" s="2894" t="s">
        <v>3186</v>
      </c>
      <c r="K92" s="2894" t="s">
        <v>3186</v>
      </c>
      <c r="L92" s="2894" t="s">
        <v>3187</v>
      </c>
      <c r="M92" s="2894">
        <v>53500</v>
      </c>
      <c r="N92" s="2894">
        <v>341.61</v>
      </c>
      <c r="O92" s="2894">
        <v>2562.0300000000002</v>
      </c>
      <c r="P92" s="2894">
        <v>240.76</v>
      </c>
      <c r="Q92" s="2894" t="s">
        <v>3131</v>
      </c>
    </row>
    <row r="93" spans="1:17" s="3187" customFormat="1">
      <c r="A93" s="3196" t="s">
        <v>3366</v>
      </c>
      <c r="B93" s="3196" t="s">
        <v>3120</v>
      </c>
      <c r="C93" s="3196" t="s">
        <v>3121</v>
      </c>
      <c r="D93" s="3196" t="s">
        <v>3122</v>
      </c>
      <c r="E93" s="3196" t="s">
        <v>3040</v>
      </c>
      <c r="F93" s="3196">
        <v>30110080064000</v>
      </c>
      <c r="G93" s="3196">
        <v>71293</v>
      </c>
      <c r="H93" s="3196">
        <v>128327.4</v>
      </c>
      <c r="I93" s="3196" t="s">
        <v>3367</v>
      </c>
      <c r="J93" s="3196" t="s">
        <v>3368</v>
      </c>
      <c r="K93" s="3196" t="s">
        <v>3368</v>
      </c>
      <c r="L93" s="3196" t="s">
        <v>3369</v>
      </c>
      <c r="M93" s="3196">
        <v>45100</v>
      </c>
      <c r="N93" s="3196">
        <v>421.73</v>
      </c>
      <c r="O93" s="3196">
        <v>3514.44</v>
      </c>
      <c r="P93" s="3196">
        <v>110.75</v>
      </c>
      <c r="Q93" s="3196" t="s">
        <v>3150</v>
      </c>
    </row>
    <row r="94" spans="1:17">
      <c r="A94" s="2894" t="s">
        <v>3370</v>
      </c>
      <c r="B94" s="2894" t="s">
        <v>3120</v>
      </c>
      <c r="C94" s="2894" t="s">
        <v>3121</v>
      </c>
      <c r="D94" s="2894" t="s">
        <v>3122</v>
      </c>
      <c r="E94" s="2894" t="s">
        <v>3040</v>
      </c>
      <c r="F94" s="2894">
        <v>31000040413000</v>
      </c>
      <c r="G94" s="2894">
        <v>72123</v>
      </c>
      <c r="H94" s="2894">
        <v>144246</v>
      </c>
      <c r="I94" s="2894" t="s">
        <v>3335</v>
      </c>
      <c r="J94" s="2894" t="s">
        <v>3368</v>
      </c>
      <c r="K94" s="2894" t="s">
        <v>3368</v>
      </c>
      <c r="L94" s="2894" t="s">
        <v>3187</v>
      </c>
      <c r="M94" s="2894">
        <v>29200</v>
      </c>
      <c r="N94" s="2894">
        <v>269.91000000000003</v>
      </c>
      <c r="O94" s="2894">
        <v>2024.31</v>
      </c>
      <c r="P94" s="2894">
        <v>167.89</v>
      </c>
      <c r="Q94" s="2894" t="s">
        <v>3150</v>
      </c>
    </row>
    <row r="95" spans="1:17" hidden="1">
      <c r="A95" s="2894" t="s">
        <v>3371</v>
      </c>
      <c r="B95" s="2894" t="s">
        <v>3120</v>
      </c>
      <c r="C95" s="2894" t="s">
        <v>3121</v>
      </c>
      <c r="D95" s="2894" t="s">
        <v>3189</v>
      </c>
      <c r="E95" s="2894" t="s">
        <v>3040</v>
      </c>
      <c r="F95" s="2894">
        <v>20100060022000</v>
      </c>
      <c r="G95" s="2894">
        <v>122923</v>
      </c>
      <c r="H95" s="2894">
        <v>245846</v>
      </c>
      <c r="I95" s="2894" t="s">
        <v>3335</v>
      </c>
      <c r="J95" s="2894" t="s">
        <v>3368</v>
      </c>
      <c r="K95" s="2894" t="s">
        <v>3368</v>
      </c>
      <c r="L95" s="2894" t="s">
        <v>3372</v>
      </c>
      <c r="M95" s="2894">
        <v>50200</v>
      </c>
      <c r="N95" s="2894">
        <v>272.26</v>
      </c>
      <c r="O95" s="2894">
        <v>2041.93</v>
      </c>
      <c r="P95" s="2894">
        <v>126.13</v>
      </c>
      <c r="Q95" s="2894" t="s">
        <v>3199</v>
      </c>
    </row>
    <row r="98" spans="1:1">
      <c r="A98" s="3191" t="s">
        <v>3382</v>
      </c>
    </row>
  </sheetData>
  <autoFilter ref="A1:Q95" xr:uid="{1E55EC5D-7DEA-0043-B2B7-F25CB43C192D}">
    <filterColumn colId="3">
      <filters>
        <filter val="南谯区"/>
      </filters>
    </filterColumn>
    <sortState xmlns:xlrd2="http://schemas.microsoft.com/office/spreadsheetml/2017/richdata2" ref="A6:Q94">
      <sortCondition descending="1" ref="J1:J95"/>
    </sortState>
  </autoFilter>
  <phoneticPr fontId="227" type="noConversion"/>
  <hyperlinks>
    <hyperlink ref="A98" r:id="rId1" xr:uid="{53ECBD4D-162D-1640-BBA5-FD057F06600C}"/>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027BE-C838-DB46-95E5-7DE31B8029F0}">
  <sheetPr>
    <tabColor rgb="FFFFFF00"/>
  </sheetPr>
  <dimension ref="A1"/>
  <sheetViews>
    <sheetView workbookViewId="0"/>
  </sheetViews>
  <sheetFormatPr baseColWidth="10" defaultRowHeight="14"/>
  <sheetData/>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K22" sqref="K22"/>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customWidth="1"/>
    <col min="18" max="18" width="9.1640625" style="15" customWidth="1"/>
    <col min="19" max="28" width="10.83203125" style="15"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8">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
      <c r="A3" s="21">
        <f>面积表!F13</f>
        <v>63650</v>
      </c>
      <c r="B3" s="22">
        <f>IF(C3="否",G5-AT5,G5)</f>
        <v>237128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c r="A5" s="26" t="s">
        <v>168</v>
      </c>
      <c r="B5" s="989"/>
      <c r="C5" s="989"/>
      <c r="D5" s="996"/>
      <c r="E5" s="27" t="s">
        <v>1</v>
      </c>
      <c r="F5" s="27">
        <f>SUM(F13:F572)</f>
        <v>0</v>
      </c>
      <c r="G5" s="27">
        <f>SUM(G13:G572)</f>
        <v>237128</v>
      </c>
      <c r="H5" s="27">
        <f t="shared" ref="H5:AT5" si="0">SUM(H13:H641)</f>
        <v>234301</v>
      </c>
      <c r="I5" s="27">
        <f t="shared" si="0"/>
        <v>167543</v>
      </c>
      <c r="J5" s="27">
        <f t="shared" si="0"/>
        <v>0</v>
      </c>
      <c r="K5" s="27">
        <f t="shared" si="0"/>
        <v>0</v>
      </c>
      <c r="L5" s="27">
        <f t="shared" si="0"/>
        <v>0</v>
      </c>
      <c r="M5" s="27">
        <f t="shared" si="0"/>
        <v>0</v>
      </c>
      <c r="N5" s="27">
        <f t="shared" si="0"/>
        <v>0</v>
      </c>
      <c r="O5" s="27">
        <f t="shared" si="0"/>
        <v>0</v>
      </c>
      <c r="P5" s="27">
        <f t="shared" si="0"/>
        <v>0</v>
      </c>
      <c r="Q5" s="27">
        <f t="shared" si="0"/>
        <v>2633</v>
      </c>
      <c r="R5" s="27">
        <f t="shared" si="0"/>
        <v>0</v>
      </c>
      <c r="S5" s="27">
        <f t="shared" si="0"/>
        <v>0</v>
      </c>
      <c r="T5" s="27">
        <f t="shared" si="0"/>
        <v>0</v>
      </c>
      <c r="U5" s="27">
        <f t="shared" si="0"/>
        <v>64125</v>
      </c>
      <c r="V5" s="27">
        <f t="shared" si="0"/>
        <v>0</v>
      </c>
      <c r="W5" s="27">
        <f t="shared" si="0"/>
        <v>0</v>
      </c>
      <c r="X5" s="27">
        <f t="shared" si="0"/>
        <v>0</v>
      </c>
      <c r="Y5" s="27">
        <f t="shared" si="0"/>
        <v>0</v>
      </c>
      <c r="Z5" s="27">
        <f t="shared" si="0"/>
        <v>0</v>
      </c>
      <c r="AA5" s="27">
        <f t="shared" si="0"/>
        <v>0</v>
      </c>
      <c r="AB5" s="27">
        <f t="shared" si="0"/>
        <v>0</v>
      </c>
      <c r="AC5" s="27">
        <f t="shared" si="0"/>
        <v>2827</v>
      </c>
      <c r="AD5" s="27">
        <f t="shared" si="0"/>
        <v>0</v>
      </c>
      <c r="AE5" s="27">
        <f t="shared" si="0"/>
        <v>0</v>
      </c>
      <c r="AF5" s="27">
        <f t="shared" si="0"/>
        <v>0</v>
      </c>
      <c r="AG5" s="27">
        <f t="shared" si="0"/>
        <v>0</v>
      </c>
      <c r="AH5" s="27">
        <f t="shared" si="0"/>
        <v>0</v>
      </c>
      <c r="AI5" s="27">
        <f t="shared" si="0"/>
        <v>0</v>
      </c>
      <c r="AJ5" s="27">
        <f t="shared" si="0"/>
        <v>0</v>
      </c>
      <c r="AK5" s="27">
        <f t="shared" si="0"/>
        <v>0</v>
      </c>
      <c r="AL5" s="27">
        <f t="shared" si="0"/>
        <v>2827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237128</v>
      </c>
      <c r="BA5" s="29">
        <f t="shared" si="1"/>
        <v>234301</v>
      </c>
      <c r="BB5" s="29">
        <f t="shared" si="1"/>
        <v>167543</v>
      </c>
      <c r="BC5" s="29">
        <f t="shared" si="1"/>
        <v>0</v>
      </c>
      <c r="BD5" s="29">
        <f t="shared" si="1"/>
        <v>0</v>
      </c>
      <c r="BE5" s="29">
        <f t="shared" si="1"/>
        <v>0</v>
      </c>
      <c r="BF5" s="29">
        <f t="shared" si="1"/>
        <v>2633</v>
      </c>
      <c r="BG5" s="29">
        <f t="shared" si="1"/>
        <v>0</v>
      </c>
      <c r="BH5" s="29">
        <f t="shared" si="1"/>
        <v>64125</v>
      </c>
      <c r="BI5" s="29">
        <f t="shared" si="1"/>
        <v>0</v>
      </c>
      <c r="BJ5" s="29">
        <f t="shared" si="1"/>
        <v>0</v>
      </c>
      <c r="BK5" s="29">
        <f t="shared" si="1"/>
        <v>0</v>
      </c>
      <c r="BL5" s="29">
        <f t="shared" si="1"/>
        <v>2827</v>
      </c>
      <c r="BM5" s="29">
        <f t="shared" si="1"/>
        <v>0</v>
      </c>
      <c r="BN5" s="29">
        <f t="shared" si="1"/>
        <v>0</v>
      </c>
      <c r="BO5" s="29">
        <f t="shared" si="1"/>
        <v>0</v>
      </c>
      <c r="BP5" s="29">
        <f t="shared" si="1"/>
        <v>0</v>
      </c>
      <c r="BQ5" s="29">
        <f t="shared" si="1"/>
        <v>2827</v>
      </c>
      <c r="BR5" s="29">
        <f t="shared" si="1"/>
        <v>0</v>
      </c>
      <c r="BS5" s="29">
        <f t="shared" si="1"/>
        <v>0</v>
      </c>
      <c r="BT5" s="30">
        <f t="shared" si="1"/>
        <v>0</v>
      </c>
    </row>
    <row r="6" spans="1:72" s="37" customFormat="1">
      <c r="A6" s="26" t="s">
        <v>169</v>
      </c>
      <c r="B6" s="31"/>
      <c r="C6" s="31"/>
      <c r="D6" s="32"/>
      <c r="E6" s="27">
        <f>H6+AC6+AT6</f>
        <v>63649.99</v>
      </c>
      <c r="F6" s="27" t="s">
        <v>1</v>
      </c>
      <c r="G6" s="27" t="s">
        <v>2</v>
      </c>
      <c r="H6" s="33">
        <f>SUMIF(I$12:AB$12,"总值",I6:AB6)</f>
        <v>62891.17</v>
      </c>
      <c r="I6" s="27">
        <f t="shared" ref="I6:AB6" si="2">ROUND($A$3*I5/$B$3,2)</f>
        <v>44971.96</v>
      </c>
      <c r="J6" s="27">
        <f t="shared" si="2"/>
        <v>0</v>
      </c>
      <c r="K6" s="27">
        <f t="shared" si="2"/>
        <v>0</v>
      </c>
      <c r="L6" s="27">
        <f t="shared" si="2"/>
        <v>0</v>
      </c>
      <c r="M6" s="27">
        <f t="shared" si="2"/>
        <v>0</v>
      </c>
      <c r="N6" s="27">
        <f t="shared" si="2"/>
        <v>0</v>
      </c>
      <c r="O6" s="27">
        <f t="shared" si="2"/>
        <v>0</v>
      </c>
      <c r="P6" s="27">
        <f t="shared" si="2"/>
        <v>0</v>
      </c>
      <c r="Q6" s="27">
        <f t="shared" si="2"/>
        <v>706.75</v>
      </c>
      <c r="R6" s="27">
        <f t="shared" si="2"/>
        <v>0</v>
      </c>
      <c r="S6" s="27">
        <f t="shared" si="2"/>
        <v>0</v>
      </c>
      <c r="T6" s="27">
        <f t="shared" si="2"/>
        <v>0</v>
      </c>
      <c r="U6" s="27">
        <f t="shared" si="2"/>
        <v>17212.46</v>
      </c>
      <c r="V6" s="27">
        <f t="shared" si="2"/>
        <v>0</v>
      </c>
      <c r="W6" s="27">
        <f t="shared" si="2"/>
        <v>0</v>
      </c>
      <c r="X6" s="27">
        <f t="shared" si="2"/>
        <v>0</v>
      </c>
      <c r="Y6" s="27">
        <f t="shared" si="2"/>
        <v>0</v>
      </c>
      <c r="Z6" s="27">
        <f t="shared" si="2"/>
        <v>0</v>
      </c>
      <c r="AA6" s="27">
        <f t="shared" si="2"/>
        <v>0</v>
      </c>
      <c r="AB6" s="27">
        <f t="shared" si="2"/>
        <v>0</v>
      </c>
      <c r="AC6" s="33">
        <f>SUMIF(AD$12:AS$12,"总值",AD6:AS6)</f>
        <v>758.82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758.82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63650</v>
      </c>
      <c r="AZ6" s="27" t="s">
        <v>3</v>
      </c>
      <c r="BA6" s="27">
        <f>ROUND($AY$6*BA5/$AZ$5,2)</f>
        <v>62891.18</v>
      </c>
      <c r="BB6" s="27">
        <f>ROUND($AY$6*BB5/$AZ$5,2)</f>
        <v>44971.96</v>
      </c>
      <c r="BC6" s="27">
        <f t="shared" ref="BC6:BH6" si="4">ROUND($AY$6*BC5/$AZ$5,2)</f>
        <v>0</v>
      </c>
      <c r="BD6" s="27">
        <f t="shared" si="4"/>
        <v>0</v>
      </c>
      <c r="BE6" s="27">
        <f t="shared" si="4"/>
        <v>0</v>
      </c>
      <c r="BF6" s="27">
        <f t="shared" si="4"/>
        <v>706.75</v>
      </c>
      <c r="BG6" s="27">
        <f t="shared" si="4"/>
        <v>0</v>
      </c>
      <c r="BH6" s="27">
        <f t="shared" si="4"/>
        <v>17212.46</v>
      </c>
      <c r="BI6" s="27">
        <f t="shared" ref="BI6:BT6" si="5">ROUND($AY$6*BI5/$AZ$5,2)</f>
        <v>0</v>
      </c>
      <c r="BJ6" s="27">
        <f t="shared" si="5"/>
        <v>0</v>
      </c>
      <c r="BK6" s="27">
        <f t="shared" si="5"/>
        <v>0</v>
      </c>
      <c r="BL6" s="27">
        <f t="shared" si="5"/>
        <v>758.82</v>
      </c>
      <c r="BM6" s="27">
        <f t="shared" si="5"/>
        <v>0</v>
      </c>
      <c r="BN6" s="27">
        <f t="shared" si="5"/>
        <v>0</v>
      </c>
      <c r="BO6" s="27">
        <f t="shared" si="5"/>
        <v>0</v>
      </c>
      <c r="BP6" s="27">
        <f t="shared" si="5"/>
        <v>0</v>
      </c>
      <c r="BQ6" s="27">
        <f t="shared" si="5"/>
        <v>758.82</v>
      </c>
      <c r="BR6" s="27">
        <f t="shared" si="5"/>
        <v>0</v>
      </c>
      <c r="BS6" s="27">
        <f t="shared" si="5"/>
        <v>0</v>
      </c>
      <c r="BT6" s="36">
        <f t="shared" si="5"/>
        <v>0</v>
      </c>
    </row>
    <row r="7" spans="1:72" s="18" customFormat="1" ht="28">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8">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70" t="s">
        <v>3061</v>
      </c>
      <c r="J9" s="51"/>
      <c r="K9" s="2970" t="s">
        <v>3061</v>
      </c>
      <c r="L9" s="51"/>
      <c r="M9" s="2970" t="s">
        <v>3061</v>
      </c>
      <c r="N9" s="51"/>
      <c r="O9" s="59" t="s">
        <v>3061</v>
      </c>
      <c r="P9" s="51"/>
      <c r="Q9" s="59" t="s">
        <v>3061</v>
      </c>
      <c r="R9" s="51"/>
      <c r="S9" s="59" t="s">
        <v>3067</v>
      </c>
      <c r="T9" s="51"/>
      <c r="U9" s="59" t="s">
        <v>3067</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c r="A10" s="45"/>
      <c r="B10" s="45"/>
      <c r="C10" s="45"/>
      <c r="D10" s="45"/>
      <c r="E10" s="45"/>
      <c r="F10" s="45"/>
      <c r="G10" s="55"/>
      <c r="H10" s="62"/>
      <c r="I10" s="2970" t="s">
        <v>923</v>
      </c>
      <c r="J10" s="51"/>
      <c r="K10" s="2970" t="s">
        <v>923</v>
      </c>
      <c r="L10" s="51"/>
      <c r="M10" s="2970" t="s">
        <v>923</v>
      </c>
      <c r="N10" s="51"/>
      <c r="O10" s="66" t="s">
        <v>2999</v>
      </c>
      <c r="P10" s="51"/>
      <c r="Q10" s="66" t="s">
        <v>2999</v>
      </c>
      <c r="R10" s="51"/>
      <c r="S10" s="66" t="s">
        <v>2999</v>
      </c>
      <c r="T10" s="51"/>
      <c r="U10" s="66" t="s">
        <v>3068</v>
      </c>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c r="A11" s="45"/>
      <c r="B11" s="45"/>
      <c r="C11" s="45"/>
      <c r="D11" s="45"/>
      <c r="E11" s="45"/>
      <c r="F11" s="45"/>
      <c r="G11" s="55"/>
      <c r="H11" s="67"/>
      <c r="I11" s="2971" t="s">
        <v>3062</v>
      </c>
      <c r="J11" s="71"/>
      <c r="K11" s="2971" t="s">
        <v>3063</v>
      </c>
      <c r="L11" s="71"/>
      <c r="M11" s="2971" t="s">
        <v>3064</v>
      </c>
      <c r="N11" s="71"/>
      <c r="O11" s="70" t="s">
        <v>3065</v>
      </c>
      <c r="P11" s="71"/>
      <c r="Q11" s="70" t="s">
        <v>3066</v>
      </c>
      <c r="R11" s="71"/>
      <c r="S11" s="70" t="s">
        <v>3065</v>
      </c>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商业</v>
      </c>
      <c r="BF11" s="50" t="str">
        <f>Q10</f>
        <v>商业</v>
      </c>
      <c r="BG11" s="50" t="str">
        <f>S10</f>
        <v>商业</v>
      </c>
      <c r="BH11" s="50" t="str">
        <f>U10</f>
        <v>车库</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洋房</v>
      </c>
      <c r="BD12" s="79" t="str">
        <f>M11</f>
        <v>叠拼</v>
      </c>
      <c r="BE12" s="50" t="str">
        <f>O11</f>
        <v>独立商业</v>
      </c>
      <c r="BF12" s="50" t="str">
        <f>Q11</f>
        <v>商业街</v>
      </c>
      <c r="BG12" s="50" t="str">
        <f>S11</f>
        <v>独立商业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c r="A13" s="2965"/>
      <c r="B13" s="2965"/>
      <c r="C13" s="2965"/>
      <c r="D13" s="2966" t="s">
        <v>1678</v>
      </c>
      <c r="E13" s="27">
        <f t="shared" ref="E13:E20" si="6">IF($C$3="是",ROUND($A$3*G13/$B$3,2),ROUND($A$3*(G13-AT13)/$B$3,2))</f>
        <v>63650</v>
      </c>
      <c r="F13" s="81"/>
      <c r="G13" s="82">
        <f t="shared" ref="G13:G20" si="7">H13+AC13+AT13</f>
        <v>237128</v>
      </c>
      <c r="H13" s="33">
        <f t="shared" ref="H13:H20" si="8">SUMIF(I$12:AB$12,"总值",I13:AB13)</f>
        <v>234301</v>
      </c>
      <c r="I13" s="2969">
        <f>面积表!F19</f>
        <v>167543</v>
      </c>
      <c r="J13" s="2969"/>
      <c r="K13" s="2969"/>
      <c r="L13" s="2969"/>
      <c r="M13" s="2969"/>
      <c r="N13" s="83"/>
      <c r="O13" s="83"/>
      <c r="P13" s="83"/>
      <c r="Q13" s="83">
        <f>面积表!F23</f>
        <v>2633</v>
      </c>
      <c r="R13" s="83"/>
      <c r="S13" s="83"/>
      <c r="T13" s="83"/>
      <c r="U13" s="83">
        <f>面积表!F32</f>
        <v>64125</v>
      </c>
      <c r="V13" s="83"/>
      <c r="W13" s="83"/>
      <c r="X13" s="83"/>
      <c r="Y13" s="83"/>
      <c r="Z13" s="83"/>
      <c r="AA13" s="83"/>
      <c r="AB13" s="83"/>
      <c r="AC13" s="27">
        <f t="shared" ref="AC13:AC20" si="9">SUMIF(AD$12:AS$12,"总值",AD13:AS13)</f>
        <v>2827</v>
      </c>
      <c r="AD13" s="2972"/>
      <c r="AE13" s="2972"/>
      <c r="AF13" s="2972"/>
      <c r="AG13" s="2972"/>
      <c r="AH13" s="2972"/>
      <c r="AI13" s="2972"/>
      <c r="AJ13" s="2972"/>
      <c r="AK13" s="2972"/>
      <c r="AL13" s="2972">
        <f>面积表!F25</f>
        <v>2827</v>
      </c>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63650</v>
      </c>
      <c r="AZ13" s="27">
        <f t="shared" ref="AZ13:AZ20" si="12">BA13+BL13</f>
        <v>237128</v>
      </c>
      <c r="BA13" s="27">
        <f t="shared" ref="BA13:BA20" si="13">SUM(BB13:BK13)</f>
        <v>234301</v>
      </c>
      <c r="BB13" s="27">
        <f t="shared" ref="BB13:BB20" si="14">IF($D13="是",I13-J13,0)</f>
        <v>167543</v>
      </c>
      <c r="BC13" s="27">
        <f t="shared" ref="BC13:BC20" si="15">IF($D13="是",K13-L13,0)</f>
        <v>0</v>
      </c>
      <c r="BD13" s="27">
        <f t="shared" ref="BD13:BD20" si="16">IF($D13="是",M13-N13,0)</f>
        <v>0</v>
      </c>
      <c r="BE13" s="27">
        <f t="shared" ref="BE13:BE20" si="17">IF($D13="是",O13-P13,0)</f>
        <v>0</v>
      </c>
      <c r="BF13" s="27">
        <f t="shared" ref="BF13:BF20" si="18">IF($D13="是",Q13-R13,0)</f>
        <v>2633</v>
      </c>
      <c r="BG13" s="27">
        <f t="shared" ref="BG13:BG20" si="19">IF($D13="是",S13-T13,0)</f>
        <v>0</v>
      </c>
      <c r="BH13" s="27">
        <f t="shared" ref="BH13:BH20" si="20">IF($D13="是",U13-V13,0)</f>
        <v>64125</v>
      </c>
      <c r="BI13" s="27">
        <f t="shared" ref="BI13:BI20" si="21">IF($D13="是",W13-X13,0)</f>
        <v>0</v>
      </c>
      <c r="BJ13" s="27">
        <f t="shared" ref="BJ13:BJ20" si="22">IF($D13="是",Y13-Z13,0)</f>
        <v>0</v>
      </c>
      <c r="BK13" s="27">
        <f t="shared" ref="BK13:BK20" si="23">IF($D13="是",AA13-AB13,0)</f>
        <v>0</v>
      </c>
      <c r="BL13" s="27">
        <f t="shared" ref="BL13:BL20" si="24">SUM(BM13:BT13)</f>
        <v>2827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2827</v>
      </c>
      <c r="BR13" s="27">
        <f t="shared" ref="BR13:BR20" si="30">IF($D13="是",AN13-AO13,0)</f>
        <v>0</v>
      </c>
      <c r="BS13" s="27">
        <f t="shared" ref="BS13:BS20" si="31">IF($D13="是",AP13-AQ13,0)</f>
        <v>0</v>
      </c>
      <c r="BT13" s="36">
        <f t="shared" ref="BT13:BT20" si="32">IF($D13="是",AR13-AS13,0)</f>
        <v>0</v>
      </c>
    </row>
    <row r="14" spans="1:72" s="18" customFormat="1" ht="13">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6">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34">
      <c r="A3" s="3281"/>
      <c r="B3" s="3281"/>
      <c r="C3" s="3281"/>
      <c r="D3" s="3282"/>
      <c r="E3" s="3282"/>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H34" sqref="H34"/>
    </sheetView>
  </sheetViews>
  <sheetFormatPr baseColWidth="10" defaultColWidth="9.1640625" defaultRowHeight="14"/>
  <cols>
    <col min="1" max="1" width="8.1640625" style="1969" customWidth="1"/>
    <col min="2" max="2" width="10.1640625" style="1969" customWidth="1"/>
    <col min="3" max="3" width="18.5" style="1969" customWidth="1"/>
    <col min="4" max="4" width="11.1640625" style="1969" customWidth="1"/>
    <col min="5" max="5" width="13.33203125" style="1969" customWidth="1"/>
    <col min="6" max="8" width="11.5" style="1969" customWidth="1"/>
    <col min="9" max="9" width="10.33203125" style="1969" customWidth="1"/>
    <col min="10" max="10" width="3.1640625" style="1969" customWidth="1"/>
    <col min="11" max="16" width="11.6640625" style="1969" customWidth="1"/>
    <col min="17" max="17" width="3.33203125" style="1969" customWidth="1"/>
    <col min="18" max="16384" width="9.1640625" style="1969"/>
  </cols>
  <sheetData>
    <row r="1" spans="1:16" ht="18">
      <c r="A1" s="104" t="s">
        <v>202</v>
      </c>
      <c r="B1" s="1968"/>
      <c r="C1" s="1968"/>
      <c r="D1" s="1968"/>
      <c r="E1" s="1968"/>
      <c r="F1" s="1968"/>
      <c r="G1" s="1968"/>
      <c r="H1" s="1968"/>
      <c r="I1" s="1968"/>
      <c r="J1" s="1968"/>
      <c r="K1" s="1968"/>
      <c r="L1" s="1968"/>
    </row>
    <row r="2" spans="1:16">
      <c r="A2" s="3292" t="s">
        <v>203</v>
      </c>
      <c r="B2" s="3292"/>
      <c r="C2" s="3292"/>
      <c r="D2" s="1959" t="s">
        <v>204</v>
      </c>
      <c r="E2" s="106" t="s">
        <v>205</v>
      </c>
      <c r="F2" s="1968"/>
      <c r="G2" s="1194"/>
      <c r="H2" s="1195"/>
      <c r="I2" s="1196" t="s">
        <v>857</v>
      </c>
      <c r="J2" s="1968"/>
      <c r="K2" s="1968"/>
      <c r="L2" s="1968"/>
    </row>
    <row r="3" spans="1:16" ht="15" thickBot="1">
      <c r="A3" s="3293" t="s">
        <v>206</v>
      </c>
      <c r="B3" s="3293"/>
      <c r="C3" s="3293"/>
      <c r="D3" s="107">
        <f>'数据-基础表'!AY6</f>
        <v>63650</v>
      </c>
      <c r="E3" s="107">
        <f>'数据-基础表'!AZ5</f>
        <v>237128</v>
      </c>
      <c r="F3" s="1968"/>
      <c r="G3" s="280" t="s">
        <v>858</v>
      </c>
      <c r="H3" s="275" t="s">
        <v>859</v>
      </c>
      <c r="I3" s="1960">
        <f>ROUND('数据-基础表'!B3/'数据-基础表'!A3,2)</f>
        <v>3.73</v>
      </c>
      <c r="J3" s="1968"/>
      <c r="K3" s="1968"/>
      <c r="L3" s="1968"/>
    </row>
    <row r="4" spans="1:16">
      <c r="A4" s="3294"/>
      <c r="B4" s="3295"/>
      <c r="C4" s="3296"/>
      <c r="D4" s="108" t="s">
        <v>204</v>
      </c>
      <c r="E4" s="109" t="s">
        <v>205</v>
      </c>
      <c r="F4" s="1968"/>
      <c r="G4" s="1197"/>
      <c r="H4" s="275" t="s">
        <v>860</v>
      </c>
      <c r="I4" s="1960">
        <f>ROUND(SUMIF('数据-基础表'!I9:AS9,"地上",'数据-基础表'!I5:AS5)/'数据-基础表'!A3,2)</f>
        <v>2.72</v>
      </c>
      <c r="J4" s="1968"/>
      <c r="K4" s="1968"/>
      <c r="L4" s="1968"/>
    </row>
    <row r="5" spans="1:16">
      <c r="A5" s="110" t="s">
        <v>207</v>
      </c>
      <c r="B5" s="3297" t="s">
        <v>230</v>
      </c>
      <c r="C5" s="3297"/>
      <c r="D5" s="111">
        <f>ROUND($D$3*E5/$E$3,2)</f>
        <v>44971.96</v>
      </c>
      <c r="E5" s="112">
        <f>SUMIF('数据-基础表'!$11:$11,"住宅",'数据-基础表'!$5:$5)</f>
        <v>167543</v>
      </c>
      <c r="F5" s="1968"/>
      <c r="G5" s="280" t="s">
        <v>861</v>
      </c>
      <c r="H5" s="275" t="s">
        <v>859</v>
      </c>
      <c r="I5" s="1960">
        <f>ROUND(E31/D31,2)</f>
        <v>3.73</v>
      </c>
      <c r="J5" s="1968"/>
      <c r="K5" s="1968"/>
      <c r="L5" s="1968"/>
    </row>
    <row r="6" spans="1:16" ht="15" thickBot="1">
      <c r="A6" s="113"/>
      <c r="B6" s="3297" t="s">
        <v>208</v>
      </c>
      <c r="C6" s="3297"/>
      <c r="D6" s="111">
        <f>ROUND($D$3*E6/$E$3,2)</f>
        <v>18678.04</v>
      </c>
      <c r="E6" s="112">
        <f>E3-E5</f>
        <v>69585</v>
      </c>
      <c r="F6" s="1968"/>
      <c r="G6" s="1197"/>
      <c r="H6" s="275" t="s">
        <v>860</v>
      </c>
      <c r="I6" s="1960">
        <f>ROUND(F31/D31,2)</f>
        <v>2.72</v>
      </c>
      <c r="J6" s="1968"/>
      <c r="K6" s="1968"/>
      <c r="L6" s="1968"/>
    </row>
    <row r="7" spans="1:16">
      <c r="A7" s="3289"/>
      <c r="B7" s="3290"/>
      <c r="C7" s="3291"/>
      <c r="D7" s="108" t="s">
        <v>204</v>
      </c>
      <c r="E7" s="114" t="s">
        <v>231</v>
      </c>
      <c r="F7" s="1968"/>
      <c r="G7" s="1152" t="s">
        <v>1645</v>
      </c>
      <c r="H7" s="1153"/>
      <c r="I7" s="1830"/>
      <c r="J7" s="1968"/>
      <c r="K7" s="1968"/>
      <c r="L7" s="1968"/>
    </row>
    <row r="8" spans="1:16">
      <c r="A8" s="110" t="s">
        <v>209</v>
      </c>
      <c r="B8" s="115" t="s">
        <v>210</v>
      </c>
      <c r="C8" s="111" t="s">
        <v>211</v>
      </c>
      <c r="D8" s="111">
        <f t="shared" ref="D8:D15" si="0">ROUND($D$3*E8/$E$3,2)</f>
        <v>45678.720000000001</v>
      </c>
      <c r="E8" s="116">
        <f>SUMIF('数据-基础表'!BB10:BK10,"地上",'数据-基础表'!BB5:BK5)</f>
        <v>170176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17212.46</v>
      </c>
      <c r="E13" s="116">
        <f>SUMPRODUCT(('数据-基础表'!BB10:BK10="地下")*('数据-基础表'!BB11:BK11="车库")*('数据-基础表'!BB5:BK5))</f>
        <v>64125</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62891.18</v>
      </c>
      <c r="E16" s="120">
        <f>SUM(E8:E15)</f>
        <v>234301</v>
      </c>
      <c r="F16" s="1968"/>
      <c r="G16" s="1970"/>
      <c r="H16" s="968" t="s">
        <v>219</v>
      </c>
      <c r="I16" s="969"/>
      <c r="J16" s="1968"/>
      <c r="K16" s="3283" t="s">
        <v>2564</v>
      </c>
      <c r="L16" s="3284"/>
      <c r="M16" s="3284"/>
      <c r="N16" s="3284"/>
      <c r="O16" s="3284"/>
      <c r="P16" s="3285"/>
    </row>
    <row r="17" spans="1:19">
      <c r="A17" s="121" t="s">
        <v>216</v>
      </c>
      <c r="B17" s="122" t="s">
        <v>217</v>
      </c>
      <c r="C17" s="2282" t="s">
        <v>2311</v>
      </c>
      <c r="D17" s="108" t="s">
        <v>204</v>
      </c>
      <c r="E17" s="124" t="s">
        <v>205</v>
      </c>
      <c r="F17" s="125"/>
      <c r="G17" s="1361"/>
      <c r="H17" s="970" t="s">
        <v>218</v>
      </c>
      <c r="I17" s="971" t="s">
        <v>2310</v>
      </c>
      <c r="J17" s="1968"/>
      <c r="K17" s="3286" t="s">
        <v>2565</v>
      </c>
      <c r="L17" s="3287"/>
      <c r="M17" s="3288"/>
      <c r="N17" s="3286" t="s">
        <v>2566</v>
      </c>
      <c r="O17" s="3287"/>
      <c r="P17" s="3288"/>
      <c r="R17" s="2283" t="s">
        <v>2309</v>
      </c>
      <c r="S17" s="144"/>
    </row>
    <row r="18" spans="1:19">
      <c r="A18" s="117"/>
      <c r="B18" s="128"/>
      <c r="C18" s="129"/>
      <c r="D18" s="2605"/>
      <c r="E18" s="130" t="s">
        <v>220</v>
      </c>
      <c r="F18" s="131" t="s">
        <v>221</v>
      </c>
      <c r="G18" s="1362"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5" t="s">
        <v>3070</v>
      </c>
      <c r="D19" s="111">
        <f t="shared" ref="D19:D26" si="1">ROUND($D$3*E19/$E$3,2)</f>
        <v>44971.96</v>
      </c>
      <c r="E19" s="134">
        <f t="shared" ref="E19:E26" si="2">SUM(F19:G19)</f>
        <v>167543</v>
      </c>
      <c r="F19" s="135">
        <f>'数据-基础表'!I13</f>
        <v>167543</v>
      </c>
      <c r="G19" s="1363"/>
      <c r="H19" s="974">
        <f>ROUND($D$3*I19/$E$3,2)</f>
        <v>542.62</v>
      </c>
      <c r="I19" s="116">
        <f>IF($I$17="自定义",P19,M19)</f>
        <v>2021.52</v>
      </c>
      <c r="J19" s="1968"/>
      <c r="K19" s="2571">
        <f t="shared" ref="K19:K26" si="3">ROUND(E$28*E19/E$27,2)</f>
        <v>2021.52</v>
      </c>
      <c r="L19" s="275">
        <f t="shared" ref="L19:L26" si="4">ROUND(IF(COUNTIF(C19,"*住宅*")&gt;0,E$29*E19/E$32,0),2)</f>
        <v>0</v>
      </c>
      <c r="M19" s="2572">
        <f>K19+L19</f>
        <v>2021.52</v>
      </c>
      <c r="N19" s="2573"/>
      <c r="O19" s="2574"/>
      <c r="P19" s="2575">
        <f>N19+O19</f>
        <v>0</v>
      </c>
      <c r="R19" s="275">
        <f t="shared" ref="R19:S26" si="5">D19+H19</f>
        <v>45514.58</v>
      </c>
      <c r="S19" s="2285">
        <f t="shared" si="5"/>
        <v>169564.52</v>
      </c>
    </row>
    <row r="20" spans="1:19">
      <c r="A20" s="138"/>
      <c r="B20" s="115" t="s">
        <v>226</v>
      </c>
      <c r="C20" s="2975" t="s">
        <v>3071</v>
      </c>
      <c r="D20" s="111">
        <f t="shared" si="1"/>
        <v>0</v>
      </c>
      <c r="E20" s="134">
        <f t="shared" si="2"/>
        <v>0</v>
      </c>
      <c r="F20" s="135">
        <f>'数据-基础表'!K13</f>
        <v>0</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t="s">
        <v>3073</v>
      </c>
      <c r="D21" s="111">
        <f t="shared" si="1"/>
        <v>0</v>
      </c>
      <c r="E21" s="134">
        <f t="shared" si="2"/>
        <v>0</v>
      </c>
      <c r="F21" s="135">
        <f>'数据-基础表'!M13</f>
        <v>0</v>
      </c>
      <c r="G21" s="1363"/>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3192" t="s">
        <v>3075</v>
      </c>
      <c r="D22" s="111">
        <f t="shared" si="1"/>
        <v>0</v>
      </c>
      <c r="E22" s="134">
        <f t="shared" si="2"/>
        <v>0</v>
      </c>
      <c r="F22" s="140">
        <f>'数据-基础表'!O13</f>
        <v>0</v>
      </c>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t="s">
        <v>3077</v>
      </c>
      <c r="D23" s="111">
        <f>ROUND($D$3*E23/$E$3,2)</f>
        <v>706.75</v>
      </c>
      <c r="E23" s="134">
        <f>SUM(F23:G23)</f>
        <v>2633</v>
      </c>
      <c r="F23" s="140">
        <f>'数据-基础表'!Q13</f>
        <v>2633</v>
      </c>
      <c r="G23" s="1364"/>
      <c r="H23" s="974">
        <f>ROUND($D$3*I23/$E$3,2)</f>
        <v>8.5299999999999994</v>
      </c>
      <c r="I23" s="116">
        <f t="shared" si="7"/>
        <v>31.77</v>
      </c>
      <c r="J23" s="1968"/>
      <c r="K23" s="2571">
        <f t="shared" si="3"/>
        <v>31.77</v>
      </c>
      <c r="L23" s="275">
        <f t="shared" si="4"/>
        <v>0</v>
      </c>
      <c r="M23" s="2572">
        <f t="shared" si="8"/>
        <v>31.77</v>
      </c>
      <c r="N23" s="2573"/>
      <c r="O23" s="2574"/>
      <c r="P23" s="2575">
        <f t="shared" si="9"/>
        <v>0</v>
      </c>
      <c r="R23" s="275">
        <f t="shared" si="5"/>
        <v>715.28</v>
      </c>
      <c r="S23" s="2285">
        <f t="shared" si="5"/>
        <v>2664.77</v>
      </c>
    </row>
    <row r="24" spans="1:19">
      <c r="A24" s="138"/>
      <c r="B24" s="115" t="s">
        <v>226</v>
      </c>
      <c r="C24" s="139" t="s">
        <v>3079</v>
      </c>
      <c r="D24" s="111">
        <f>ROUND($D$3*E24/$E$3,2)</f>
        <v>0</v>
      </c>
      <c r="E24" s="134">
        <f>SUM(F24:G24)</f>
        <v>0</v>
      </c>
      <c r="F24" s="140"/>
      <c r="G24" s="1364">
        <f>'数据-基础表'!S13</f>
        <v>0</v>
      </c>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t="s">
        <v>3080</v>
      </c>
      <c r="D25" s="111">
        <f t="shared" si="1"/>
        <v>17212.46</v>
      </c>
      <c r="E25" s="134">
        <f t="shared" si="2"/>
        <v>64125</v>
      </c>
      <c r="F25" s="140"/>
      <c r="G25" s="1364">
        <f>'数据-基础表'!U13</f>
        <v>64125</v>
      </c>
      <c r="H25" s="110">
        <f t="shared" si="6"/>
        <v>207.68</v>
      </c>
      <c r="I25" s="116">
        <f t="shared" si="7"/>
        <v>773.71</v>
      </c>
      <c r="J25" s="1968"/>
      <c r="K25" s="2571">
        <f t="shared" si="3"/>
        <v>773.71</v>
      </c>
      <c r="L25" s="275">
        <f t="shared" si="4"/>
        <v>0</v>
      </c>
      <c r="M25" s="2572">
        <f t="shared" si="8"/>
        <v>773.71</v>
      </c>
      <c r="N25" s="2573"/>
      <c r="O25" s="2574"/>
      <c r="P25" s="2575">
        <f t="shared" si="9"/>
        <v>0</v>
      </c>
      <c r="R25" s="275">
        <f t="shared" si="5"/>
        <v>17420.14</v>
      </c>
      <c r="S25" s="2285">
        <f t="shared" si="5"/>
        <v>64898.71</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62891.17</v>
      </c>
      <c r="E27" s="143">
        <f>IF(SUM(E19:E26)='数据-基础表'!BA5,SUM(E19:E26),IF(F27="地上面积有误","面积有误","地下面积有误"))</f>
        <v>234301</v>
      </c>
      <c r="F27" s="134">
        <f>IF(SUM(F19:F26)=E8,SUM(F19:F26),"地上面积有误")</f>
        <v>170176</v>
      </c>
      <c r="G27" s="112">
        <f>SUM(G19:G26)</f>
        <v>64125</v>
      </c>
      <c r="H27" s="975">
        <f>SUM(H19:H26)</f>
        <v>758.82999999999993</v>
      </c>
      <c r="I27" s="976">
        <f>SUM(I19:I26)</f>
        <v>2827</v>
      </c>
      <c r="J27" s="1968"/>
      <c r="K27" s="2580">
        <f>SUM(K19:K26)</f>
        <v>2827</v>
      </c>
      <c r="L27" s="2581">
        <f>SUM(L19:L26)</f>
        <v>0</v>
      </c>
      <c r="M27" s="2582">
        <f>SUM(M19:M26)</f>
        <v>2827</v>
      </c>
      <c r="N27" s="2580">
        <f t="shared" ref="N27:O27" si="10">SUM(N19:N26)</f>
        <v>0</v>
      </c>
      <c r="O27" s="2581">
        <f t="shared" si="10"/>
        <v>0</v>
      </c>
      <c r="P27" s="2583">
        <f>SUM(P19:P26)</f>
        <v>0</v>
      </c>
      <c r="R27" s="2289">
        <f>IF(SUM(R19:R26)=$D$3,SUM(R19:R26),SUM(R19:R26)&amp;"误差"&amp;ROUND(SUM(R19:R26)-$D$3,2))</f>
        <v>63650</v>
      </c>
      <c r="S27" s="275">
        <f>IF(SUM(S19:S26)=$E$3,SUM(S19:S26),SUM(S19:S26)&amp;"误差"&amp;ROUND(SUM(S19:S26)-E3,2))</f>
        <v>237127.99999999997</v>
      </c>
    </row>
    <row r="28" spans="1:19">
      <c r="A28" s="138"/>
      <c r="B28" s="115" t="s">
        <v>227</v>
      </c>
      <c r="C28" s="136" t="s">
        <v>228</v>
      </c>
      <c r="D28" s="111">
        <f>ROUND($D$3*E28/$E$3,2)</f>
        <v>758.82</v>
      </c>
      <c r="E28" s="134">
        <f>SUM(F28:G28)</f>
        <v>2827</v>
      </c>
      <c r="F28" s="144">
        <f>'数据-基础表'!BQ5+'数据-基础表'!BS5</f>
        <v>2827</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758.82</v>
      </c>
      <c r="E30" s="134">
        <f>SUM(E28:E29)</f>
        <v>2827</v>
      </c>
      <c r="F30" s="134">
        <f>SUM(F28:F29)</f>
        <v>2827</v>
      </c>
      <c r="G30" s="112">
        <f>SUM(G28:G29)</f>
        <v>0</v>
      </c>
      <c r="H30" s="1968"/>
      <c r="I30" s="1968"/>
      <c r="J30" s="1968"/>
      <c r="K30" s="1968"/>
      <c r="L30" s="1968"/>
    </row>
    <row r="31" spans="1:19" ht="32.25" customHeight="1" thickBot="1">
      <c r="A31" s="1365"/>
      <c r="B31" s="1366" t="s">
        <v>229</v>
      </c>
      <c r="C31" s="2314" t="s">
        <v>2320</v>
      </c>
      <c r="D31" s="1367">
        <f>D27+D30</f>
        <v>63649.99</v>
      </c>
      <c r="E31" s="1367">
        <f>E27+E30</f>
        <v>237128</v>
      </c>
      <c r="F31" s="1368">
        <f>F27+F30</f>
        <v>173003</v>
      </c>
      <c r="G31" s="1369">
        <f>G27+G30</f>
        <v>64125</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U26" sqref="U26"/>
    </sheetView>
  </sheetViews>
  <sheetFormatPr baseColWidth="10" defaultColWidth="13.83203125" defaultRowHeight="13"/>
  <cols>
    <col min="1" max="1" width="20.83203125" style="1212" customWidth="1"/>
    <col min="2" max="3" width="12" style="1199" customWidth="1"/>
    <col min="4" max="4" width="9.1640625" style="1213" customWidth="1"/>
    <col min="5" max="5" width="15" style="1199" bestFit="1" customWidth="1"/>
    <col min="6" max="10" width="8.83203125" style="1199" customWidth="1"/>
    <col min="11" max="12" width="12.33203125" style="1214" customWidth="1"/>
    <col min="13" max="13" width="8.6640625" style="1199" customWidth="1"/>
    <col min="14" max="14" width="9.83203125" style="1199" customWidth="1"/>
    <col min="15" max="16" width="9.6640625" style="1199" customWidth="1"/>
    <col min="17" max="17" width="10.83203125" style="1199" customWidth="1"/>
    <col min="18" max="19" width="12.5" style="1199" customWidth="1"/>
    <col min="20" max="20" width="12.1640625" style="1199" customWidth="1"/>
    <col min="21" max="21" width="7.5" style="1199" customWidth="1"/>
    <col min="22" max="22" width="6.33203125" style="1199" customWidth="1"/>
    <col min="23" max="24" width="6.83203125" style="1199" customWidth="1"/>
    <col min="25" max="25" width="8.1640625" style="1199" customWidth="1"/>
    <col min="26" max="30" width="6.83203125" style="1199" customWidth="1"/>
    <col min="31" max="31" width="6.5" style="1199" customWidth="1"/>
    <col min="32" max="34" width="7.1640625" style="1199" customWidth="1"/>
    <col min="35" max="39" width="8" style="1199" customWidth="1"/>
    <col min="40" max="41" width="13.83203125" style="1982"/>
    <col min="42" max="42" width="0" style="1982" hidden="1" customWidth="1"/>
    <col min="43" max="83" width="13.83203125" style="1982"/>
    <col min="84" max="16384" width="13.83203125" style="1199"/>
  </cols>
  <sheetData>
    <row r="1" spans="1:83" ht="20"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6" thickBot="1">
      <c r="A2" s="149" t="s">
        <v>235</v>
      </c>
      <c r="B2" s="2322">
        <f>项目基本情况!D3</f>
        <v>43875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6"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
      <c r="A6" s="2286" t="str">
        <f>'数据-汇总表'!C19</f>
        <v>高层</v>
      </c>
      <c r="B6" s="2321" t="str">
        <f>IF(A6=0,"","经营性")</f>
        <v>经营性</v>
      </c>
      <c r="C6" s="173" t="s">
        <v>923</v>
      </c>
      <c r="D6" s="2292">
        <f>SUMIF(项目基本情况!D$15:I$15,C6,项目基本情况!D$18:I$18)</f>
        <v>70</v>
      </c>
      <c r="E6" s="2293">
        <f>IF(B6="","",SUMIF(项目基本情况!D$15:I$15,C6,项目基本情况!D$17:I$17))</f>
        <v>69439</v>
      </c>
      <c r="F6" s="174">
        <f>SUMIF(项目基本情况!D$15:I$15,C6,项目基本情况!D$19:I$19)</f>
        <v>70</v>
      </c>
      <c r="G6" s="175">
        <f>IF(ISERROR(ROUND(POWER(1+H6,D6-F6)*(POWER(1+H6,F6)-1)/(POWER(1+H6,D6)-1),3)),0,ROUND(POWER(1+H6,D6-F6)*(POWER(1+H6,F6)-1)/(POWER(1+H6,D6)-1),3))</f>
        <v>1</v>
      </c>
      <c r="H6" s="2976">
        <v>4.4999999999999998E-2</v>
      </c>
      <c r="I6" s="2976">
        <v>0.05</v>
      </c>
      <c r="J6" s="176">
        <v>8.5000000000000006E-2</v>
      </c>
      <c r="K6" s="179">
        <f>SUMIF('数据-汇总表'!C$19:C$33,'数据-取费表'!A6,'数据-汇总表'!E$19:E$33)</f>
        <v>167543</v>
      </c>
      <c r="L6" s="2977">
        <v>2000</v>
      </c>
      <c r="M6" s="177">
        <f t="shared" ref="M6:M14" si="0">ROUND(K6*L6/10000,0)</f>
        <v>33509</v>
      </c>
      <c r="N6" s="2978">
        <v>0</v>
      </c>
      <c r="O6" s="177">
        <f>IF($N$5="成新度","——",ROUND(M6*N6,0))</f>
        <v>0</v>
      </c>
      <c r="P6" s="178">
        <f>IF($N$5="成新度","——",M6-O6)</f>
        <v>33509</v>
      </c>
      <c r="Q6" s="2979">
        <v>0.2</v>
      </c>
      <c r="R6" s="179">
        <f>SUMIF('数据-汇总表'!C$19:C$33,A6,'数据-汇总表'!R$19:R$33)</f>
        <v>45514.58</v>
      </c>
      <c r="S6" s="132">
        <f>IF('数据-汇总表'!$I$17="按面积比例",SUMIF('数据-汇总表'!C$19:C$33,A6,'数据-汇总表'!K$19:K$33),SUMIF('数据-汇总表'!C$19:C$33,A6,'数据-汇总表'!N$19:N$33))</f>
        <v>2021.52</v>
      </c>
      <c r="T6" s="2218">
        <f>IF($T$4="按面积比例",IF(ISERROR(ROUND($M$14*S6/S$16,0)),"0",ROUND($M$14*S6/S$16,0)),"需自行计算录入")</f>
        <v>404</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5"/>
      <c r="AO6" s="1984"/>
      <c r="AP6" s="1200">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
      <c r="A7" s="2286" t="str">
        <f>'数据-汇总表'!C20</f>
        <v>洋房</v>
      </c>
      <c r="B7" s="2321" t="str">
        <f t="shared" ref="B7:B13" si="1">IF(A7=0,"","经营性")</f>
        <v>经营性</v>
      </c>
      <c r="C7" s="173" t="s">
        <v>923</v>
      </c>
      <c r="D7" s="2292">
        <f>SUMIF(项目基本情况!D$15:I$15,C7,项目基本情况!D$18:I$18)</f>
        <v>70</v>
      </c>
      <c r="E7" s="2293">
        <f>IF(B7="","",SUMIF(项目基本情况!D$15:I$15,C7,项目基本情况!D$17:I$17))</f>
        <v>69439</v>
      </c>
      <c r="F7" s="174">
        <f>SUMIF(项目基本情况!D$15:I$15,C7,项目基本情况!D$19:I$19)</f>
        <v>70</v>
      </c>
      <c r="G7" s="175">
        <f t="shared" ref="G7:G11" si="2">IF(ISERROR(ROUND(POWER(1+H7,D7-F7)*(POWER(1+H7,F7)-1)/(POWER(1+H7,D7)-1),3)),0,ROUND(POWER(1+H7,D7-F7)*(POWER(1+H7,F7)-1)/(POWER(1+H7,D7)-1),3))</f>
        <v>1</v>
      </c>
      <c r="H7" s="2976">
        <v>4.4999999999999998E-2</v>
      </c>
      <c r="I7" s="2976">
        <v>0.05</v>
      </c>
      <c r="J7" s="176">
        <v>8.5000000000000006E-2</v>
      </c>
      <c r="K7" s="179">
        <f>SUMIF('数据-汇总表'!C$19:C$33,'数据-取费表'!A7,'数据-汇总表'!E$19:E$33)</f>
        <v>0</v>
      </c>
      <c r="L7" s="2977">
        <v>2200</v>
      </c>
      <c r="M7" s="177">
        <f t="shared" si="0"/>
        <v>0</v>
      </c>
      <c r="N7" s="2978">
        <v>0</v>
      </c>
      <c r="O7" s="177">
        <f t="shared" ref="O7:O14" si="3">IF($N$5="成新度","——",ROUND(M7*N7,0))</f>
        <v>0</v>
      </c>
      <c r="P7" s="178">
        <f t="shared" ref="P7:P14" si="4">IF($N$5="成新度","——",M7-O7)</f>
        <v>0</v>
      </c>
      <c r="Q7" s="2979">
        <v>0.2</v>
      </c>
      <c r="R7" s="179">
        <f>SUMIF('数据-汇总表'!C$19:C$33,A7,'数据-汇总表'!R$19:R$33)</f>
        <v>0</v>
      </c>
      <c r="S7" s="132">
        <f>IF('数据-汇总表'!$I$17="按面积比例",SUMIF('数据-汇总表'!C$19:C$33,A7,'数据-汇总表'!K$19:K$33),SUMIF('数据-汇总表'!C$19:C$33,A7,'数据-汇总表'!N$19:N$33))</f>
        <v>0</v>
      </c>
      <c r="T7" s="2218">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0.95399999999999996</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
      <c r="A8" s="2286" t="str">
        <f>'数据-汇总表'!C21</f>
        <v>叠墅</v>
      </c>
      <c r="B8" s="2321" t="str">
        <f t="shared" si="1"/>
        <v>经营性</v>
      </c>
      <c r="C8" s="173" t="s">
        <v>923</v>
      </c>
      <c r="D8" s="2292">
        <f>SUMIF(项目基本情况!D$15:I$15,C8,项目基本情况!D$18:I$18)</f>
        <v>70</v>
      </c>
      <c r="E8" s="2293">
        <f>IF(B8="","",SUMIF(项目基本情况!D$15:I$15,C8,项目基本情况!D$17:I$17))</f>
        <v>69439</v>
      </c>
      <c r="F8" s="174">
        <f>SUMIF(项目基本情况!D$15:I$15,C8,项目基本情况!D$19:I$19)</f>
        <v>70</v>
      </c>
      <c r="G8" s="175">
        <f t="shared" si="2"/>
        <v>1</v>
      </c>
      <c r="H8" s="2976">
        <v>4.4999999999999998E-2</v>
      </c>
      <c r="I8" s="2976">
        <v>0.05</v>
      </c>
      <c r="J8" s="176">
        <v>8.5000000000000006E-2</v>
      </c>
      <c r="K8" s="179">
        <f>SUMIF('数据-汇总表'!C$19:C$33,'数据-取费表'!A8,'数据-汇总表'!E$19:E$33)</f>
        <v>0</v>
      </c>
      <c r="L8" s="2977">
        <v>2200</v>
      </c>
      <c r="M8" s="177">
        <f>ROUND(K8*L8/10000,0)</f>
        <v>0</v>
      </c>
      <c r="N8" s="2978">
        <v>0</v>
      </c>
      <c r="O8" s="177">
        <f t="shared" si="3"/>
        <v>0</v>
      </c>
      <c r="P8" s="178">
        <f t="shared" si="4"/>
        <v>0</v>
      </c>
      <c r="Q8" s="2979">
        <v>0.25</v>
      </c>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0.95399999999999996</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
      <c r="A9" s="2286" t="str">
        <f>'数据-汇总表'!C22</f>
        <v>地上自持商业</v>
      </c>
      <c r="B9" s="2321" t="str">
        <f t="shared" si="1"/>
        <v>经营性</v>
      </c>
      <c r="C9" s="173" t="s">
        <v>2999</v>
      </c>
      <c r="D9" s="2292">
        <f>SUMIF(项目基本情况!D$15:I$15,C9,项目基本情况!D$18:I$18)</f>
        <v>40</v>
      </c>
      <c r="E9" s="2293">
        <f>IF(B9="","",SUMIF(项目基本情况!D$15:I$15,C9,项目基本情况!D$17:I$17))</f>
        <v>58481</v>
      </c>
      <c r="F9" s="174">
        <f>SUMIF(项目基本情况!D$15:I$15,C9,项目基本情况!D$19:I$19)</f>
        <v>40</v>
      </c>
      <c r="G9" s="175">
        <f t="shared" si="2"/>
        <v>1</v>
      </c>
      <c r="H9" s="176">
        <v>0.05</v>
      </c>
      <c r="I9" s="176">
        <v>5.5E-2</v>
      </c>
      <c r="J9" s="176">
        <v>8.5000000000000006E-2</v>
      </c>
      <c r="K9" s="179">
        <f>SUMIF('数据-汇总表'!C$19:C$33,'数据-取费表'!A9,'数据-汇总表'!E$19:E$33)</f>
        <v>0</v>
      </c>
      <c r="L9" s="193">
        <v>3800</v>
      </c>
      <c r="M9" s="177">
        <f t="shared" si="0"/>
        <v>0</v>
      </c>
      <c r="N9" s="2978">
        <v>0</v>
      </c>
      <c r="O9" s="177">
        <f t="shared" si="3"/>
        <v>0</v>
      </c>
      <c r="P9" s="178">
        <f t="shared" si="4"/>
        <v>0</v>
      </c>
      <c r="Q9" s="192">
        <v>0.2</v>
      </c>
      <c r="R9" s="179">
        <f>SUMIF('数据-汇总表'!C$19:C$33,A9,'数据-汇总表'!R$19:R$33)</f>
        <v>0</v>
      </c>
      <c r="S9" s="132">
        <f>IF('数据-汇总表'!$I$17="按面积比例",SUMIF('数据-汇总表'!C$19:C$33,A9,'数据-汇总表'!K$19:K$33),SUMIF('数据-汇总表'!C$19:C$33,A9,'数据-汇总表'!N$19:N$33))</f>
        <v>0</v>
      </c>
      <c r="T9" s="2218">
        <f t="shared" si="5"/>
        <v>0</v>
      </c>
      <c r="U9" s="180">
        <f>3.6*0.6</f>
        <v>2.16</v>
      </c>
      <c r="V9" s="181">
        <v>0.02</v>
      </c>
      <c r="W9" s="181">
        <v>0.1</v>
      </c>
      <c r="X9" s="2305"/>
      <c r="Y9" s="182">
        <v>1</v>
      </c>
      <c r="Z9" s="183"/>
      <c r="AA9" s="176"/>
      <c r="AB9" s="176"/>
      <c r="AC9" s="2308"/>
      <c r="AD9" s="184"/>
      <c r="AE9" s="972">
        <f t="shared" ca="1" si="6"/>
        <v>37.5</v>
      </c>
      <c r="AF9" s="141"/>
      <c r="AG9" s="1209">
        <f t="shared" si="7"/>
        <v>0</v>
      </c>
      <c r="AH9" s="141"/>
      <c r="AI9" s="187">
        <v>365</v>
      </c>
      <c r="AJ9" s="188"/>
      <c r="AK9" s="189">
        <v>0.02</v>
      </c>
      <c r="AL9" s="190">
        <v>2E-3</v>
      </c>
      <c r="AM9" s="2353">
        <v>2.5000000000000001E-2</v>
      </c>
      <c r="AN9" s="2355" t="s">
        <v>3381</v>
      </c>
      <c r="AO9" s="1984"/>
      <c r="AP9" s="1200">
        <f t="shared" si="8"/>
        <v>0.85799999999999998</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
      <c r="A10" s="2286" t="str">
        <f>'数据-汇总表'!C23</f>
        <v>地上可售商业</v>
      </c>
      <c r="B10" s="2321" t="str">
        <f t="shared" si="1"/>
        <v>经营性</v>
      </c>
      <c r="C10" s="173" t="s">
        <v>2999</v>
      </c>
      <c r="D10" s="2292">
        <f>SUMIF(项目基本情况!D$15:I$15,C10,项目基本情况!D$18:I$18)</f>
        <v>40</v>
      </c>
      <c r="E10" s="2293">
        <f>IF(B10="","",SUMIF(项目基本情况!D$15:I$15,C10,项目基本情况!D$17:I$17))</f>
        <v>58481</v>
      </c>
      <c r="F10" s="174">
        <f>SUMIF(项目基本情况!D$15:I$15,C10,项目基本情况!D$19:I$19)</f>
        <v>40</v>
      </c>
      <c r="G10" s="175">
        <f t="shared" si="2"/>
        <v>1</v>
      </c>
      <c r="H10" s="176">
        <v>0.05</v>
      </c>
      <c r="I10" s="176">
        <v>5.5E-2</v>
      </c>
      <c r="J10" s="176">
        <v>8.5000000000000006E-2</v>
      </c>
      <c r="K10" s="179">
        <f>SUMIF('数据-汇总表'!C$19:C$33,'数据-取费表'!A10,'数据-汇总表'!E$19:E$33)</f>
        <v>2633</v>
      </c>
      <c r="L10" s="193">
        <v>3000</v>
      </c>
      <c r="M10" s="177">
        <f t="shared" si="0"/>
        <v>790</v>
      </c>
      <c r="N10" s="2978">
        <v>0</v>
      </c>
      <c r="O10" s="177">
        <f t="shared" si="3"/>
        <v>0</v>
      </c>
      <c r="P10" s="178">
        <f t="shared" si="4"/>
        <v>790</v>
      </c>
      <c r="Q10" s="192">
        <v>0.25</v>
      </c>
      <c r="R10" s="179">
        <f>SUMIF('数据-汇总表'!C$19:C$33,A10,'数据-汇总表'!R$19:R$33)</f>
        <v>715.28</v>
      </c>
      <c r="S10" s="132">
        <f>IF('数据-汇总表'!$I$17="按面积比例",SUMIF('数据-汇总表'!C$19:C$33,A10,'数据-汇总表'!K$19:K$33),SUMIF('数据-汇总表'!C$19:C$33,A10,'数据-汇总表'!N$19:N$33))</f>
        <v>31.77</v>
      </c>
      <c r="T10" s="2218">
        <f t="shared" si="5"/>
        <v>6</v>
      </c>
      <c r="U10" s="180"/>
      <c r="V10" s="181"/>
      <c r="W10" s="181"/>
      <c r="X10" s="2305"/>
      <c r="Y10" s="182"/>
      <c r="Z10" s="183"/>
      <c r="AA10" s="176"/>
      <c r="AB10" s="176"/>
      <c r="AC10" s="2308"/>
      <c r="AD10" s="184"/>
      <c r="AE10" s="972">
        <f t="shared" ca="1" si="6"/>
        <v>0</v>
      </c>
      <c r="AF10" s="141"/>
      <c r="AG10" s="1209">
        <f t="shared" si="7"/>
        <v>0</v>
      </c>
      <c r="AH10" s="141"/>
      <c r="AI10" s="187"/>
      <c r="AJ10" s="188"/>
      <c r="AK10" s="189">
        <v>0.02</v>
      </c>
      <c r="AL10" s="190">
        <v>2E-3</v>
      </c>
      <c r="AM10" s="2353">
        <v>0.02</v>
      </c>
      <c r="AN10" s="2355"/>
      <c r="AO10" s="1984"/>
      <c r="AP10" s="1200">
        <f t="shared" si="8"/>
        <v>0.85799999999999998</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
      <c r="A11" s="2286" t="str">
        <f>'数据-汇总表'!C24</f>
        <v>地下自持商业</v>
      </c>
      <c r="B11" s="2321" t="str">
        <f t="shared" si="1"/>
        <v>经营性</v>
      </c>
      <c r="C11" s="173" t="s">
        <v>2999</v>
      </c>
      <c r="D11" s="2292">
        <f>SUMIF(项目基本情况!D$15:I$15,C11,项目基本情况!D$18:I$18)</f>
        <v>40</v>
      </c>
      <c r="E11" s="2293">
        <f>IF(B11="","",SUMIF(项目基本情况!D$15:I$15,C11,项目基本情况!D$17:I$17))</f>
        <v>58481</v>
      </c>
      <c r="F11" s="174">
        <f>SUMIF(项目基本情况!D$15:I$15,C11,项目基本情况!D$19:I$19)</f>
        <v>40</v>
      </c>
      <c r="G11" s="175">
        <f t="shared" si="2"/>
        <v>1</v>
      </c>
      <c r="H11" s="176">
        <v>0.05</v>
      </c>
      <c r="I11" s="176">
        <v>5.5E-2</v>
      </c>
      <c r="J11" s="176">
        <v>8.5000000000000006E-2</v>
      </c>
      <c r="K11" s="179">
        <f>SUMIF('数据-汇总表'!C$19:C$33,'数据-取费表'!A11,'数据-汇总表'!E$19:E$33)</f>
        <v>0</v>
      </c>
      <c r="L11" s="193">
        <v>3800</v>
      </c>
      <c r="M11" s="177">
        <f t="shared" si="0"/>
        <v>0</v>
      </c>
      <c r="N11" s="2978">
        <v>0</v>
      </c>
      <c r="O11" s="177">
        <f t="shared" si="3"/>
        <v>0</v>
      </c>
      <c r="P11" s="178">
        <f t="shared" si="4"/>
        <v>0</v>
      </c>
      <c r="Q11" s="192">
        <v>0.2</v>
      </c>
      <c r="R11" s="179">
        <f>SUMIF('数据-汇总表'!C$19:C$33,A11,'数据-汇总表'!R$19:R$33)</f>
        <v>0</v>
      </c>
      <c r="S11" s="132">
        <f>IF('数据-汇总表'!$I$17="按面积比例",SUMIF('数据-汇总表'!C$19:C$33,A11,'数据-汇总表'!K$19:K$33),SUMIF('数据-汇总表'!C$19:C$33,A11,'数据-汇总表'!N$19:N$33))</f>
        <v>0</v>
      </c>
      <c r="T11" s="2218">
        <f t="shared" si="5"/>
        <v>0</v>
      </c>
      <c r="U11" s="185">
        <f>3*0.75</f>
        <v>2.25</v>
      </c>
      <c r="V11" s="176">
        <v>0.02</v>
      </c>
      <c r="W11" s="176">
        <v>0.1</v>
      </c>
      <c r="X11" s="2308"/>
      <c r="Y11" s="182">
        <v>1</v>
      </c>
      <c r="Z11" s="195"/>
      <c r="AA11" s="176"/>
      <c r="AB11" s="176"/>
      <c r="AC11" s="2308"/>
      <c r="AD11" s="184"/>
      <c r="AE11" s="972">
        <f t="shared" ca="1" si="6"/>
        <v>37.5</v>
      </c>
      <c r="AF11" s="141"/>
      <c r="AG11" s="1209">
        <f t="shared" si="7"/>
        <v>0</v>
      </c>
      <c r="AH11" s="141"/>
      <c r="AI11" s="187">
        <v>365</v>
      </c>
      <c r="AJ11" s="188"/>
      <c r="AK11" s="196">
        <v>0.02</v>
      </c>
      <c r="AL11" s="197">
        <v>2E-3</v>
      </c>
      <c r="AM11" s="1801">
        <v>2.5000000000000001E-2</v>
      </c>
      <c r="AN11" s="2355" t="s">
        <v>3378</v>
      </c>
      <c r="AO11" s="1984"/>
      <c r="AP11" s="1200">
        <f t="shared" si="8"/>
        <v>0.85799999999999998</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
      <c r="A12" s="2286" t="str">
        <f>'数据-汇总表'!C25</f>
        <v>地下车库</v>
      </c>
      <c r="B12" s="2321" t="str">
        <f t="shared" si="1"/>
        <v>经营性</v>
      </c>
      <c r="C12" s="173" t="s">
        <v>3068</v>
      </c>
      <c r="D12" s="2292">
        <f>SUMIF(项目基本情况!D$15:I$15,C12,项目基本情况!D$18:I$18)</f>
        <v>50</v>
      </c>
      <c r="E12" s="2293">
        <f>IF(B12="","",SUMIF(项目基本情况!D$15:I$15,C12,项目基本情况!D$17:I$17))</f>
        <v>62134</v>
      </c>
      <c r="F12" s="174">
        <f>SUMIF(项目基本情况!D$15:I$15,C12,项目基本情况!D$19:I$19)</f>
        <v>50</v>
      </c>
      <c r="G12" s="175">
        <f>IF(ISERROR(ROUND(POWER(1+H12,D12-F12)*(POWER(1+H12,F12)-1)/(POWER(1+H12,D12)-1),3)),0,ROUND(POWER(1+H12,D12-F12)*(POWER(1+H12,F12)-1)/(POWER(1+H12,D12)-1),3))</f>
        <v>1</v>
      </c>
      <c r="H12" s="2976">
        <v>4.4999999999999998E-2</v>
      </c>
      <c r="I12" s="2976">
        <v>0.05</v>
      </c>
      <c r="J12" s="176">
        <v>8.5000000000000006E-2</v>
      </c>
      <c r="K12" s="179">
        <f>SUMIF('数据-汇总表'!C$19:C$33,'数据-取费表'!A12,'数据-汇总表'!E$19:E$33)</f>
        <v>64125</v>
      </c>
      <c r="L12" s="193">
        <v>2000</v>
      </c>
      <c r="M12" s="177">
        <f>ROUND(K12*L12/10000,0)</f>
        <v>12825</v>
      </c>
      <c r="N12" s="2978">
        <v>0</v>
      </c>
      <c r="O12" s="177">
        <f t="shared" si="3"/>
        <v>0</v>
      </c>
      <c r="P12" s="178">
        <f t="shared" si="4"/>
        <v>12825</v>
      </c>
      <c r="Q12" s="192">
        <v>0.05</v>
      </c>
      <c r="R12" s="179">
        <f>SUMIF('数据-汇总表'!C$19:C$33,A12,'数据-汇总表'!R$19:R$33)</f>
        <v>17420.14</v>
      </c>
      <c r="S12" s="132">
        <f>IF('数据-汇总表'!$I$17="按面积比例",SUMIF('数据-汇总表'!C$19:C$33,A12,'数据-汇总表'!K$19:K$33),SUMIF('数据-汇总表'!C$19:C$33,A12,'数据-汇总表'!N$19:N$33))</f>
        <v>773.71</v>
      </c>
      <c r="T12" s="2218">
        <f t="shared" si="5"/>
        <v>155</v>
      </c>
      <c r="U12" s="3209">
        <v>300</v>
      </c>
      <c r="V12" s="176">
        <v>0.02</v>
      </c>
      <c r="W12" s="176">
        <v>0.1</v>
      </c>
      <c r="X12" s="2308"/>
      <c r="Y12" s="182">
        <v>1</v>
      </c>
      <c r="Z12" s="195"/>
      <c r="AA12" s="176"/>
      <c r="AB12" s="176"/>
      <c r="AC12" s="2308"/>
      <c r="AD12" s="184"/>
      <c r="AE12" s="972">
        <f t="shared" ca="1" si="6"/>
        <v>47.5</v>
      </c>
      <c r="AF12" s="141"/>
      <c r="AG12" s="1209">
        <f t="shared" si="7"/>
        <v>0</v>
      </c>
      <c r="AH12" s="141">
        <f>面积表!F33</f>
        <v>1686</v>
      </c>
      <c r="AI12" s="187">
        <v>12</v>
      </c>
      <c r="AJ12" s="188"/>
      <c r="AK12" s="196">
        <v>0.01</v>
      </c>
      <c r="AL12" s="197">
        <v>1.5E-3</v>
      </c>
      <c r="AM12" s="1801">
        <v>0.01</v>
      </c>
      <c r="AN12" s="2355" t="s">
        <v>3376</v>
      </c>
      <c r="AO12" s="1984"/>
      <c r="AP12" s="1200">
        <f t="shared" si="8"/>
        <v>0.88900000000000001</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5">
      <c r="A14" s="2287" t="s">
        <v>2312</v>
      </c>
      <c r="B14" s="2290" t="s">
        <v>1679</v>
      </c>
      <c r="C14" s="2291" t="s">
        <v>2312</v>
      </c>
      <c r="D14" s="2292"/>
      <c r="E14" s="2293"/>
      <c r="F14" s="174"/>
      <c r="G14" s="175"/>
      <c r="H14" s="2294"/>
      <c r="I14" s="2294"/>
      <c r="J14" s="2294"/>
      <c r="K14" s="179">
        <f>SUMIF('数据-汇总表'!C$19:C$33,'数据-取费表'!A14,'数据-汇总表'!E$19:E$33)</f>
        <v>2827</v>
      </c>
      <c r="L14" s="193">
        <v>2000</v>
      </c>
      <c r="M14" s="177">
        <f t="shared" si="0"/>
        <v>565</v>
      </c>
      <c r="N14" s="194">
        <v>0</v>
      </c>
      <c r="O14" s="177">
        <f t="shared" si="3"/>
        <v>0</v>
      </c>
      <c r="P14" s="178">
        <f t="shared" si="4"/>
        <v>565</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30">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6"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237128</v>
      </c>
      <c r="L16" s="206">
        <f>ROUND(M16*10000/SUM(K6:K14),0)</f>
        <v>2011</v>
      </c>
      <c r="M16" s="206">
        <f>SUM(M6:M14)</f>
        <v>47689</v>
      </c>
      <c r="N16" s="207">
        <f>ROUND(SUMPRODUCT(M6:M14,N6:N14)/M16,3)</f>
        <v>0</v>
      </c>
      <c r="O16" s="206">
        <f>SUM(O6:O14)</f>
        <v>0</v>
      </c>
      <c r="P16" s="206">
        <f>SUM(P6:P14)</f>
        <v>47689</v>
      </c>
      <c r="Q16" s="208">
        <f>ROUND(SUMPRODUCT(Q6:Q13,K6:K13)/SUMPRODUCT((Q6:Q13&gt;0)*(K6:K13)),2)</f>
        <v>0.16</v>
      </c>
      <c r="R16" s="2295">
        <f>SUM(R6:R13)</f>
        <v>63650</v>
      </c>
      <c r="S16" s="209">
        <f>SUM(S6:S13)</f>
        <v>2827</v>
      </c>
      <c r="T16" s="210">
        <f>IF(SUMIF(T6:T13,"&lt;9E307")=M14,SUMIF(T6:T13,"&lt;9E307"),"有误，请检查")</f>
        <v>565</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4"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6"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5">
      <c r="A20" s="219" t="s">
        <v>265</v>
      </c>
      <c r="B20" s="220">
        <v>2.5</v>
      </c>
      <c r="C20" s="2327" t="s">
        <v>2333</v>
      </c>
      <c r="D20" s="1977"/>
      <c r="E20" s="1976"/>
      <c r="F20" s="1976"/>
      <c r="G20" s="1976"/>
      <c r="H20" s="1976"/>
      <c r="I20" s="1976"/>
      <c r="J20" s="1976"/>
      <c r="K20" s="1975" t="s">
        <v>3084</v>
      </c>
      <c r="L20" s="1975" t="s">
        <v>3085</v>
      </c>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5">
      <c r="A21" s="221" t="s">
        <v>266</v>
      </c>
      <c r="B21" s="220">
        <v>0</v>
      </c>
      <c r="C21" s="1976"/>
      <c r="D21" s="1977"/>
      <c r="E21" s="1976"/>
      <c r="F21" s="1976"/>
      <c r="G21" s="1976"/>
      <c r="H21" s="1976"/>
      <c r="I21" s="1976"/>
      <c r="J21" s="1976"/>
      <c r="K21" s="1975"/>
      <c r="L21" s="1975" t="s">
        <v>3086</v>
      </c>
      <c r="M21" s="1973" t="s">
        <v>3087</v>
      </c>
      <c r="N21" s="1973" t="s">
        <v>3069</v>
      </c>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5">
      <c r="A22" s="219" t="s">
        <v>267</v>
      </c>
      <c r="B22" s="222">
        <f>B19+B20</f>
        <v>2.5</v>
      </c>
      <c r="C22" s="1976"/>
      <c r="D22" s="1977"/>
      <c r="E22" s="1976"/>
      <c r="F22" s="1976"/>
      <c r="G22" s="1976"/>
      <c r="H22" s="1976"/>
      <c r="I22" s="1976"/>
      <c r="J22" s="1976"/>
      <c r="K22" s="1975" t="s">
        <v>3091</v>
      </c>
      <c r="L22" s="1975" t="s">
        <v>3088</v>
      </c>
      <c r="M22" s="1973" t="s">
        <v>3089</v>
      </c>
      <c r="N22" s="1973" t="s">
        <v>3090</v>
      </c>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6"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6"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30">
      <c r="A27" s="226" t="s">
        <v>2336</v>
      </c>
      <c r="B27" s="227">
        <v>70</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30">
      <c r="A28" s="228" t="s">
        <v>2337</v>
      </c>
      <c r="B28" s="229">
        <v>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31"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30">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30">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31"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5">
      <c r="A33" s="226" t="s">
        <v>278</v>
      </c>
      <c r="B33" s="1374">
        <v>0.05</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5">
      <c r="A34" s="228" t="s">
        <v>279</v>
      </c>
      <c r="B34" s="233">
        <v>0.1</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6"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5">
      <c r="A37" s="235" t="s">
        <v>280</v>
      </c>
      <c r="B37" s="236">
        <v>2.5000000000000001E-2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5">
      <c r="A38" s="228" t="s">
        <v>281</v>
      </c>
      <c r="B38" s="233">
        <v>0.03</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6"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6" thickBot="1">
      <c r="A47" s="243" t="s">
        <v>288</v>
      </c>
      <c r="B47" s="244"/>
      <c r="C47" s="3024"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5">
      <c r="A48" s="245" t="s">
        <v>289</v>
      </c>
      <c r="B48" s="246">
        <v>0.03</v>
      </c>
      <c r="C48" s="3025"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6" thickBot="1">
      <c r="A49" s="237" t="s">
        <v>290</v>
      </c>
      <c r="B49" s="240">
        <v>5.0000000000000001E-4</v>
      </c>
      <c r="C49" s="3025"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6"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30">
      <c r="A53" s="228" t="s">
        <v>294</v>
      </c>
      <c r="B53" s="251" t="s">
        <v>1096</v>
      </c>
      <c r="C53" s="3026" t="s">
        <v>2902</v>
      </c>
      <c r="D53" s="3027"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5">
      <c r="A54" s="3029" t="s">
        <v>2904</v>
      </c>
      <c r="B54" s="186">
        <v>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5">
      <c r="A55" s="3029" t="s">
        <v>2905</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5">
      <c r="A56" s="3029" t="s">
        <v>2906</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5">
      <c r="A57" s="3029" t="s">
        <v>2907</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5">
      <c r="A58" s="3029" t="s">
        <v>2908</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5">
      <c r="A59" s="3029" t="s">
        <v>2909</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5">
      <c r="A60" s="3029"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5">
      <c r="A61" s="3029"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5">
      <c r="A62" s="3029"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6" thickBot="1">
      <c r="A63" s="3030"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5" zoomScale="80" zoomScaleNormal="95" zoomScaleSheetLayoutView="80" workbookViewId="0">
      <selection activeCell="D120" sqref="D120:E120"/>
    </sheetView>
  </sheetViews>
  <sheetFormatPr baseColWidth="10" defaultColWidth="9" defaultRowHeight="14"/>
  <cols>
    <col min="1" max="1" width="15.6640625" style="1333" customWidth="1"/>
    <col min="2" max="2" width="15.83203125" style="1333" customWidth="1"/>
    <col min="3" max="3" width="15.1640625" style="1333" customWidth="1"/>
    <col min="4" max="4" width="12.1640625" style="1333" customWidth="1"/>
    <col min="5" max="5" width="16.1640625" style="1333" customWidth="1"/>
    <col min="6" max="6" width="12.1640625" style="1333" customWidth="1"/>
    <col min="7" max="7" width="15.6640625" style="1333" customWidth="1"/>
    <col min="8" max="8" width="12.1640625" style="1333" customWidth="1"/>
    <col min="9" max="9" width="15.664062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60412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2548</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9491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633</v>
      </c>
      <c r="C5" s="431" t="s">
        <v>469</v>
      </c>
      <c r="D5" s="2046"/>
      <c r="E5" s="2046"/>
      <c r="F5" s="2046"/>
      <c r="G5" s="2113"/>
      <c r="H5" s="2113"/>
      <c r="I5" s="2113" t="str">
        <f>住宅土地案例!J93</f>
        <v>2017-02-17</v>
      </c>
      <c r="J5" s="2113"/>
      <c r="K5" s="2115"/>
      <c r="L5" s="2116"/>
      <c r="M5" s="2117"/>
      <c r="N5" s="2117"/>
      <c r="O5" s="2117"/>
      <c r="P5" s="1550"/>
      <c r="Q5" s="1550"/>
      <c r="R5" s="1550"/>
      <c r="S5" s="1550"/>
      <c r="T5" s="1550"/>
      <c r="U5" s="1550"/>
      <c r="V5" s="1550"/>
      <c r="W5" s="1550"/>
      <c r="X5" s="1550"/>
      <c r="Y5" s="1550"/>
      <c r="Z5" s="1550"/>
      <c r="AA5" s="1550"/>
      <c r="AB5" s="1550"/>
      <c r="AC5" s="428"/>
    </row>
    <row r="6" spans="1:30" ht="20">
      <c r="A6" s="512" t="s">
        <v>521</v>
      </c>
      <c r="B6" s="513"/>
      <c r="C6" s="3321" t="s">
        <v>522</v>
      </c>
      <c r="D6" s="3322"/>
      <c r="E6" s="3321" t="s">
        <v>523</v>
      </c>
      <c r="F6" s="3322"/>
      <c r="G6" s="3321" t="s">
        <v>524</v>
      </c>
      <c r="H6" s="3322"/>
      <c r="I6" s="3321" t="s">
        <v>525</v>
      </c>
      <c r="J6" s="3322"/>
      <c r="K6" s="514" t="s">
        <v>526</v>
      </c>
      <c r="L6" s="2118"/>
      <c r="M6" s="2117"/>
      <c r="N6" s="2117"/>
      <c r="O6" s="2119"/>
      <c r="P6" s="3323" t="s">
        <v>527</v>
      </c>
      <c r="Q6" s="3324"/>
      <c r="R6" s="3308" t="s">
        <v>523</v>
      </c>
      <c r="S6" s="3309"/>
      <c r="T6" s="3308" t="s">
        <v>524</v>
      </c>
      <c r="U6" s="3309"/>
      <c r="V6" s="3329" t="s">
        <v>525</v>
      </c>
      <c r="W6" s="3329"/>
      <c r="X6" s="1553"/>
      <c r="Y6" s="3308" t="s">
        <v>527</v>
      </c>
      <c r="Z6" s="3309"/>
      <c r="AA6" s="3303" t="s">
        <v>523</v>
      </c>
      <c r="AB6" s="3304" t="s">
        <v>524</v>
      </c>
      <c r="AC6" s="3303" t="s">
        <v>525</v>
      </c>
    </row>
    <row r="7" spans="1:30" ht="20">
      <c r="A7" s="515"/>
      <c r="B7" s="516"/>
      <c r="C7" s="3332" t="s">
        <v>2928</v>
      </c>
      <c r="D7" s="3333"/>
      <c r="E7" s="3332" t="str">
        <f>住宅土地案例!A6</f>
        <v>敬梓路与界牌路交叉口东南侧</v>
      </c>
      <c r="F7" s="3333"/>
      <c r="G7" s="3332" t="str">
        <f>住宅土地案例!A16</f>
        <v>仁和路与敬梓路交叉口东南侧</v>
      </c>
      <c r="H7" s="3333"/>
      <c r="I7" s="3332" t="str">
        <f>住宅土地案例!A93</f>
        <v>醉翁路与儒林路交叉口东南侧</v>
      </c>
      <c r="J7" s="3333"/>
      <c r="K7" s="514"/>
      <c r="L7" s="2118"/>
      <c r="M7" s="2117"/>
      <c r="N7" s="2117"/>
      <c r="O7" s="2119"/>
      <c r="P7" s="3325"/>
      <c r="Q7" s="3326"/>
      <c r="R7" s="3310"/>
      <c r="S7" s="3311"/>
      <c r="T7" s="3310"/>
      <c r="U7" s="3311"/>
      <c r="V7" s="3329"/>
      <c r="W7" s="3329"/>
      <c r="X7" s="1553"/>
      <c r="Y7" s="3310"/>
      <c r="Z7" s="3311"/>
      <c r="AA7" s="3304"/>
      <c r="AB7" s="3304"/>
      <c r="AC7" s="3304"/>
    </row>
    <row r="8" spans="1:30" ht="21" thickBot="1">
      <c r="A8" s="515"/>
      <c r="B8" s="516"/>
      <c r="C8" s="3334" t="s">
        <v>2932</v>
      </c>
      <c r="D8" s="3335"/>
      <c r="E8" s="3334" t="s">
        <v>2932</v>
      </c>
      <c r="F8" s="3335"/>
      <c r="G8" s="3330" t="s">
        <v>2932</v>
      </c>
      <c r="H8" s="3331"/>
      <c r="I8" s="3330" t="s">
        <v>2932</v>
      </c>
      <c r="J8" s="3331"/>
      <c r="K8" s="514" t="s">
        <v>528</v>
      </c>
      <c r="L8" s="2118"/>
      <c r="M8" s="2117"/>
      <c r="N8" s="2117"/>
      <c r="O8" s="2119"/>
      <c r="P8" s="3327"/>
      <c r="Q8" s="3328"/>
      <c r="R8" s="3310"/>
      <c r="S8" s="3311"/>
      <c r="T8" s="3313"/>
      <c r="U8" s="3314"/>
      <c r="V8" s="3329"/>
      <c r="W8" s="3329"/>
      <c r="X8" s="1553"/>
      <c r="Y8" s="3313"/>
      <c r="Z8" s="3314"/>
      <c r="AA8" s="3305"/>
      <c r="AB8" s="3305"/>
      <c r="AC8" s="3305"/>
    </row>
    <row r="9" spans="1:30" s="1216" customFormat="1" ht="21" thickBot="1">
      <c r="A9" s="2867"/>
      <c r="B9" s="2874" t="s">
        <v>529</v>
      </c>
      <c r="C9" s="2866">
        <f>'数据-取费表'!B2</f>
        <v>43875</v>
      </c>
      <c r="D9" s="520">
        <v>100</v>
      </c>
      <c r="E9" s="521" t="str">
        <f>住宅土地案例!K6</f>
        <v>2019-10-12</v>
      </c>
      <c r="F9" s="522">
        <f>SUMIF(72:72,YEAR(E9)&amp;"-"&amp;INT((MONTH(E9)+2)/3),73:73)</f>
        <v>99.7</v>
      </c>
      <c r="G9" s="523" t="str">
        <f>住宅土地案例!K16</f>
        <v>2019-07-18</v>
      </c>
      <c r="H9" s="520">
        <f>SUMIF(72:72,YEAR(G9)&amp;"-"&amp;INT((MONTH(G9)+2)/3),73:73)</f>
        <v>99.4</v>
      </c>
      <c r="I9" s="3207">
        <v>42826</v>
      </c>
      <c r="J9" s="520">
        <f>SUMIF(72:72,YEAR(I9)&amp;"-"&amp;INT((MONTH(I9)+2)/3),73:73)</f>
        <v>96.400000000000034</v>
      </c>
      <c r="K9" s="524"/>
      <c r="L9" s="2120"/>
      <c r="M9" s="2117"/>
      <c r="N9" s="2117"/>
      <c r="O9" s="2121"/>
      <c r="P9" s="3306" t="s">
        <v>530</v>
      </c>
      <c r="Q9" s="3316"/>
      <c r="R9" s="1554" t="s">
        <v>8</v>
      </c>
      <c r="S9" s="1555">
        <f t="shared" ref="S9:S17" si="0">F9</f>
        <v>99.7</v>
      </c>
      <c r="T9" s="1554" t="s">
        <v>8</v>
      </c>
      <c r="U9" s="1555">
        <f t="shared" ref="U9:U17" si="1">H9</f>
        <v>99.4</v>
      </c>
      <c r="V9" s="1554" t="s">
        <v>8</v>
      </c>
      <c r="W9" s="1555">
        <f t="shared" ref="W9:W17" si="2">J9</f>
        <v>96.400000000000034</v>
      </c>
      <c r="X9" s="1556"/>
      <c r="Y9" s="3306" t="s">
        <v>530</v>
      </c>
      <c r="Z9" s="3307"/>
      <c r="AA9" s="1557">
        <f>D9/F9</f>
        <v>1.0030090270812437</v>
      </c>
      <c r="AB9" s="1557">
        <f>D9/H9</f>
        <v>1.0060362173038229</v>
      </c>
      <c r="AC9" s="1557">
        <f>D9/J9</f>
        <v>1.0373443983402486</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06" t="s">
        <v>533</v>
      </c>
      <c r="Q10" s="3307"/>
      <c r="R10" s="1554" t="s">
        <v>8</v>
      </c>
      <c r="S10" s="1555">
        <f t="shared" si="0"/>
        <v>100</v>
      </c>
      <c r="T10" s="1554" t="s">
        <v>8</v>
      </c>
      <c r="U10" s="1555">
        <f t="shared" si="1"/>
        <v>100</v>
      </c>
      <c r="V10" s="1554" t="s">
        <v>8</v>
      </c>
      <c r="W10" s="1555">
        <f t="shared" si="2"/>
        <v>100</v>
      </c>
      <c r="X10" s="1556"/>
      <c r="Y10" s="3306" t="s">
        <v>533</v>
      </c>
      <c r="Z10" s="3307"/>
      <c r="AA10" s="1557">
        <f t="shared" ref="AA10:AA47" si="3">D10/F10</f>
        <v>1</v>
      </c>
      <c r="AB10" s="1557">
        <f t="shared" ref="AB10:AB47" si="4">D10/H10</f>
        <v>1</v>
      </c>
      <c r="AC10" s="1557">
        <f t="shared" ref="AC10:AC47" si="5">D10/J10</f>
        <v>1</v>
      </c>
    </row>
    <row r="11" spans="1:30" s="1216" customFormat="1" ht="20">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15" t="s">
        <v>535</v>
      </c>
      <c r="Q11" s="1147" t="str">
        <f t="shared" ref="Q11:Q17" si="6">B11</f>
        <v>用途</v>
      </c>
      <c r="R11" s="1554" t="s">
        <v>8</v>
      </c>
      <c r="S11" s="1555">
        <f t="shared" si="0"/>
        <v>100</v>
      </c>
      <c r="T11" s="1554" t="s">
        <v>8</v>
      </c>
      <c r="U11" s="1555">
        <f t="shared" si="1"/>
        <v>100</v>
      </c>
      <c r="V11" s="1554" t="s">
        <v>8</v>
      </c>
      <c r="W11" s="1555">
        <f t="shared" si="2"/>
        <v>100</v>
      </c>
      <c r="X11" s="1556"/>
      <c r="Y11" s="3312" t="s">
        <v>536</v>
      </c>
      <c r="Z11" s="1146" t="str">
        <f t="shared" ref="Z11:Z17" si="7">Q11</f>
        <v>用途</v>
      </c>
      <c r="AA11" s="1557">
        <f t="shared" si="3"/>
        <v>1</v>
      </c>
      <c r="AB11" s="1557">
        <f t="shared" si="4"/>
        <v>1</v>
      </c>
      <c r="AC11" s="1557">
        <f t="shared" si="5"/>
        <v>1</v>
      </c>
    </row>
    <row r="12" spans="1:30" s="1334" customFormat="1" ht="30">
      <c r="A12" s="2870"/>
      <c r="B12" s="2875" t="s">
        <v>2754</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15"/>
      <c r="Q12" s="1147" t="str">
        <f t="shared" si="6"/>
        <v>土地使用年限（年）</v>
      </c>
      <c r="R12" s="1554" t="s">
        <v>8</v>
      </c>
      <c r="S12" s="1555">
        <f t="shared" si="0"/>
        <v>100</v>
      </c>
      <c r="T12" s="1554" t="s">
        <v>8</v>
      </c>
      <c r="U12" s="1555">
        <f t="shared" si="1"/>
        <v>100</v>
      </c>
      <c r="V12" s="1554" t="s">
        <v>8</v>
      </c>
      <c r="W12" s="1555">
        <f t="shared" si="2"/>
        <v>100</v>
      </c>
      <c r="X12" s="1556"/>
      <c r="Y12" s="3312"/>
      <c r="Z12" s="1146" t="str">
        <f t="shared" si="7"/>
        <v>土地使用年限（年）</v>
      </c>
      <c r="AA12" s="1557">
        <f t="shared" si="3"/>
        <v>1</v>
      </c>
      <c r="AB12" s="1557">
        <f t="shared" si="4"/>
        <v>1</v>
      </c>
      <c r="AC12" s="1557">
        <f t="shared" si="5"/>
        <v>1</v>
      </c>
    </row>
    <row r="13" spans="1:30" ht="20">
      <c r="A13" s="2871"/>
      <c r="B13" s="2875" t="s">
        <v>2755</v>
      </c>
      <c r="C13" s="534">
        <f>'数据-汇总表'!I6</f>
        <v>2.72</v>
      </c>
      <c r="D13" s="255">
        <v>100</v>
      </c>
      <c r="E13" s="533">
        <f>面积表!L42</f>
        <v>2</v>
      </c>
      <c r="F13" s="255">
        <f>LOOKUP(E13,82:82,83:83)-LOOKUP(C13,82:82,83:83)+100</f>
        <v>108</v>
      </c>
      <c r="G13" s="534">
        <v>2</v>
      </c>
      <c r="H13" s="255">
        <f>LOOKUP(G13,82:82,83:83)-LOOKUP(C13,82:82,83:83)+100</f>
        <v>108</v>
      </c>
      <c r="I13" s="533">
        <v>1.8</v>
      </c>
      <c r="J13" s="255">
        <f>LOOKUP(I13,82:82,83:83)-LOOKUP(C13,82:82,83:83)+100</f>
        <v>116</v>
      </c>
      <c r="K13" s="535">
        <v>8</v>
      </c>
      <c r="L13" s="2125"/>
      <c r="M13" s="2117"/>
      <c r="N13" s="2117"/>
      <c r="O13" s="2126"/>
      <c r="P13" s="3315"/>
      <c r="Q13" s="1147" t="str">
        <f t="shared" si="6"/>
        <v>容积率</v>
      </c>
      <c r="R13" s="1554" t="s">
        <v>8</v>
      </c>
      <c r="S13" s="1555">
        <f t="shared" si="0"/>
        <v>108</v>
      </c>
      <c r="T13" s="1554" t="s">
        <v>8</v>
      </c>
      <c r="U13" s="1555">
        <f t="shared" si="1"/>
        <v>108</v>
      </c>
      <c r="V13" s="1554" t="s">
        <v>8</v>
      </c>
      <c r="W13" s="1555">
        <f t="shared" si="2"/>
        <v>116</v>
      </c>
      <c r="X13" s="1556"/>
      <c r="Y13" s="3312"/>
      <c r="Z13" s="1146" t="str">
        <f t="shared" si="7"/>
        <v>容积率</v>
      </c>
      <c r="AA13" s="1557">
        <f t="shared" si="3"/>
        <v>0.92592592592592593</v>
      </c>
      <c r="AB13" s="1557">
        <f t="shared" si="4"/>
        <v>0.92592592592592593</v>
      </c>
      <c r="AC13" s="1557">
        <f t="shared" si="5"/>
        <v>0.86206896551724133</v>
      </c>
    </row>
    <row r="14" spans="1:30" s="1216" customFormat="1" ht="20">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15"/>
      <c r="Q14" s="1147" t="str">
        <f t="shared" si="6"/>
        <v>配建</v>
      </c>
      <c r="R14" s="1554" t="s">
        <v>8</v>
      </c>
      <c r="S14" s="1555">
        <f t="shared" si="0"/>
        <v>100</v>
      </c>
      <c r="T14" s="1554" t="s">
        <v>8</v>
      </c>
      <c r="U14" s="1555">
        <f t="shared" si="1"/>
        <v>100</v>
      </c>
      <c r="V14" s="1554" t="s">
        <v>8</v>
      </c>
      <c r="W14" s="1555">
        <f t="shared" si="2"/>
        <v>100</v>
      </c>
      <c r="X14" s="1556"/>
      <c r="Y14" s="3312"/>
      <c r="Z14" s="1146" t="str">
        <f t="shared" si="7"/>
        <v>配建</v>
      </c>
      <c r="AA14" s="1557">
        <f>D14/F14</f>
        <v>1</v>
      </c>
      <c r="AB14" s="1557">
        <f>D14/H14</f>
        <v>1</v>
      </c>
      <c r="AC14" s="1557">
        <f>D14/J14</f>
        <v>1</v>
      </c>
    </row>
    <row r="15" spans="1:30" ht="20">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15"/>
      <c r="Q15" s="1147">
        <f t="shared" si="6"/>
        <v>111</v>
      </c>
      <c r="R15" s="1554" t="s">
        <v>8</v>
      </c>
      <c r="S15" s="1555">
        <f t="shared" si="0"/>
        <v>100</v>
      </c>
      <c r="T15" s="1554" t="s">
        <v>8</v>
      </c>
      <c r="U15" s="1555">
        <f t="shared" si="1"/>
        <v>100</v>
      </c>
      <c r="V15" s="1554" t="s">
        <v>8</v>
      </c>
      <c r="W15" s="1555">
        <f t="shared" si="2"/>
        <v>100</v>
      </c>
      <c r="X15" s="1556"/>
      <c r="Y15" s="3312"/>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15"/>
      <c r="Q16" s="1147">
        <f t="shared" si="6"/>
        <v>111</v>
      </c>
      <c r="R16" s="1554" t="s">
        <v>8</v>
      </c>
      <c r="S16" s="1555">
        <f t="shared" si="0"/>
        <v>100</v>
      </c>
      <c r="T16" s="1554" t="s">
        <v>8</v>
      </c>
      <c r="U16" s="1555">
        <f t="shared" si="1"/>
        <v>100</v>
      </c>
      <c r="V16" s="1554" t="s">
        <v>8</v>
      </c>
      <c r="W16" s="1555">
        <f t="shared" si="2"/>
        <v>100</v>
      </c>
      <c r="X16" s="1556"/>
      <c r="Y16" s="3312"/>
      <c r="Z16" s="1146">
        <f t="shared" si="7"/>
        <v>111</v>
      </c>
      <c r="AA16" s="1557">
        <f>D16/F16</f>
        <v>1</v>
      </c>
      <c r="AB16" s="1557">
        <f>D16/H16</f>
        <v>1</v>
      </c>
      <c r="AC16" s="1557">
        <f>D16/J16</f>
        <v>1</v>
      </c>
    </row>
    <row r="17" spans="1:29" ht="10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17" t="s">
        <v>540</v>
      </c>
      <c r="Q17" s="1558" t="str">
        <f t="shared" si="6"/>
        <v>居住社区成熟度</v>
      </c>
      <c r="R17" s="1559" t="s">
        <v>8</v>
      </c>
      <c r="S17" s="1560">
        <f t="shared" si="0"/>
        <v>100</v>
      </c>
      <c r="T17" s="1559" t="s">
        <v>8</v>
      </c>
      <c r="U17" s="1560">
        <f t="shared" si="1"/>
        <v>100</v>
      </c>
      <c r="V17" s="1559" t="s">
        <v>8</v>
      </c>
      <c r="W17" s="1560">
        <f t="shared" si="2"/>
        <v>100</v>
      </c>
      <c r="X17" s="1553"/>
      <c r="Y17" s="3317" t="s">
        <v>540</v>
      </c>
      <c r="Z17" s="1561" t="str">
        <f t="shared" si="7"/>
        <v>居住社区成熟度</v>
      </c>
      <c r="AA17" s="1562">
        <f t="shared" si="3"/>
        <v>1</v>
      </c>
      <c r="AB17" s="1562">
        <f t="shared" si="4"/>
        <v>1</v>
      </c>
      <c r="AC17" s="1562">
        <f t="shared" si="5"/>
        <v>1</v>
      </c>
    </row>
    <row r="18" spans="1:29" ht="20">
      <c r="A18" s="532"/>
      <c r="B18" s="553"/>
      <c r="C18" s="554"/>
      <c r="D18" s="557"/>
      <c r="E18" s="558"/>
      <c r="F18" s="555"/>
      <c r="G18" s="556"/>
      <c r="H18" s="559"/>
      <c r="I18" s="558"/>
      <c r="J18" s="555"/>
      <c r="K18" s="531"/>
      <c r="L18" s="2127"/>
      <c r="M18" s="2117"/>
      <c r="N18" s="2117"/>
      <c r="O18" s="2126"/>
      <c r="P18" s="3318"/>
      <c r="Q18" s="1558"/>
      <c r="R18" s="1559"/>
      <c r="S18" s="1560"/>
      <c r="T18" s="1559"/>
      <c r="U18" s="1560"/>
      <c r="V18" s="1559"/>
      <c r="W18" s="1560"/>
      <c r="X18" s="1553"/>
      <c r="Y18" s="3318"/>
      <c r="Z18" s="1561"/>
      <c r="AA18" s="1562">
        <v>1</v>
      </c>
      <c r="AB18" s="1562">
        <v>1</v>
      </c>
      <c r="AC18" s="1562">
        <v>1</v>
      </c>
    </row>
    <row r="19" spans="1:29" ht="7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18"/>
      <c r="Q19" s="1558" t="str">
        <f>B19</f>
        <v>商业繁华度</v>
      </c>
      <c r="R19" s="1559" t="s">
        <v>8</v>
      </c>
      <c r="S19" s="1560">
        <f>F19</f>
        <v>100</v>
      </c>
      <c r="T19" s="1559" t="s">
        <v>8</v>
      </c>
      <c r="U19" s="1560">
        <f>H19</f>
        <v>100</v>
      </c>
      <c r="V19" s="1559" t="s">
        <v>8</v>
      </c>
      <c r="W19" s="1560">
        <f>J19</f>
        <v>100</v>
      </c>
      <c r="X19" s="1553"/>
      <c r="Y19" s="3318"/>
      <c r="Z19" s="1561" t="str">
        <f>Q19</f>
        <v>商业繁华度</v>
      </c>
      <c r="AA19" s="1562">
        <f t="shared" si="3"/>
        <v>1</v>
      </c>
      <c r="AB19" s="1562">
        <f t="shared" si="4"/>
        <v>1</v>
      </c>
      <c r="AC19" s="1562">
        <f t="shared" si="5"/>
        <v>1</v>
      </c>
    </row>
    <row r="20" spans="1:29" ht="20">
      <c r="A20" s="532"/>
      <c r="B20" s="566"/>
      <c r="C20" s="567"/>
      <c r="D20" s="563"/>
      <c r="E20" s="569"/>
      <c r="F20" s="559"/>
      <c r="G20" s="568"/>
      <c r="H20" s="555"/>
      <c r="I20" s="569"/>
      <c r="J20" s="555"/>
      <c r="K20" s="531"/>
      <c r="L20" s="2127"/>
      <c r="M20" s="2117"/>
      <c r="N20" s="2117"/>
      <c r="O20" s="2126"/>
      <c r="P20" s="3318"/>
      <c r="Q20" s="1558"/>
      <c r="R20" s="1559"/>
      <c r="S20" s="1560"/>
      <c r="T20" s="1559"/>
      <c r="U20" s="1560"/>
      <c r="V20" s="1559"/>
      <c r="W20" s="1560"/>
      <c r="X20" s="1553"/>
      <c r="Y20" s="3318"/>
      <c r="Z20" s="1561"/>
      <c r="AA20" s="1562">
        <v>1</v>
      </c>
      <c r="AB20" s="1562">
        <v>1</v>
      </c>
      <c r="AC20" s="1562">
        <v>1</v>
      </c>
    </row>
    <row r="21" spans="1:29" ht="7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18"/>
      <c r="Q21" s="1558" t="str">
        <f>B21</f>
        <v>办公集聚程度</v>
      </c>
      <c r="R21" s="1559" t="s">
        <v>8</v>
      </c>
      <c r="S21" s="1560">
        <f>F21</f>
        <v>100</v>
      </c>
      <c r="T21" s="1559" t="s">
        <v>8</v>
      </c>
      <c r="U21" s="1560">
        <f>H21</f>
        <v>100</v>
      </c>
      <c r="V21" s="1559" t="s">
        <v>8</v>
      </c>
      <c r="W21" s="1560">
        <f>J21</f>
        <v>100</v>
      </c>
      <c r="X21" s="1553"/>
      <c r="Y21" s="3318"/>
      <c r="Z21" s="1561" t="str">
        <f>Q21</f>
        <v>办公集聚程度</v>
      </c>
      <c r="AA21" s="1562">
        <f t="shared" si="3"/>
        <v>1</v>
      </c>
      <c r="AB21" s="1562">
        <f t="shared" si="4"/>
        <v>1</v>
      </c>
      <c r="AC21" s="1562">
        <f t="shared" si="5"/>
        <v>1</v>
      </c>
    </row>
    <row r="22" spans="1:29" ht="20">
      <c r="A22" s="532"/>
      <c r="B22" s="566"/>
      <c r="C22" s="554"/>
      <c r="D22" s="557"/>
      <c r="E22" s="558"/>
      <c r="F22" s="555"/>
      <c r="G22" s="556"/>
      <c r="H22" s="555"/>
      <c r="I22" s="558"/>
      <c r="J22" s="555"/>
      <c r="K22" s="531"/>
      <c r="L22" s="2127"/>
      <c r="M22" s="2117"/>
      <c r="N22" s="2117"/>
      <c r="O22" s="2126"/>
      <c r="P22" s="3318"/>
      <c r="Q22" s="1558"/>
      <c r="R22" s="1559"/>
      <c r="S22" s="1560"/>
      <c r="T22" s="1559"/>
      <c r="U22" s="1560"/>
      <c r="V22" s="1559"/>
      <c r="W22" s="1560"/>
      <c r="X22" s="1553"/>
      <c r="Y22" s="3318"/>
      <c r="Z22" s="1561"/>
      <c r="AA22" s="1562">
        <v>1</v>
      </c>
      <c r="AB22" s="1562">
        <v>1</v>
      </c>
      <c r="AC22" s="1562">
        <v>1</v>
      </c>
    </row>
    <row r="23" spans="1:29" ht="90">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18"/>
      <c r="Q23" s="1558" t="str">
        <f>B23</f>
        <v>交通便捷度</v>
      </c>
      <c r="R23" s="1559" t="s">
        <v>8</v>
      </c>
      <c r="S23" s="1560">
        <f>F23</f>
        <v>100</v>
      </c>
      <c r="T23" s="1559" t="s">
        <v>8</v>
      </c>
      <c r="U23" s="1560">
        <f>H23</f>
        <v>100</v>
      </c>
      <c r="V23" s="1559" t="s">
        <v>8</v>
      </c>
      <c r="W23" s="1560">
        <f>J23</f>
        <v>100</v>
      </c>
      <c r="X23" s="1553"/>
      <c r="Y23" s="3318"/>
      <c r="Z23" s="1561" t="str">
        <f>Q23</f>
        <v>交通便捷度</v>
      </c>
      <c r="AA23" s="1562">
        <f t="shared" si="3"/>
        <v>1</v>
      </c>
      <c r="AB23" s="1562">
        <f t="shared" si="4"/>
        <v>1</v>
      </c>
      <c r="AC23" s="1562">
        <f t="shared" si="5"/>
        <v>1</v>
      </c>
    </row>
    <row r="24" spans="1:29" ht="20">
      <c r="A24" s="532"/>
      <c r="B24" s="578"/>
      <c r="C24" s="554"/>
      <c r="D24" s="557"/>
      <c r="E24" s="558"/>
      <c r="F24" s="555"/>
      <c r="G24" s="556"/>
      <c r="H24" s="555"/>
      <c r="I24" s="558"/>
      <c r="J24" s="555"/>
      <c r="K24" s="531"/>
      <c r="L24" s="2127"/>
      <c r="M24" s="2117"/>
      <c r="N24" s="2117"/>
      <c r="O24" s="2126"/>
      <c r="P24" s="3318"/>
      <c r="Q24" s="1558"/>
      <c r="R24" s="1559"/>
      <c r="S24" s="1560"/>
      <c r="T24" s="1559"/>
      <c r="U24" s="1560"/>
      <c r="V24" s="1559"/>
      <c r="W24" s="1560"/>
      <c r="X24" s="1553"/>
      <c r="Y24" s="3318"/>
      <c r="Z24" s="1561"/>
      <c r="AA24" s="1562">
        <v>1</v>
      </c>
      <c r="AB24" s="1562">
        <v>1</v>
      </c>
      <c r="AC24" s="1562">
        <v>1</v>
      </c>
    </row>
    <row r="25" spans="1:29" ht="20">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18"/>
      <c r="Q25" s="1558" t="str">
        <f t="shared" ref="Q25:Q39" si="8">B25</f>
        <v>区域土地利用方向</v>
      </c>
      <c r="R25" s="1559" t="s">
        <v>8</v>
      </c>
      <c r="S25" s="1560">
        <f>F25</f>
        <v>100</v>
      </c>
      <c r="T25" s="1559" t="s">
        <v>8</v>
      </c>
      <c r="U25" s="1560">
        <f>H25</f>
        <v>100</v>
      </c>
      <c r="V25" s="1559" t="s">
        <v>8</v>
      </c>
      <c r="W25" s="1560">
        <f>J25</f>
        <v>100</v>
      </c>
      <c r="X25" s="1553"/>
      <c r="Y25" s="3318"/>
      <c r="Z25" s="1561" t="str">
        <f>Q25</f>
        <v>区域土地利用方向</v>
      </c>
      <c r="AA25" s="1562">
        <f t="shared" si="3"/>
        <v>1</v>
      </c>
      <c r="AB25" s="1562">
        <f t="shared" si="4"/>
        <v>1</v>
      </c>
      <c r="AC25" s="1562">
        <f t="shared" si="5"/>
        <v>1</v>
      </c>
    </row>
    <row r="26" spans="1:29" ht="45" customHeight="1">
      <c r="A26" s="515"/>
      <c r="B26" s="1007"/>
      <c r="C26" s="554"/>
      <c r="D26" s="557"/>
      <c r="E26" s="558"/>
      <c r="F26" s="555"/>
      <c r="G26" s="556"/>
      <c r="H26" s="555"/>
      <c r="I26" s="558"/>
      <c r="J26" s="555"/>
      <c r="K26" s="531"/>
      <c r="L26" s="2127"/>
      <c r="M26" s="2117"/>
      <c r="N26" s="2117"/>
      <c r="O26" s="2126"/>
      <c r="P26" s="3318"/>
      <c r="Q26" s="1558"/>
      <c r="R26" s="1559"/>
      <c r="S26" s="1560"/>
      <c r="T26" s="1559"/>
      <c r="U26" s="1560"/>
      <c r="V26" s="1559"/>
      <c r="W26" s="1560"/>
      <c r="X26" s="1553"/>
      <c r="Y26" s="3318"/>
      <c r="Z26" s="1561"/>
      <c r="AA26" s="1562"/>
      <c r="AB26" s="1562"/>
      <c r="AC26" s="1562"/>
    </row>
    <row r="27" spans="1:29" ht="60">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18"/>
      <c r="Q27" s="1558" t="str">
        <f t="shared" si="8"/>
        <v>自然及人文环境状况</v>
      </c>
      <c r="R27" s="1559" t="s">
        <v>8</v>
      </c>
      <c r="S27" s="1560">
        <f>F27</f>
        <v>100</v>
      </c>
      <c r="T27" s="1559" t="s">
        <v>8</v>
      </c>
      <c r="U27" s="1560">
        <f>H27</f>
        <v>100</v>
      </c>
      <c r="V27" s="1559" t="s">
        <v>8</v>
      </c>
      <c r="W27" s="1560">
        <f>J27</f>
        <v>100</v>
      </c>
      <c r="X27" s="1553"/>
      <c r="Y27" s="3318"/>
      <c r="Z27" s="1561" t="str">
        <f>Q27</f>
        <v>自然及人文环境状况</v>
      </c>
      <c r="AA27" s="1562">
        <f t="shared" si="3"/>
        <v>1</v>
      </c>
      <c r="AB27" s="1562">
        <f t="shared" si="4"/>
        <v>1</v>
      </c>
      <c r="AC27" s="1562">
        <f t="shared" si="5"/>
        <v>1</v>
      </c>
    </row>
    <row r="28" spans="1:29" ht="20">
      <c r="A28" s="515"/>
      <c r="B28" s="566"/>
      <c r="C28" s="554"/>
      <c r="D28" s="557"/>
      <c r="E28" s="576"/>
      <c r="F28" s="555"/>
      <c r="G28" s="554"/>
      <c r="H28" s="555"/>
      <c r="I28" s="576"/>
      <c r="J28" s="555"/>
      <c r="K28" s="531"/>
      <c r="L28" s="2127"/>
      <c r="M28" s="2117"/>
      <c r="N28" s="2117"/>
      <c r="O28" s="2126"/>
      <c r="P28" s="3318"/>
      <c r="Q28" s="1558"/>
      <c r="R28" s="1559"/>
      <c r="S28" s="1560"/>
      <c r="T28" s="1559"/>
      <c r="U28" s="1560"/>
      <c r="V28" s="1559"/>
      <c r="W28" s="1560"/>
      <c r="X28" s="1553"/>
      <c r="Y28" s="3318"/>
      <c r="Z28" s="1561"/>
      <c r="AA28" s="1562">
        <v>1</v>
      </c>
      <c r="AB28" s="1562">
        <v>1</v>
      </c>
      <c r="AC28" s="1562">
        <v>1</v>
      </c>
    </row>
    <row r="29" spans="1:29" s="1216" customFormat="1" ht="4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18"/>
      <c r="Q29" s="1147" t="str">
        <f t="shared" si="8"/>
        <v>公共配套设施</v>
      </c>
      <c r="R29" s="1554" t="s">
        <v>8</v>
      </c>
      <c r="S29" s="1555">
        <f>F29</f>
        <v>100</v>
      </c>
      <c r="T29" s="1554" t="s">
        <v>8</v>
      </c>
      <c r="U29" s="1555">
        <f>H29</f>
        <v>100</v>
      </c>
      <c r="V29" s="1554" t="s">
        <v>8</v>
      </c>
      <c r="W29" s="1555">
        <f>J29</f>
        <v>100</v>
      </c>
      <c r="X29" s="1556"/>
      <c r="Y29" s="3318"/>
      <c r="Z29" s="1146" t="str">
        <f>Q29</f>
        <v>公共配套设施</v>
      </c>
      <c r="AA29" s="1562">
        <f>D29/F29</f>
        <v>1</v>
      </c>
      <c r="AB29" s="1562">
        <f>D29/H29</f>
        <v>1</v>
      </c>
      <c r="AC29" s="1562">
        <f>D29/J29</f>
        <v>1</v>
      </c>
    </row>
    <row r="30" spans="1:29" s="1216" customFormat="1" ht="20">
      <c r="A30" s="577"/>
      <c r="B30" s="566"/>
      <c r="C30" s="579"/>
      <c r="D30" s="557"/>
      <c r="E30" s="576"/>
      <c r="F30" s="555"/>
      <c r="G30" s="554"/>
      <c r="H30" s="555"/>
      <c r="I30" s="576"/>
      <c r="J30" s="555"/>
      <c r="K30" s="531"/>
      <c r="L30" s="2120"/>
      <c r="M30" s="2117"/>
      <c r="N30" s="2117"/>
      <c r="O30" s="2122"/>
      <c r="P30" s="3318"/>
      <c r="Q30" s="1147"/>
      <c r="R30" s="1554"/>
      <c r="S30" s="1555"/>
      <c r="T30" s="1554"/>
      <c r="U30" s="1555"/>
      <c r="V30" s="1554"/>
      <c r="W30" s="1555"/>
      <c r="X30" s="1556"/>
      <c r="Y30" s="3318"/>
      <c r="Z30" s="1146"/>
      <c r="AA30" s="1562">
        <v>1</v>
      </c>
      <c r="AB30" s="1562">
        <v>1</v>
      </c>
      <c r="AC30" s="1562">
        <v>1</v>
      </c>
    </row>
    <row r="31" spans="1:29" s="1216" customFormat="1" ht="30">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18"/>
      <c r="Q31" s="2542" t="str">
        <f t="shared" ref="Q31" si="9">B31</f>
        <v>基础设施水平</v>
      </c>
      <c r="R31" s="1554" t="s">
        <v>8</v>
      </c>
      <c r="S31" s="1555">
        <f>F31</f>
        <v>100</v>
      </c>
      <c r="T31" s="1554" t="s">
        <v>8</v>
      </c>
      <c r="U31" s="1555">
        <f>H31</f>
        <v>100</v>
      </c>
      <c r="V31" s="1554" t="s">
        <v>8</v>
      </c>
      <c r="W31" s="1555">
        <f>J31</f>
        <v>100</v>
      </c>
      <c r="X31" s="1556"/>
      <c r="Y31" s="3318"/>
      <c r="Z31" s="2539" t="str">
        <f>Q31</f>
        <v>基础设施水平</v>
      </c>
      <c r="AA31" s="1562">
        <f>D31/F31</f>
        <v>1</v>
      </c>
      <c r="AB31" s="1562">
        <f>D31/H31</f>
        <v>1</v>
      </c>
      <c r="AC31" s="1562">
        <f>D31/J31</f>
        <v>1</v>
      </c>
    </row>
    <row r="32" spans="1:29" s="1216" customFormat="1" ht="20">
      <c r="A32" s="577"/>
      <c r="B32" s="566"/>
      <c r="C32" s="579"/>
      <c r="D32" s="557"/>
      <c r="E32" s="2556"/>
      <c r="F32" s="555"/>
      <c r="G32" s="579"/>
      <c r="H32" s="555"/>
      <c r="I32" s="579"/>
      <c r="J32" s="555"/>
      <c r="K32" s="531"/>
      <c r="L32" s="2120"/>
      <c r="M32" s="2117"/>
      <c r="N32" s="2117"/>
      <c r="O32" s="2122"/>
      <c r="P32" s="3318"/>
      <c r="Q32" s="2542"/>
      <c r="R32" s="1554"/>
      <c r="S32" s="1555"/>
      <c r="T32" s="1554"/>
      <c r="U32" s="1555"/>
      <c r="V32" s="1554"/>
      <c r="W32" s="1555"/>
      <c r="X32" s="1556"/>
      <c r="Y32" s="3318"/>
      <c r="Z32" s="2539"/>
      <c r="AA32" s="1562">
        <v>1</v>
      </c>
      <c r="AB32" s="1562">
        <v>1</v>
      </c>
      <c r="AC32" s="1562">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1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18"/>
      <c r="Z33" s="1561" t="str">
        <f t="shared" ref="Z33:Z47" si="13">Q33</f>
        <v>临街状况</v>
      </c>
      <c r="AA33" s="1562">
        <f t="shared" si="3"/>
        <v>1</v>
      </c>
      <c r="AB33" s="1562">
        <f t="shared" si="4"/>
        <v>1</v>
      </c>
      <c r="AC33" s="1562">
        <f t="shared" si="5"/>
        <v>1</v>
      </c>
    </row>
    <row r="34" spans="1:29" ht="30">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18"/>
      <c r="Q34" s="1558" t="str">
        <f t="shared" si="8"/>
        <v>毗邻道路的类型与等级</v>
      </c>
      <c r="R34" s="1559" t="s">
        <v>8</v>
      </c>
      <c r="S34" s="1560">
        <f t="shared" si="10"/>
        <v>100</v>
      </c>
      <c r="T34" s="1559" t="s">
        <v>8</v>
      </c>
      <c r="U34" s="1560">
        <f t="shared" si="11"/>
        <v>100</v>
      </c>
      <c r="V34" s="1559" t="s">
        <v>8</v>
      </c>
      <c r="W34" s="1560">
        <f t="shared" si="12"/>
        <v>100</v>
      </c>
      <c r="X34" s="1553"/>
      <c r="Y34" s="3318"/>
      <c r="Z34" s="1561" t="str">
        <f t="shared" si="13"/>
        <v>毗邻道路的类型与等级</v>
      </c>
      <c r="AA34" s="1562">
        <f t="shared" si="3"/>
        <v>1</v>
      </c>
      <c r="AB34" s="1562">
        <f t="shared" si="4"/>
        <v>1</v>
      </c>
      <c r="AC34" s="1562">
        <f t="shared" si="5"/>
        <v>1</v>
      </c>
    </row>
    <row r="35" spans="1:29" ht="20">
      <c r="A35" s="532"/>
      <c r="B35" s="566"/>
      <c r="C35" s="554"/>
      <c r="D35" s="557"/>
      <c r="E35" s="576"/>
      <c r="F35" s="555"/>
      <c r="G35" s="554"/>
      <c r="H35" s="555"/>
      <c r="I35" s="576"/>
      <c r="J35" s="555"/>
      <c r="K35" s="581"/>
      <c r="L35" s="2127"/>
      <c r="M35" s="2117"/>
      <c r="N35" s="2117"/>
      <c r="O35" s="2126"/>
      <c r="P35" s="3318"/>
      <c r="Q35" s="1558"/>
      <c r="R35" s="1559"/>
      <c r="S35" s="1560"/>
      <c r="T35" s="1559"/>
      <c r="U35" s="1560"/>
      <c r="V35" s="1559"/>
      <c r="W35" s="1560"/>
      <c r="X35" s="1553"/>
      <c r="Y35" s="3318"/>
      <c r="Z35" s="1561"/>
      <c r="AA35" s="1562">
        <v>1</v>
      </c>
      <c r="AB35" s="1562">
        <v>1</v>
      </c>
      <c r="AC35" s="1562">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18"/>
      <c r="Q36" s="1558" t="str">
        <f t="shared" si="8"/>
        <v>土地级别</v>
      </c>
      <c r="R36" s="1559" t="s">
        <v>8</v>
      </c>
      <c r="S36" s="1560">
        <f t="shared" si="10"/>
        <v>100</v>
      </c>
      <c r="T36" s="1559" t="s">
        <v>8</v>
      </c>
      <c r="U36" s="1560">
        <f t="shared" si="11"/>
        <v>100</v>
      </c>
      <c r="V36" s="1559" t="s">
        <v>8</v>
      </c>
      <c r="W36" s="1560">
        <f t="shared" si="12"/>
        <v>100</v>
      </c>
      <c r="X36" s="1553"/>
      <c r="Y36" s="3318"/>
      <c r="Z36" s="1561" t="str">
        <f t="shared" si="13"/>
        <v>土地级别</v>
      </c>
      <c r="AA36" s="1562">
        <f t="shared" si="3"/>
        <v>1</v>
      </c>
      <c r="AB36" s="1562">
        <f t="shared" si="4"/>
        <v>1</v>
      </c>
      <c r="AC36" s="1562">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18"/>
      <c r="Q37" s="1558">
        <f t="shared" si="8"/>
        <v>111</v>
      </c>
      <c r="R37" s="1559" t="s">
        <v>8</v>
      </c>
      <c r="S37" s="1560">
        <f t="shared" si="10"/>
        <v>100</v>
      </c>
      <c r="T37" s="1559" t="s">
        <v>8</v>
      </c>
      <c r="U37" s="1560">
        <f t="shared" si="11"/>
        <v>100</v>
      </c>
      <c r="V37" s="1559" t="s">
        <v>8</v>
      </c>
      <c r="W37" s="1560">
        <f t="shared" si="12"/>
        <v>100</v>
      </c>
      <c r="X37" s="1553"/>
      <c r="Y37" s="3318"/>
      <c r="Z37" s="1561">
        <f t="shared" si="13"/>
        <v>111</v>
      </c>
      <c r="AA37" s="1562">
        <f t="shared" si="3"/>
        <v>1</v>
      </c>
      <c r="AB37" s="1562">
        <f t="shared" si="4"/>
        <v>1</v>
      </c>
      <c r="AC37" s="1562">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19" t="s">
        <v>550</v>
      </c>
      <c r="Q38" s="1558">
        <f t="shared" si="8"/>
        <v>111</v>
      </c>
      <c r="R38" s="1559" t="s">
        <v>8</v>
      </c>
      <c r="S38" s="1560">
        <f t="shared" si="10"/>
        <v>100</v>
      </c>
      <c r="T38" s="1559" t="s">
        <v>8</v>
      </c>
      <c r="U38" s="1560">
        <f t="shared" si="11"/>
        <v>100</v>
      </c>
      <c r="V38" s="1559" t="s">
        <v>8</v>
      </c>
      <c r="W38" s="1560">
        <f t="shared" si="12"/>
        <v>100</v>
      </c>
      <c r="X38" s="1553"/>
      <c r="Y38" s="3320"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20"/>
      <c r="Q39" s="1558">
        <f t="shared" si="8"/>
        <v>111</v>
      </c>
      <c r="R39" s="1563" t="s">
        <v>8</v>
      </c>
      <c r="S39" s="1564">
        <f t="shared" si="10"/>
        <v>100</v>
      </c>
      <c r="T39" s="1563" t="s">
        <v>8</v>
      </c>
      <c r="U39" s="1564">
        <f t="shared" si="11"/>
        <v>100</v>
      </c>
      <c r="V39" s="1563" t="s">
        <v>8</v>
      </c>
      <c r="W39" s="1564">
        <f t="shared" si="12"/>
        <v>100</v>
      </c>
      <c r="X39" s="1565"/>
      <c r="Y39" s="3320"/>
      <c r="Z39" s="1566">
        <f t="shared" si="13"/>
        <v>111</v>
      </c>
      <c r="AA39" s="1562">
        <f t="shared" si="3"/>
        <v>1</v>
      </c>
      <c r="AB39" s="1562">
        <f t="shared" si="4"/>
        <v>1</v>
      </c>
      <c r="AC39" s="1562">
        <f t="shared" si="5"/>
        <v>1</v>
      </c>
    </row>
    <row r="40" spans="1:29" ht="20">
      <c r="A40" s="2862" t="s">
        <v>2752</v>
      </c>
      <c r="B40" s="595" t="s">
        <v>552</v>
      </c>
      <c r="C40" s="596">
        <f>'数据-汇总表'!D3</f>
        <v>63650</v>
      </c>
      <c r="D40" s="597">
        <v>100</v>
      </c>
      <c r="E40" s="596">
        <f>住宅土地案例!G6</f>
        <v>51189</v>
      </c>
      <c r="F40" s="597">
        <f>LOOKUP(E40,119:119,120:120)-LOOKUP(C40,119:119,120:120)+100</f>
        <v>100</v>
      </c>
      <c r="G40" s="596">
        <f>住宅土地案例!G16</f>
        <v>55719</v>
      </c>
      <c r="H40" s="597">
        <f>LOOKUP(G40,119:119,120:120)-LOOKUP(C40,119:119,120:120)+100</f>
        <v>100</v>
      </c>
      <c r="I40" s="598">
        <f>住宅土地案例!G93</f>
        <v>71293</v>
      </c>
      <c r="J40" s="597">
        <f>LOOKUP(I40,119:119,120:120)-LOOKUP(C40,119:119,120:120)+100</f>
        <v>100</v>
      </c>
      <c r="K40" s="581"/>
      <c r="L40" s="2127"/>
      <c r="M40" s="2117"/>
      <c r="N40" s="2117"/>
      <c r="O40" s="2126"/>
      <c r="P40" s="3320"/>
      <c r="Q40" s="1558" t="str">
        <f>B40</f>
        <v>宗地面积</v>
      </c>
      <c r="R40" s="1559" t="s">
        <v>8</v>
      </c>
      <c r="S40" s="1560">
        <f t="shared" si="10"/>
        <v>100</v>
      </c>
      <c r="T40" s="1559" t="s">
        <v>8</v>
      </c>
      <c r="U40" s="1560">
        <f t="shared" si="11"/>
        <v>100</v>
      </c>
      <c r="V40" s="1559" t="s">
        <v>8</v>
      </c>
      <c r="W40" s="1560">
        <f t="shared" si="12"/>
        <v>100</v>
      </c>
      <c r="X40" s="1553"/>
      <c r="Y40" s="3320"/>
      <c r="Z40" s="1561" t="str">
        <f t="shared" si="13"/>
        <v>宗地面积</v>
      </c>
      <c r="AA40" s="1562">
        <f t="shared" si="3"/>
        <v>1</v>
      </c>
      <c r="AB40" s="1562">
        <f t="shared" si="4"/>
        <v>1</v>
      </c>
      <c r="AC40" s="1562">
        <f t="shared" si="5"/>
        <v>1</v>
      </c>
    </row>
    <row r="41" spans="1:29" ht="20">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20"/>
      <c r="Q41" s="1558" t="str">
        <f t="shared" ref="Q41:Q47" si="14">B41</f>
        <v>宗地形状</v>
      </c>
      <c r="R41" s="1559" t="s">
        <v>8</v>
      </c>
      <c r="S41" s="1560">
        <f t="shared" si="10"/>
        <v>100</v>
      </c>
      <c r="T41" s="1559" t="s">
        <v>8</v>
      </c>
      <c r="U41" s="1560">
        <f t="shared" si="11"/>
        <v>100</v>
      </c>
      <c r="V41" s="1559" t="s">
        <v>8</v>
      </c>
      <c r="W41" s="1560">
        <f t="shared" si="12"/>
        <v>100</v>
      </c>
      <c r="X41" s="1553"/>
      <c r="Y41" s="3320"/>
      <c r="Z41" s="1561" t="str">
        <f t="shared" si="13"/>
        <v>宗地形状</v>
      </c>
      <c r="AA41" s="1562">
        <f t="shared" si="3"/>
        <v>1</v>
      </c>
      <c r="AB41" s="1562">
        <f t="shared" si="4"/>
        <v>1</v>
      </c>
      <c r="AC41" s="1562">
        <f t="shared" si="5"/>
        <v>1</v>
      </c>
    </row>
    <row r="42" spans="1:29" ht="20">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20"/>
      <c r="Q42" s="1558" t="str">
        <f t="shared" si="14"/>
        <v>临街宽度及深度</v>
      </c>
      <c r="R42" s="1559" t="s">
        <v>8</v>
      </c>
      <c r="S42" s="1560">
        <f t="shared" si="10"/>
        <v>100</v>
      </c>
      <c r="T42" s="1559" t="s">
        <v>8</v>
      </c>
      <c r="U42" s="1560">
        <f t="shared" si="11"/>
        <v>100</v>
      </c>
      <c r="V42" s="1559" t="s">
        <v>8</v>
      </c>
      <c r="W42" s="1560">
        <f t="shared" si="12"/>
        <v>100</v>
      </c>
      <c r="X42" s="1553"/>
      <c r="Y42" s="3320"/>
      <c r="Z42" s="1561" t="str">
        <f t="shared" si="13"/>
        <v>临街宽度及深度</v>
      </c>
      <c r="AA42" s="1562">
        <f t="shared" si="3"/>
        <v>1</v>
      </c>
      <c r="AB42" s="1562">
        <f t="shared" si="4"/>
        <v>1</v>
      </c>
      <c r="AC42" s="1562">
        <f t="shared" si="5"/>
        <v>1</v>
      </c>
    </row>
    <row r="43" spans="1:29" s="1216" customFormat="1" ht="20">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20"/>
      <c r="Q43" s="1558" t="str">
        <f t="shared" si="14"/>
        <v>宗地开发程度</v>
      </c>
      <c r="R43" s="1554" t="s">
        <v>8</v>
      </c>
      <c r="S43" s="1555">
        <f t="shared" si="10"/>
        <v>100</v>
      </c>
      <c r="T43" s="1554" t="s">
        <v>8</v>
      </c>
      <c r="U43" s="1555">
        <f t="shared" si="11"/>
        <v>100</v>
      </c>
      <c r="V43" s="1554" t="s">
        <v>8</v>
      </c>
      <c r="W43" s="1555">
        <f t="shared" si="12"/>
        <v>100</v>
      </c>
      <c r="X43" s="1556"/>
      <c r="Y43" s="3320"/>
      <c r="Z43" s="1146" t="str">
        <f t="shared" si="13"/>
        <v>宗地开发程度</v>
      </c>
      <c r="AA43" s="1557">
        <f t="shared" si="3"/>
        <v>1</v>
      </c>
      <c r="AB43" s="1557">
        <f t="shared" si="4"/>
        <v>1</v>
      </c>
      <c r="AC43" s="1557">
        <f t="shared" si="5"/>
        <v>1</v>
      </c>
    </row>
    <row r="44" spans="1:29" ht="20">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20" t="s">
        <v>550</v>
      </c>
      <c r="Q44" s="1558" t="str">
        <f t="shared" si="14"/>
        <v>工程地质条件</v>
      </c>
      <c r="R44" s="1559" t="s">
        <v>8</v>
      </c>
      <c r="S44" s="1560">
        <f t="shared" si="10"/>
        <v>100</v>
      </c>
      <c r="T44" s="1559" t="s">
        <v>8</v>
      </c>
      <c r="U44" s="1560">
        <f t="shared" si="11"/>
        <v>100</v>
      </c>
      <c r="V44" s="1559" t="s">
        <v>8</v>
      </c>
      <c r="W44" s="1560">
        <f t="shared" si="12"/>
        <v>100</v>
      </c>
      <c r="X44" s="1553"/>
      <c r="Y44" s="3320" t="s">
        <v>550</v>
      </c>
      <c r="Z44" s="1561" t="str">
        <f t="shared" si="13"/>
        <v>工程地质条件</v>
      </c>
      <c r="AA44" s="1562">
        <f t="shared" si="3"/>
        <v>1</v>
      </c>
      <c r="AB44" s="1562">
        <f t="shared" si="4"/>
        <v>1</v>
      </c>
      <c r="AC44" s="1562">
        <f t="shared" si="5"/>
        <v>1</v>
      </c>
    </row>
    <row r="45" spans="1:29" ht="20">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20"/>
      <c r="Q45" s="1558">
        <f t="shared" si="14"/>
        <v>111</v>
      </c>
      <c r="R45" s="1559" t="s">
        <v>8</v>
      </c>
      <c r="S45" s="1560">
        <f t="shared" si="10"/>
        <v>100</v>
      </c>
      <c r="T45" s="1559" t="s">
        <v>8</v>
      </c>
      <c r="U45" s="1560">
        <f t="shared" si="11"/>
        <v>100</v>
      </c>
      <c r="V45" s="1559" t="s">
        <v>8</v>
      </c>
      <c r="W45" s="1560">
        <f t="shared" si="12"/>
        <v>100</v>
      </c>
      <c r="X45" s="1553"/>
      <c r="Y45" s="3320"/>
      <c r="Z45" s="1561">
        <f t="shared" si="13"/>
        <v>111</v>
      </c>
      <c r="AA45" s="1562">
        <f t="shared" si="3"/>
        <v>1</v>
      </c>
      <c r="AB45" s="1562">
        <f t="shared" si="4"/>
        <v>1</v>
      </c>
      <c r="AC45" s="1562">
        <f t="shared" si="5"/>
        <v>1</v>
      </c>
    </row>
    <row r="46" spans="1:29" ht="20">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20"/>
      <c r="Q46" s="1558">
        <f t="shared" si="14"/>
        <v>111</v>
      </c>
      <c r="R46" s="1559" t="s">
        <v>8</v>
      </c>
      <c r="S46" s="1560">
        <f t="shared" si="10"/>
        <v>100</v>
      </c>
      <c r="T46" s="1559" t="s">
        <v>8</v>
      </c>
      <c r="U46" s="1560">
        <f t="shared" si="11"/>
        <v>100</v>
      </c>
      <c r="V46" s="1559" t="s">
        <v>8</v>
      </c>
      <c r="W46" s="1560">
        <f t="shared" si="12"/>
        <v>100</v>
      </c>
      <c r="X46" s="1553"/>
      <c r="Y46" s="3320"/>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20"/>
      <c r="Q47" s="1558">
        <f t="shared" si="14"/>
        <v>111</v>
      </c>
      <c r="R47" s="1563" t="s">
        <v>8</v>
      </c>
      <c r="S47" s="1564">
        <f t="shared" si="10"/>
        <v>100</v>
      </c>
      <c r="T47" s="1563" t="s">
        <v>8</v>
      </c>
      <c r="U47" s="1564">
        <f t="shared" si="11"/>
        <v>100</v>
      </c>
      <c r="V47" s="1563" t="s">
        <v>8</v>
      </c>
      <c r="W47" s="1564">
        <f t="shared" si="12"/>
        <v>100</v>
      </c>
      <c r="X47" s="1565"/>
      <c r="Y47" s="3320"/>
      <c r="Z47" s="1566">
        <f t="shared" si="13"/>
        <v>111</v>
      </c>
      <c r="AA47" s="1562">
        <f t="shared" si="3"/>
        <v>1</v>
      </c>
      <c r="AB47" s="1562">
        <f t="shared" si="4"/>
        <v>1</v>
      </c>
      <c r="AC47" s="1562">
        <f t="shared" si="5"/>
        <v>1</v>
      </c>
    </row>
    <row r="48" spans="1:29" ht="20">
      <c r="A48" s="607" t="s">
        <v>556</v>
      </c>
      <c r="B48" s="608" t="s">
        <v>3101</v>
      </c>
      <c r="C48" s="609" t="s">
        <v>1</v>
      </c>
      <c r="D48" s="610"/>
      <c r="E48" s="611">
        <f>ROUNDDOWN(住宅土地案例!O6,0)</f>
        <v>4079</v>
      </c>
      <c r="F48" s="612"/>
      <c r="G48" s="613">
        <f>ROUNDDOWN(住宅土地案例!O16,0)</f>
        <v>3993</v>
      </c>
      <c r="H48" s="614"/>
      <c r="I48" s="611">
        <f>ROUNDDOWN(住宅土地案例!O93,0)</f>
        <v>3514</v>
      </c>
      <c r="J48" s="614"/>
      <c r="K48" s="1336"/>
      <c r="L48" s="2129"/>
      <c r="M48" s="2117"/>
      <c r="N48" s="2117"/>
      <c r="O48" s="2130"/>
      <c r="P48" s="3315" t="str">
        <f>A48</f>
        <v>成交单价</v>
      </c>
      <c r="Q48" s="3315"/>
      <c r="R48" s="3329">
        <f>E48</f>
        <v>4079</v>
      </c>
      <c r="S48" s="3329"/>
      <c r="T48" s="3329">
        <f>G48</f>
        <v>3993</v>
      </c>
      <c r="U48" s="3329"/>
      <c r="V48" s="3329">
        <f>I48</f>
        <v>3514</v>
      </c>
      <c r="W48" s="3329"/>
      <c r="X48" s="1545"/>
      <c r="Y48" s="1567"/>
      <c r="Z48" s="1545"/>
      <c r="AA48" s="1545"/>
      <c r="AB48" s="1545"/>
      <c r="AC48" s="1545"/>
    </row>
    <row r="49" spans="1:29" ht="21" thickBot="1">
      <c r="A49" s="615" t="s">
        <v>2690</v>
      </c>
      <c r="B49" s="616"/>
      <c r="C49" s="617">
        <f>R50</f>
        <v>3550</v>
      </c>
      <c r="D49" s="618"/>
      <c r="E49" s="617">
        <f>R49</f>
        <v>3788</v>
      </c>
      <c r="F49" s="619"/>
      <c r="G49" s="620">
        <f>T49</f>
        <v>3720</v>
      </c>
      <c r="H49" s="618"/>
      <c r="I49" s="617">
        <f>V49</f>
        <v>3142</v>
      </c>
      <c r="J49" s="618"/>
      <c r="K49" s="1337"/>
      <c r="L49" s="2129"/>
      <c r="M49" s="2117"/>
      <c r="N49" s="2117"/>
      <c r="O49" s="2130"/>
      <c r="P49" s="3315" t="str">
        <f>A49</f>
        <v>比较价格（元/平方米）</v>
      </c>
      <c r="Q49" s="3315"/>
      <c r="R49" s="3339">
        <f>ROUND(PRODUCT(R48,AA9:AA47),0)</f>
        <v>3788</v>
      </c>
      <c r="S49" s="3339"/>
      <c r="T49" s="3339">
        <f>ROUND(PRODUCT(T48,AB9:AB47),0)</f>
        <v>3720</v>
      </c>
      <c r="U49" s="3339"/>
      <c r="V49" s="3339">
        <f>ROUND(PRODUCT(V48,AC9:AC47),0)</f>
        <v>3142</v>
      </c>
      <c r="W49" s="3339"/>
      <c r="X49" s="1545"/>
      <c r="Y49" s="1545"/>
      <c r="Z49" s="1545"/>
      <c r="AA49" s="1545"/>
      <c r="AB49" s="1545"/>
      <c r="AC49" s="1545"/>
    </row>
    <row r="50" spans="1:29" ht="21" thickBot="1">
      <c r="A50" s="621" t="s">
        <v>2934</v>
      </c>
      <c r="B50" s="622"/>
      <c r="C50" s="623">
        <f>R50</f>
        <v>3550</v>
      </c>
      <c r="D50" s="623"/>
      <c r="E50" s="623"/>
      <c r="F50" s="623"/>
      <c r="G50" s="623"/>
      <c r="H50" s="623"/>
      <c r="I50" s="623"/>
      <c r="J50" s="623"/>
      <c r="K50" s="1338"/>
      <c r="L50" s="2129"/>
      <c r="M50" s="2117"/>
      <c r="N50" s="2117"/>
      <c r="O50" s="2130"/>
      <c r="P50" s="3336" t="str">
        <f>A50</f>
        <v>估价对象XX用房的比较价格（楼面单价，元/平方米）</v>
      </c>
      <c r="Q50" s="3337"/>
      <c r="R50" s="3338">
        <f>ROUND(AVERAGE(R49:V49),0)</f>
        <v>3550</v>
      </c>
      <c r="S50" s="3338"/>
      <c r="T50" s="3338"/>
      <c r="U50" s="3338"/>
      <c r="V50" s="3338"/>
      <c r="W50" s="3338"/>
      <c r="X50" s="1545"/>
      <c r="Y50" s="1545"/>
      <c r="Z50" s="1545"/>
      <c r="AA50" s="1545"/>
      <c r="AB50" s="1545"/>
      <c r="AC50" s="1545"/>
    </row>
    <row r="51" spans="1:29" ht="20">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7.6821541710665242E-2</v>
      </c>
      <c r="F53" s="627" t="str">
        <f>IF(OR(E53&gt;=0.3,E53&lt;=-0.3),"超过30%","")</f>
        <v/>
      </c>
      <c r="G53" s="626">
        <f>IF(G48&lt;G49,G49/G48-1,G48/G49-1)</f>
        <v>7.3387096774193639E-2</v>
      </c>
      <c r="H53" s="627" t="str">
        <f>IF(OR(G53&gt;=0.3,G53&lt;=-0.3),"超过30%","")</f>
        <v/>
      </c>
      <c r="I53" s="626">
        <f>IF(I48&lt;I49,I49/I48-1,I48/I49-1)</f>
        <v>0.11839592616168049</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1.8279569892473146E-2</v>
      </c>
      <c r="F54" s="627" t="str">
        <f>IF(OR(E54&gt;=0.2,E54&lt;=-0.2),"超过20%","")</f>
        <v/>
      </c>
      <c r="G54" s="626">
        <f>IF(G49&lt;I49,I49/G49-1,G49/I49-1)</f>
        <v>0.18395926161680465</v>
      </c>
      <c r="H54" s="627" t="str">
        <f>IF(OR(G54&gt;=0.2,G54&lt;=-0.2),"超过20%","")</f>
        <v/>
      </c>
      <c r="I54" s="626">
        <f>IF(I49&lt;E49,E49/I49-1,I49/E49-1)</f>
        <v>0.2056015276893699</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2.1537690959178457E-2</v>
      </c>
      <c r="F55" s="627" t="str">
        <f>IF(OR(E55&gt;=0.3,E55&lt;=-0.3),"超过30%","")</f>
        <v/>
      </c>
      <c r="G55" s="626">
        <f>IF(G48&lt;I48,I48/G48-1,G48/I48-1)</f>
        <v>0.13631189527603871</v>
      </c>
      <c r="H55" s="627" t="str">
        <f>IF(OR(G55&gt;=0.3,G55&lt;=-0.3),"超过30%","")</f>
        <v/>
      </c>
      <c r="I55" s="626">
        <f>IF(I48&lt;E48,E48/I48-1,I48/E48-1)</f>
        <v>0.16078542970973242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298" t="s">
        <v>2279</v>
      </c>
      <c r="H57" s="3299"/>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
      <c r="A58" s="633" t="s">
        <v>564</v>
      </c>
      <c r="B58" s="634">
        <f>C50</f>
        <v>3550</v>
      </c>
      <c r="C58" s="635">
        <v>1</v>
      </c>
      <c r="D58" s="2213">
        <v>1</v>
      </c>
      <c r="E58" s="635">
        <f>'数据-汇总表'!E8+'数据-汇总表'!E9</f>
        <v>170176</v>
      </c>
      <c r="F58" s="636">
        <f t="shared" ref="F58:F67" si="15">ROUND(B58*E58/10000,0)</f>
        <v>60412</v>
      </c>
      <c r="G58" s="3300"/>
      <c r="H58" s="330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
      <c r="A59" s="637" t="s">
        <v>565</v>
      </c>
      <c r="B59" s="638">
        <f>ROUND($C$50*C59*D59,0)</f>
        <v>0</v>
      </c>
      <c r="C59" s="378">
        <f t="shared" ref="C59:C67" si="16">IF($C$57="北京市系数",I59,J59)</f>
        <v>0</v>
      </c>
      <c r="D59" s="2214">
        <v>0.25</v>
      </c>
      <c r="E59" s="639">
        <v>0</v>
      </c>
      <c r="F59" s="636">
        <f t="shared" si="15"/>
        <v>0</v>
      </c>
      <c r="G59" s="3302"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
      <c r="A60" s="637" t="s">
        <v>566</v>
      </c>
      <c r="B60" s="638">
        <f t="shared" ref="B60:B67" si="17">ROUND($C$50*C60*D60,0)</f>
        <v>0</v>
      </c>
      <c r="C60" s="378">
        <f t="shared" si="16"/>
        <v>0</v>
      </c>
      <c r="D60" s="2214">
        <v>0.25</v>
      </c>
      <c r="E60" s="639">
        <v>0</v>
      </c>
      <c r="F60" s="636">
        <f t="shared" si="15"/>
        <v>0</v>
      </c>
      <c r="G60" s="330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
      <c r="A61" s="637" t="s">
        <v>567</v>
      </c>
      <c r="B61" s="638">
        <f t="shared" si="17"/>
        <v>0</v>
      </c>
      <c r="C61" s="378">
        <f t="shared" si="16"/>
        <v>0</v>
      </c>
      <c r="D61" s="2214">
        <v>0.25</v>
      </c>
      <c r="E61" s="639">
        <v>0</v>
      </c>
      <c r="F61" s="636">
        <f t="shared" si="15"/>
        <v>0</v>
      </c>
      <c r="G61" s="330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
      <c r="A62" s="637" t="s">
        <v>568</v>
      </c>
      <c r="B62" s="638">
        <f t="shared" si="17"/>
        <v>0</v>
      </c>
      <c r="C62" s="378">
        <f t="shared" si="16"/>
        <v>0</v>
      </c>
      <c r="D62" s="2214">
        <v>0.25</v>
      </c>
      <c r="E62" s="639">
        <v>0</v>
      </c>
      <c r="F62" s="636">
        <f t="shared" si="15"/>
        <v>0</v>
      </c>
      <c r="G62" s="330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
      <c r="A65" s="637" t="s">
        <v>570</v>
      </c>
      <c r="B65" s="638">
        <f t="shared" si="17"/>
        <v>0</v>
      </c>
      <c r="C65" s="378">
        <f t="shared" si="16"/>
        <v>0</v>
      </c>
      <c r="D65" s="2214">
        <v>0.25</v>
      </c>
      <c r="E65" s="641">
        <f>'数据-汇总表'!E13</f>
        <v>64125</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5" thickBot="1">
      <c r="A68" s="642" t="s">
        <v>573</v>
      </c>
      <c r="B68" s="643" t="s">
        <v>17</v>
      </c>
      <c r="C68" s="643" t="s">
        <v>18</v>
      </c>
      <c r="D68" s="643" t="s">
        <v>2292</v>
      </c>
      <c r="E68" s="643">
        <f>IF(B48="楼面地价",SUM(E58:E67),'数据-汇总表'!D3)</f>
        <v>234301</v>
      </c>
      <c r="F68" s="644">
        <f>IF(B48="楼面地价",SUM(F58:F67),ROUND(C50*E68/10000,0))</f>
        <v>60412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2020-2-1</v>
      </c>
      <c r="D70" s="2754">
        <f>EDATE(C70,-3)</f>
        <v>43770</v>
      </c>
      <c r="E70" s="2754">
        <f t="shared" ref="E70:N70" si="18">EDATE(D70,-3)</f>
        <v>43678</v>
      </c>
      <c r="F70" s="2754">
        <f t="shared" si="18"/>
        <v>43586</v>
      </c>
      <c r="G70" s="2754">
        <f t="shared" si="18"/>
        <v>43497</v>
      </c>
      <c r="H70" s="2754">
        <f t="shared" si="18"/>
        <v>43405</v>
      </c>
      <c r="I70" s="2754">
        <f t="shared" si="18"/>
        <v>43313</v>
      </c>
      <c r="J70" s="2754">
        <f t="shared" si="18"/>
        <v>43221</v>
      </c>
      <c r="K70" s="2754">
        <f t="shared" si="18"/>
        <v>43132</v>
      </c>
      <c r="L70" s="2754">
        <f t="shared" si="18"/>
        <v>43040</v>
      </c>
      <c r="M70" s="2754">
        <f t="shared" si="18"/>
        <v>42948</v>
      </c>
      <c r="N70" s="2754">
        <f t="shared" si="18"/>
        <v>42856</v>
      </c>
      <c r="O70" s="2130"/>
      <c r="P70" s="2130"/>
      <c r="Q70" s="2130"/>
      <c r="R70" s="2130"/>
      <c r="S70" s="2130"/>
      <c r="T70" s="2130"/>
      <c r="U70" s="2130"/>
      <c r="V70" s="2130"/>
      <c r="W70" s="2130"/>
      <c r="X70" s="2130"/>
      <c r="Y70" s="2130"/>
      <c r="Z70" s="2130"/>
      <c r="AA70" s="2130"/>
      <c r="AB70" s="2130"/>
      <c r="AC70" s="2130"/>
    </row>
    <row r="71" spans="1:29" ht="21"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北京市平均增长率1.92%</v>
      </c>
      <c r="C73" s="894">
        <v>100</v>
      </c>
      <c r="D73" s="3195">
        <f>C73-$C$74</f>
        <v>99.7</v>
      </c>
      <c r="E73" s="3195">
        <f t="shared" ref="E73:M73" si="20">D73-$C$74</f>
        <v>99.4</v>
      </c>
      <c r="F73" s="3195">
        <f t="shared" si="20"/>
        <v>99.100000000000009</v>
      </c>
      <c r="G73" s="3195">
        <f t="shared" si="20"/>
        <v>98.800000000000011</v>
      </c>
      <c r="H73" s="3195">
        <f t="shared" si="20"/>
        <v>98.500000000000014</v>
      </c>
      <c r="I73" s="3195">
        <f t="shared" si="20"/>
        <v>98.200000000000017</v>
      </c>
      <c r="J73" s="3195">
        <f t="shared" si="20"/>
        <v>97.90000000000002</v>
      </c>
      <c r="K73" s="3195">
        <f>J73-$C$74</f>
        <v>97.600000000000023</v>
      </c>
      <c r="L73" s="3195">
        <f t="shared" si="20"/>
        <v>97.300000000000026</v>
      </c>
      <c r="M73" s="3195">
        <f t="shared" si="20"/>
        <v>97.000000000000028</v>
      </c>
      <c r="N73" s="3206">
        <f>M73-C74*2</f>
        <v>96.400000000000034</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3194">
        <v>0.3</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5">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31"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6"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f>C82+0.5</f>
        <v>0.5</v>
      </c>
      <c r="E82" s="541">
        <f t="shared" ref="E82:K82" si="22">D82+0.5</f>
        <v>1</v>
      </c>
      <c r="F82" s="541">
        <f t="shared" si="22"/>
        <v>1.5</v>
      </c>
      <c r="G82" s="541">
        <f t="shared" si="22"/>
        <v>2</v>
      </c>
      <c r="H82" s="541">
        <f t="shared" si="22"/>
        <v>2.5</v>
      </c>
      <c r="I82" s="541">
        <f t="shared" si="22"/>
        <v>3</v>
      </c>
      <c r="J82" s="541">
        <f t="shared" si="22"/>
        <v>3.5</v>
      </c>
      <c r="K82" s="541">
        <f t="shared" si="22"/>
        <v>4</v>
      </c>
      <c r="L82" s="685"/>
      <c r="M82" s="686"/>
      <c r="N82" s="2149"/>
      <c r="O82" s="2149"/>
      <c r="P82" s="2150"/>
      <c r="Q82" s="2143"/>
      <c r="R82" s="2130"/>
      <c r="S82" s="2130"/>
      <c r="T82" s="2130"/>
      <c r="U82" s="2130"/>
      <c r="V82" s="2130"/>
      <c r="W82" s="2130"/>
      <c r="X82" s="2130"/>
      <c r="Y82" s="2130"/>
      <c r="Z82" s="2130"/>
      <c r="AA82" s="2130"/>
      <c r="AB82" s="2130"/>
      <c r="AC82" s="2130"/>
    </row>
    <row r="83" spans="1:29" ht="15" thickBot="1">
      <c r="A83" s="669"/>
      <c r="B83" s="670"/>
      <c r="C83" s="679">
        <v>100</v>
      </c>
      <c r="D83" s="679">
        <f>IF($B$48="单位面积地价",C83+$K13,C83-$K13)</f>
        <v>92</v>
      </c>
      <c r="E83" s="679">
        <f t="shared" ref="E83:M83" si="23">IF($B$48="单位面积地价",D83+$K13,D83-$K13)</f>
        <v>84</v>
      </c>
      <c r="F83" s="679">
        <f t="shared" si="23"/>
        <v>76</v>
      </c>
      <c r="G83" s="679">
        <f t="shared" si="23"/>
        <v>68</v>
      </c>
      <c r="H83" s="679">
        <f t="shared" si="23"/>
        <v>60</v>
      </c>
      <c r="I83" s="679">
        <f t="shared" si="23"/>
        <v>52</v>
      </c>
      <c r="J83" s="679">
        <f t="shared" si="23"/>
        <v>44</v>
      </c>
      <c r="K83" s="679">
        <f t="shared" si="23"/>
        <v>36</v>
      </c>
      <c r="L83" s="679">
        <f t="shared" si="23"/>
        <v>28</v>
      </c>
      <c r="M83" s="679">
        <f t="shared" si="23"/>
        <v>20</v>
      </c>
      <c r="N83" s="2151"/>
      <c r="O83" s="2151"/>
      <c r="P83" s="2150"/>
      <c r="Q83" s="2143"/>
      <c r="R83" s="2130"/>
      <c r="S83" s="2130"/>
      <c r="T83" s="2130"/>
      <c r="U83" s="2130"/>
      <c r="V83" s="2130"/>
      <c r="W83" s="2130"/>
      <c r="X83" s="2130"/>
      <c r="Y83" s="2130"/>
      <c r="Z83" s="2130"/>
      <c r="AA83" s="2130"/>
      <c r="AB83" s="2130"/>
      <c r="AC83" s="2130"/>
    </row>
    <row r="84" spans="1:29" s="1335" customFormat="1" ht="16"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6"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6"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6"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16"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31"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6"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6"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6"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1"/>
      <c r="O107" s="2151"/>
      <c r="P107" s="2150"/>
      <c r="Q107" s="2143"/>
      <c r="R107" s="2130"/>
      <c r="S107" s="2130"/>
      <c r="T107" s="2130"/>
      <c r="U107" s="2130"/>
      <c r="V107" s="2130"/>
      <c r="W107" s="2130"/>
      <c r="X107" s="2130"/>
      <c r="Y107" s="2130"/>
      <c r="Z107" s="2130"/>
      <c r="AA107" s="2130"/>
      <c r="AB107" s="2130"/>
      <c r="AC107" s="2130"/>
    </row>
    <row r="108" spans="1:29" ht="3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1"/>
      <c r="O109" s="2151"/>
      <c r="P109" s="2150"/>
      <c r="Q109" s="2143"/>
      <c r="R109" s="2130"/>
      <c r="S109" s="2130"/>
      <c r="T109" s="2130"/>
      <c r="U109" s="2130"/>
      <c r="V109" s="2130"/>
      <c r="W109" s="2130"/>
      <c r="X109" s="2130"/>
      <c r="Y109" s="2130"/>
      <c r="Z109" s="2130"/>
      <c r="AA109" s="2130"/>
      <c r="AB109" s="2130"/>
      <c r="AC109" s="2130"/>
    </row>
    <row r="110" spans="1:29" ht="16"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1"/>
      <c r="O111" s="2151"/>
      <c r="P111" s="2150"/>
      <c r="Q111" s="2143"/>
      <c r="R111" s="2130"/>
      <c r="S111" s="2130"/>
      <c r="T111" s="2130"/>
      <c r="U111" s="2130"/>
      <c r="V111" s="2130"/>
      <c r="W111" s="2130"/>
      <c r="X111" s="2130"/>
      <c r="Y111" s="2130"/>
      <c r="Z111" s="2130"/>
      <c r="AA111" s="2130"/>
      <c r="AB111" s="2130"/>
      <c r="AC111" s="2130"/>
    </row>
    <row r="112" spans="1:29" ht="1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30">
      <c r="A118" s="664" t="s">
        <v>551</v>
      </c>
      <c r="B118" s="665" t="s">
        <v>593</v>
      </c>
      <c r="C118" s="704" t="str">
        <f t="shared" ref="C118:L118" si="27">C119&amp;"(含)"&amp;"-"&amp;D119</f>
        <v>0(含)-50000</v>
      </c>
      <c r="D118" s="704" t="str">
        <f t="shared" si="27"/>
        <v>50000(含)-100000</v>
      </c>
      <c r="E118" s="704" t="str">
        <f t="shared" si="27"/>
        <v>100000(含)-</v>
      </c>
      <c r="F118" s="704" t="str">
        <f t="shared" si="27"/>
        <v>(含)-</v>
      </c>
      <c r="G118" s="704" t="str">
        <f t="shared" si="27"/>
        <v>(含)-</v>
      </c>
      <c r="H118" s="704" t="str">
        <f t="shared" si="27"/>
        <v>(含)-</v>
      </c>
      <c r="I118" s="704" t="str">
        <f t="shared" si="27"/>
        <v>(含)-</v>
      </c>
      <c r="J118" s="3043" t="str">
        <f t="shared" si="27"/>
        <v>(含)-</v>
      </c>
      <c r="K118" s="3043" t="str">
        <f t="shared" si="27"/>
        <v>(含)-</v>
      </c>
      <c r="L118" s="3044" t="str">
        <f t="shared" si="27"/>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 thickBot="1">
      <c r="A120" s="669"/>
      <c r="B120" s="678"/>
      <c r="C120" s="700">
        <v>100</v>
      </c>
      <c r="D120" s="726">
        <f>C120+1</f>
        <v>101</v>
      </c>
      <c r="E120" s="726">
        <f>D120+1</f>
        <v>102</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6"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1"/>
      <c r="O122" s="2151"/>
      <c r="P122" s="2150"/>
      <c r="Q122" s="2143"/>
      <c r="R122" s="2130"/>
      <c r="S122" s="2130"/>
      <c r="T122" s="2130"/>
      <c r="U122" s="2130"/>
      <c r="V122" s="2130"/>
      <c r="W122" s="2130"/>
      <c r="X122" s="2130"/>
      <c r="Y122" s="2130"/>
      <c r="Z122" s="2130"/>
      <c r="AA122" s="2130"/>
      <c r="AB122" s="2130"/>
      <c r="AC122" s="2130"/>
    </row>
    <row r="123" spans="1:29" ht="16"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6"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52"/>
      <c r="O126" s="2152"/>
      <c r="P126" s="2153"/>
      <c r="Q126" s="2154"/>
      <c r="R126" s="2155"/>
      <c r="S126" s="2155"/>
      <c r="T126" s="2155"/>
      <c r="U126" s="2155"/>
      <c r="V126" s="2155"/>
      <c r="W126" s="2155"/>
      <c r="X126" s="2155"/>
      <c r="Y126" s="2155"/>
      <c r="Z126" s="2155"/>
      <c r="AA126" s="2155"/>
      <c r="AB126" s="2155"/>
      <c r="AC126" s="2155"/>
    </row>
    <row r="127" spans="1:29" ht="16"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baseColWidth="10" defaultColWidth="9" defaultRowHeight="14"/>
  <cols>
    <col min="1" max="1" width="9.5" style="1992" customWidth="1"/>
    <col min="2" max="2" width="24.5" style="2007" customWidth="1"/>
    <col min="3" max="3" width="24.5" style="2009" customWidth="1"/>
    <col min="4" max="4" width="2.6640625" style="2009" customWidth="1"/>
    <col min="5" max="5" width="5.83203125" style="2009" customWidth="1"/>
    <col min="6" max="6" width="27" style="2007" customWidth="1"/>
    <col min="7" max="7" width="27" style="2008" customWidth="1"/>
    <col min="8" max="8" width="11.83203125" style="2007" customWidth="1"/>
    <col min="9" max="9" width="16.83203125" style="2008" customWidth="1"/>
    <col min="10" max="10" width="2.6640625" style="2009" customWidth="1"/>
    <col min="11" max="11" width="11.83203125" style="2007" customWidth="1"/>
    <col min="12" max="12" width="16.83203125" style="2008" customWidth="1"/>
    <col min="13" max="13" width="2.6640625" style="2009" customWidth="1"/>
    <col min="14" max="14" width="11.83203125" style="2007" customWidth="1"/>
    <col min="15" max="15" width="16.83203125" style="2008" customWidth="1"/>
    <col min="16" max="16" width="2.6640625" style="2009" customWidth="1"/>
    <col min="17" max="17" width="11.83203125" style="2007" customWidth="1"/>
    <col min="18" max="18" width="16.83203125" style="2010" customWidth="1"/>
    <col min="19" max="16384" width="9" style="1992"/>
  </cols>
  <sheetData>
    <row r="1" spans="1:18" s="1991" customFormat="1" ht="19" thickBot="1">
      <c r="A1" s="3340" t="s">
        <v>1663</v>
      </c>
      <c r="B1" s="3341"/>
      <c r="C1" s="3341"/>
      <c r="D1" s="3341"/>
      <c r="E1" s="3341"/>
      <c r="F1" s="3341"/>
      <c r="G1" s="3341"/>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60">
      <c r="A3" s="1223" t="s">
        <v>1666</v>
      </c>
      <c r="B3" s="1224" t="s">
        <v>1653</v>
      </c>
      <c r="C3" s="3031" t="s">
        <v>2920</v>
      </c>
      <c r="D3" s="1993"/>
      <c r="E3" s="1225" t="s">
        <v>1666</v>
      </c>
      <c r="F3" s="1226" t="s">
        <v>1654</v>
      </c>
      <c r="G3" s="3035" t="s">
        <v>2919</v>
      </c>
      <c r="H3" s="1992"/>
      <c r="I3" s="1992"/>
      <c r="J3" s="1992"/>
      <c r="K3" s="1992"/>
      <c r="L3" s="1992"/>
      <c r="M3" s="1992"/>
      <c r="N3" s="1992"/>
      <c r="O3" s="1992"/>
      <c r="P3" s="1992"/>
      <c r="Q3" s="1992"/>
      <c r="R3" s="1992"/>
    </row>
    <row r="4" spans="1:18" ht="45">
      <c r="A4" s="1225"/>
      <c r="B4" s="1227" t="s">
        <v>1667</v>
      </c>
      <c r="C4" s="3032" t="s">
        <v>2921</v>
      </c>
      <c r="D4" s="1993"/>
      <c r="E4" s="1228"/>
      <c r="F4" s="1229" t="s">
        <v>1668</v>
      </c>
      <c r="G4" s="3033" t="s">
        <v>2916</v>
      </c>
      <c r="H4" s="1992"/>
      <c r="I4" s="1992"/>
      <c r="J4" s="1992"/>
      <c r="K4" s="1992"/>
      <c r="L4" s="1992"/>
      <c r="M4" s="1992"/>
      <c r="N4" s="1992"/>
      <c r="O4" s="1992"/>
      <c r="P4" s="1992"/>
      <c r="Q4" s="1992"/>
      <c r="R4" s="1992"/>
    </row>
    <row r="5" spans="1:18" ht="45">
      <c r="A5" s="1225"/>
      <c r="B5" s="1227" t="s">
        <v>1669</v>
      </c>
      <c r="C5" s="3032" t="s">
        <v>2922</v>
      </c>
      <c r="D5" s="1993"/>
      <c r="E5" s="1228"/>
      <c r="F5" s="1227" t="s">
        <v>2544</v>
      </c>
      <c r="G5" s="3033" t="s">
        <v>2917</v>
      </c>
      <c r="H5" s="1992"/>
      <c r="I5" s="1992"/>
      <c r="J5" s="1992"/>
      <c r="K5" s="1992"/>
      <c r="L5" s="1992"/>
      <c r="M5" s="1992"/>
      <c r="N5" s="1992"/>
      <c r="O5" s="1992"/>
      <c r="P5" s="1992"/>
      <c r="Q5" s="1992"/>
      <c r="R5" s="1992"/>
    </row>
    <row r="6" spans="1:18" ht="60">
      <c r="A6" s="1225"/>
      <c r="B6" s="1227" t="s">
        <v>1655</v>
      </c>
      <c r="C6" s="3033" t="s">
        <v>2916</v>
      </c>
      <c r="D6" s="1993"/>
      <c r="E6" s="1228"/>
      <c r="F6" s="1227" t="s">
        <v>2545</v>
      </c>
      <c r="G6" s="3033" t="s">
        <v>2914</v>
      </c>
      <c r="H6" s="1992"/>
      <c r="I6" s="1992"/>
      <c r="J6" s="1992"/>
      <c r="K6" s="1992"/>
      <c r="L6" s="1992"/>
      <c r="M6" s="1992"/>
      <c r="N6" s="1992"/>
      <c r="O6" s="1992"/>
      <c r="P6" s="1992"/>
      <c r="Q6" s="1992"/>
      <c r="R6" s="1992"/>
    </row>
    <row r="7" spans="1:18" ht="46" thickBot="1">
      <c r="A7" s="1225"/>
      <c r="B7" s="1227" t="s">
        <v>2544</v>
      </c>
      <c r="C7" s="3033" t="s">
        <v>2917</v>
      </c>
      <c r="D7" s="1994"/>
      <c r="E7" s="1230"/>
      <c r="F7" s="1231" t="s">
        <v>1670</v>
      </c>
      <c r="G7" s="3036" t="s">
        <v>2918</v>
      </c>
      <c r="H7" s="1992"/>
      <c r="I7" s="1992"/>
      <c r="J7" s="1992"/>
      <c r="K7" s="1992"/>
      <c r="L7" s="1992"/>
      <c r="M7" s="1992"/>
      <c r="N7" s="1992"/>
      <c r="O7" s="1992"/>
      <c r="P7" s="1992"/>
      <c r="Q7" s="1992"/>
      <c r="R7" s="1992"/>
    </row>
    <row r="8" spans="1:18" ht="30">
      <c r="A8" s="1225"/>
      <c r="B8" s="1227" t="s">
        <v>2545</v>
      </c>
      <c r="C8" s="3033" t="s">
        <v>2914</v>
      </c>
      <c r="D8" s="1994"/>
      <c r="E8" s="1994"/>
      <c r="F8" s="1539"/>
      <c r="G8" s="1539"/>
      <c r="H8" s="1992"/>
      <c r="I8" s="1992"/>
      <c r="J8" s="1992"/>
      <c r="K8" s="1992"/>
      <c r="L8" s="1992"/>
      <c r="M8" s="1992"/>
      <c r="N8" s="1992"/>
      <c r="O8" s="1992"/>
      <c r="P8" s="1992"/>
      <c r="Q8" s="1992"/>
      <c r="R8" s="1992"/>
    </row>
    <row r="9" spans="1:18" ht="30">
      <c r="A9" s="1225"/>
      <c r="B9" s="1227" t="s">
        <v>1656</v>
      </c>
      <c r="C9" s="3032" t="s">
        <v>2915</v>
      </c>
      <c r="D9" s="1993"/>
      <c r="E9" s="1994"/>
      <c r="F9" s="1539"/>
      <c r="G9" s="1539"/>
      <c r="H9" s="1992"/>
      <c r="I9" s="1992"/>
      <c r="J9" s="1992"/>
      <c r="K9" s="1992"/>
      <c r="L9" s="1992"/>
      <c r="M9" s="1992"/>
      <c r="N9" s="1992"/>
      <c r="O9" s="1992"/>
      <c r="P9" s="1992"/>
      <c r="Q9" s="1992"/>
      <c r="R9" s="1992"/>
    </row>
    <row r="10" spans="1:18" s="2000" customFormat="1" ht="16" thickBot="1">
      <c r="A10" s="1232"/>
      <c r="B10" s="1233" t="s">
        <v>1671</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6" thickBot="1">
      <c r="A14" s="1234"/>
      <c r="B14" s="1235"/>
      <c r="C14" s="1236" t="s">
        <v>1664</v>
      </c>
      <c r="D14" s="1993"/>
      <c r="E14" s="1237"/>
      <c r="F14" s="1237"/>
      <c r="G14" s="1219" t="s">
        <v>1665</v>
      </c>
    </row>
    <row r="15" spans="1:18" ht="60">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5">
      <c r="A17" s="2552"/>
      <c r="B17" s="1241" t="s">
        <v>1669</v>
      </c>
      <c r="C17" s="1242" t="str">
        <f>C5</f>
        <v>估价对象位于XX商圈，周边办公楼项目较多，入驻率高，办公集聚程度较好</v>
      </c>
      <c r="D17" s="1994"/>
      <c r="E17" s="2549"/>
      <c r="F17" s="1243" t="s">
        <v>1674</v>
      </c>
      <c r="G17" s="2749"/>
    </row>
    <row r="18" spans="1:7" ht="60">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30">
      <c r="A19" s="2552"/>
      <c r="B19" s="1243" t="s">
        <v>1659</v>
      </c>
      <c r="C19" s="2749"/>
      <c r="D19" s="1993"/>
      <c r="E19" s="2549"/>
      <c r="F19" s="1227" t="s">
        <v>2544</v>
      </c>
      <c r="G19" s="1005" t="str">
        <f>G5</f>
        <v>估价对象所在区域公共配套设施齐备情况</v>
      </c>
    </row>
    <row r="20" spans="1:7" ht="30">
      <c r="A20" s="2552"/>
      <c r="B20" s="1243" t="s">
        <v>1660</v>
      </c>
      <c r="C20" s="1242" t="str">
        <f>C9</f>
        <v>区域自然环境：；人文环境；综合评价环境状况一般</v>
      </c>
      <c r="D20" s="1994"/>
      <c r="E20" s="2549"/>
      <c r="F20" s="1227" t="s">
        <v>2545</v>
      </c>
      <c r="G20" s="1005" t="str">
        <f>G6</f>
        <v>估价对象所在区域基础设施水平</v>
      </c>
    </row>
    <row r="21" spans="1:7" ht="30">
      <c r="A21" s="2552"/>
      <c r="B21" s="1227" t="s">
        <v>2544</v>
      </c>
      <c r="C21" s="1005" t="str">
        <f>C7</f>
        <v>估价对象所在区域公共配套设施齐备情况</v>
      </c>
      <c r="D21" s="1993"/>
      <c r="E21" s="2549"/>
      <c r="F21" s="1243" t="s">
        <v>1661</v>
      </c>
      <c r="G21" s="3037"/>
    </row>
    <row r="22" spans="1:7" ht="30">
      <c r="A22" s="2552"/>
      <c r="B22" s="1227" t="s">
        <v>2545</v>
      </c>
      <c r="C22" s="1005" t="str">
        <f>C8</f>
        <v>估价对象所在区域基础设施水平</v>
      </c>
      <c r="D22" s="1993"/>
      <c r="E22" s="2549"/>
      <c r="F22" s="1243" t="s">
        <v>1671</v>
      </c>
      <c r="G22" s="2749"/>
    </row>
    <row r="23" spans="1:7" ht="16" thickBot="1">
      <c r="A23" s="2552"/>
      <c r="B23" s="1243" t="s">
        <v>1661</v>
      </c>
      <c r="C23" s="3037"/>
      <c r="E23" s="2550"/>
      <c r="F23" s="1244" t="s">
        <v>1675</v>
      </c>
      <c r="G23" s="3038"/>
    </row>
    <row r="24" spans="1:7" ht="16"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baseColWidth="10" defaultColWidth="9" defaultRowHeight="14"/>
  <cols>
    <col min="1" max="1" width="3.5" style="1640" customWidth="1"/>
    <col min="2" max="2" width="10.8320312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10" t="str">
        <f>项目基本情况!B1</f>
        <v>出让国有建设用地使用权预评估</v>
      </c>
      <c r="C37" s="3210"/>
      <c r="D37" s="3210"/>
      <c r="E37" s="3210"/>
      <c r="F37" s="3210"/>
      <c r="G37" s="3210"/>
      <c r="H37" s="3210"/>
      <c r="I37" s="3210"/>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D29" sqref="D29"/>
    </sheetView>
  </sheetViews>
  <sheetFormatPr baseColWidth="10" defaultColWidth="14.6640625" defaultRowHeight="14"/>
  <cols>
    <col min="1" max="1" width="24.33203125" customWidth="1"/>
  </cols>
  <sheetData>
    <row r="1" spans="1:9" ht="18">
      <c r="A1" s="2995" t="s">
        <v>2841</v>
      </c>
      <c r="B1" s="2995">
        <f>SUM(B14:B23)</f>
        <v>782621</v>
      </c>
      <c r="C1" s="2996"/>
      <c r="D1" s="2996"/>
      <c r="E1" s="2996"/>
      <c r="F1" s="2996"/>
    </row>
    <row r="2" spans="1:9" ht="18">
      <c r="A2" s="2995" t="s">
        <v>2842</v>
      </c>
      <c r="B2" s="2995">
        <f>SUM(C14:C23)</f>
        <v>235117</v>
      </c>
      <c r="C2" s="2996"/>
      <c r="D2" s="2996"/>
      <c r="E2" s="2996"/>
      <c r="F2" s="2996"/>
    </row>
    <row r="3" spans="1:9" ht="18">
      <c r="A3" s="2995" t="s">
        <v>2843</v>
      </c>
      <c r="B3" s="2997">
        <f>项目基本情况!D3</f>
        <v>43875</v>
      </c>
      <c r="C3" s="2996"/>
      <c r="D3" s="2996"/>
      <c r="E3" s="2996"/>
      <c r="F3" s="2996"/>
    </row>
    <row r="4" spans="1:9" ht="36">
      <c r="A4" s="2995" t="s">
        <v>2844</v>
      </c>
      <c r="B4" s="2995" t="s">
        <v>2845</v>
      </c>
      <c r="C4" s="2995" t="s">
        <v>2846</v>
      </c>
      <c r="D4" s="2995" t="s">
        <v>2847</v>
      </c>
      <c r="E4" s="2996"/>
      <c r="F4" s="2996"/>
    </row>
    <row r="5" spans="1:9" ht="18">
      <c r="A5" s="2995" t="s">
        <v>2848</v>
      </c>
      <c r="B5" s="2995">
        <f ca="1">SUM(D14:D23)</f>
        <v>157497</v>
      </c>
      <c r="C5" s="2995">
        <f ca="1">ROUND(B5*10000/$B$1,0)</f>
        <v>2012</v>
      </c>
      <c r="D5" s="2995">
        <f ca="1">ROUND(B5*10000/$B$2,0)</f>
        <v>6699</v>
      </c>
      <c r="E5" s="2996"/>
      <c r="F5" s="2996"/>
    </row>
    <row r="6" spans="1:9" ht="18">
      <c r="A6" s="2995" t="s">
        <v>2849</v>
      </c>
      <c r="B6" s="2995">
        <f>SUM(G14:G23)</f>
        <v>0</v>
      </c>
      <c r="C6" s="2995">
        <f t="shared" ref="C6:C8" si="0">ROUND(B6*10000/$B$1,0)</f>
        <v>0</v>
      </c>
      <c r="D6" s="2995">
        <f t="shared" ref="D6:D8" si="1">ROUND(B6*10000/$B$2,0)</f>
        <v>0</v>
      </c>
      <c r="E6" s="2996"/>
      <c r="F6" s="2996"/>
    </row>
    <row r="7" spans="1:9" ht="18">
      <c r="A7" s="2995" t="s">
        <v>2850</v>
      </c>
      <c r="B7" s="2995">
        <f>SUM(H14:H23)</f>
        <v>0</v>
      </c>
      <c r="C7" s="2995">
        <f t="shared" si="0"/>
        <v>0</v>
      </c>
      <c r="D7" s="2995">
        <f t="shared" si="1"/>
        <v>0</v>
      </c>
      <c r="E7" s="2996"/>
      <c r="F7" s="2996"/>
    </row>
    <row r="8" spans="1:9" ht="18">
      <c r="A8" s="2995" t="s">
        <v>2851</v>
      </c>
      <c r="B8" s="2995">
        <f>SUM(I14:I23)</f>
        <v>0</v>
      </c>
      <c r="C8" s="2995">
        <f t="shared" si="0"/>
        <v>0</v>
      </c>
      <c r="D8" s="2995">
        <f t="shared" si="1"/>
        <v>0</v>
      </c>
      <c r="E8" s="2996"/>
      <c r="F8" s="2996"/>
    </row>
    <row r="9" spans="1:9" ht="18">
      <c r="A9" s="2995" t="s">
        <v>2852</v>
      </c>
      <c r="B9" s="2998"/>
      <c r="C9" s="2996"/>
      <c r="D9" s="2996"/>
      <c r="E9" s="2996"/>
      <c r="F9" s="2996"/>
    </row>
    <row r="10" spans="1:9" ht="18">
      <c r="A10" s="2995" t="s">
        <v>2853</v>
      </c>
      <c r="B10" s="2998"/>
      <c r="C10" s="2996"/>
      <c r="D10" s="2996"/>
      <c r="E10" s="2996"/>
      <c r="F10" s="2996"/>
    </row>
    <row r="11" spans="1:9" ht="18">
      <c r="A11" s="2995" t="s">
        <v>2870</v>
      </c>
      <c r="B11" s="2998"/>
      <c r="C11" s="2996"/>
      <c r="D11" s="2996"/>
      <c r="E11" s="2996"/>
      <c r="F11" s="2996"/>
    </row>
    <row r="12" spans="1:9" ht="17">
      <c r="A12" s="2996"/>
      <c r="B12" s="2996"/>
      <c r="C12" s="2996"/>
      <c r="D12" s="2996"/>
      <c r="E12" s="2996"/>
      <c r="F12" s="2996"/>
    </row>
    <row r="13" spans="1:9" ht="36">
      <c r="A13" s="3001" t="s">
        <v>2869</v>
      </c>
      <c r="B13" s="2999" t="s">
        <v>2841</v>
      </c>
      <c r="C13" s="2999" t="s">
        <v>2842</v>
      </c>
      <c r="D13" s="2999" t="s">
        <v>2854</v>
      </c>
      <c r="E13" s="2995" t="s">
        <v>2868</v>
      </c>
      <c r="F13" s="2995" t="s">
        <v>2847</v>
      </c>
      <c r="G13" s="2999" t="s">
        <v>2855</v>
      </c>
      <c r="H13" s="2999" t="s">
        <v>2856</v>
      </c>
      <c r="I13" s="2999" t="s">
        <v>2857</v>
      </c>
    </row>
    <row r="14" spans="1:9" ht="18">
      <c r="A14" s="3002" t="s">
        <v>2867</v>
      </c>
      <c r="B14" s="2999">
        <f>结果表!L38</f>
        <v>237128</v>
      </c>
      <c r="C14" s="2999">
        <f>结果表!K38</f>
        <v>63650</v>
      </c>
      <c r="D14" s="2999">
        <f ca="1">结果表!C42</f>
        <v>56146</v>
      </c>
      <c r="E14" s="2999">
        <f ca="1">ROUND(D14*10000/B14,0)</f>
        <v>2368</v>
      </c>
      <c r="F14" s="2999">
        <f ca="1">ROUND(D14*10000/C14,0)</f>
        <v>8821</v>
      </c>
      <c r="G14" s="2999" t="str">
        <f>结果表!C44</f>
        <v>——</v>
      </c>
      <c r="H14" s="2999" t="str">
        <f>结果表!C45</f>
        <v>——</v>
      </c>
      <c r="I14" s="2999" t="str">
        <f>结果表!C46</f>
        <v>——</v>
      </c>
    </row>
    <row r="15" spans="1:9" ht="17">
      <c r="A15" s="3002" t="s">
        <v>2858</v>
      </c>
      <c r="B15" s="3003">
        <f>'[1]数据-汇总表'!$E$3</f>
        <v>334742</v>
      </c>
      <c r="C15" s="3003">
        <f>'[1]数据-汇总表'!$D$3</f>
        <v>119465</v>
      </c>
      <c r="D15" s="3003">
        <f ca="1">[1]结果表!$G$19</f>
        <v>86150</v>
      </c>
      <c r="E15" s="2999">
        <f t="shared" ref="E15:E23" ca="1" si="2">ROUND(D15*10000/B15,0)</f>
        <v>2574</v>
      </c>
      <c r="F15" s="2999">
        <f t="shared" ref="F15:F23" ca="1" si="3">ROUND(D15*10000/C15,0)</f>
        <v>7211</v>
      </c>
      <c r="G15" s="3000"/>
      <c r="H15" s="3000"/>
      <c r="I15" s="3003"/>
    </row>
    <row r="16" spans="1:9" ht="17">
      <c r="A16" s="3002" t="s">
        <v>2859</v>
      </c>
      <c r="B16" s="3003">
        <f>'[2]数据-汇总表'!$E$3</f>
        <v>210751</v>
      </c>
      <c r="C16" s="3003">
        <f>'[2]数据-汇总表'!$D$3</f>
        <v>52002</v>
      </c>
      <c r="D16" s="3003">
        <f ca="1">[2]结果表!$G$19</f>
        <v>15201</v>
      </c>
      <c r="E16" s="2999">
        <f t="shared" ca="1" si="2"/>
        <v>721</v>
      </c>
      <c r="F16" s="2999">
        <f t="shared" ca="1" si="3"/>
        <v>2923</v>
      </c>
      <c r="G16" s="3000"/>
      <c r="H16" s="3000"/>
      <c r="I16" s="3003"/>
    </row>
    <row r="17" spans="1:9" ht="17">
      <c r="A17" s="3002" t="s">
        <v>2860</v>
      </c>
      <c r="B17" s="3003"/>
      <c r="C17" s="3003"/>
      <c r="D17" s="3003"/>
      <c r="E17" s="2999" t="e">
        <f t="shared" si="2"/>
        <v>#DIV/0!</v>
      </c>
      <c r="F17" s="2999" t="e">
        <f t="shared" si="3"/>
        <v>#DIV/0!</v>
      </c>
      <c r="G17" s="3000"/>
      <c r="H17" s="3000"/>
      <c r="I17" s="3003"/>
    </row>
    <row r="18" spans="1:9" ht="17">
      <c r="A18" s="3002" t="s">
        <v>2861</v>
      </c>
      <c r="B18" s="3003"/>
      <c r="C18" s="3003"/>
      <c r="D18" s="3003"/>
      <c r="E18" s="2999" t="e">
        <f t="shared" si="2"/>
        <v>#DIV/0!</v>
      </c>
      <c r="F18" s="2999" t="e">
        <f t="shared" si="3"/>
        <v>#DIV/0!</v>
      </c>
      <c r="G18" s="3003"/>
      <c r="H18" s="3003"/>
      <c r="I18" s="3003"/>
    </row>
    <row r="19" spans="1:9" ht="17">
      <c r="A19" s="3002" t="s">
        <v>2862</v>
      </c>
      <c r="B19" s="3003"/>
      <c r="C19" s="3003"/>
      <c r="D19" s="3003"/>
      <c r="E19" s="2999" t="e">
        <f t="shared" si="2"/>
        <v>#DIV/0!</v>
      </c>
      <c r="F19" s="2999" t="e">
        <f t="shared" si="3"/>
        <v>#DIV/0!</v>
      </c>
      <c r="G19" s="3003"/>
      <c r="H19" s="3003"/>
      <c r="I19" s="3003"/>
    </row>
    <row r="20" spans="1:9" ht="17">
      <c r="A20" s="3002" t="s">
        <v>2863</v>
      </c>
      <c r="B20" s="3003"/>
      <c r="C20" s="3003"/>
      <c r="D20" s="3003"/>
      <c r="E20" s="2999" t="e">
        <f t="shared" si="2"/>
        <v>#DIV/0!</v>
      </c>
      <c r="F20" s="2999" t="e">
        <f t="shared" si="3"/>
        <v>#DIV/0!</v>
      </c>
      <c r="G20" s="3003"/>
      <c r="H20" s="3003"/>
      <c r="I20" s="3003"/>
    </row>
    <row r="21" spans="1:9" ht="17">
      <c r="A21" s="3002" t="s">
        <v>2864</v>
      </c>
      <c r="B21" s="3003"/>
      <c r="C21" s="3003"/>
      <c r="D21" s="3003"/>
      <c r="E21" s="2999" t="e">
        <f t="shared" si="2"/>
        <v>#DIV/0!</v>
      </c>
      <c r="F21" s="2999" t="e">
        <f t="shared" si="3"/>
        <v>#DIV/0!</v>
      </c>
      <c r="G21" s="3003"/>
      <c r="H21" s="3003"/>
      <c r="I21" s="3003"/>
    </row>
    <row r="22" spans="1:9" ht="17">
      <c r="A22" s="3002" t="s">
        <v>2865</v>
      </c>
      <c r="B22" s="3003"/>
      <c r="C22" s="3003"/>
      <c r="D22" s="3003"/>
      <c r="E22" s="2999" t="e">
        <f t="shared" si="2"/>
        <v>#DIV/0!</v>
      </c>
      <c r="F22" s="2999" t="e">
        <f t="shared" si="3"/>
        <v>#DIV/0!</v>
      </c>
      <c r="G22" s="3003"/>
      <c r="H22" s="3003"/>
      <c r="I22" s="3003"/>
    </row>
    <row r="23" spans="1:9" ht="17">
      <c r="A23" s="3002" t="s">
        <v>2866</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7" zoomScaleNormal="100" zoomScaleSheetLayoutView="100" zoomScalePageLayoutView="80" workbookViewId="0">
      <selection activeCell="G18" sqref="G18"/>
    </sheetView>
  </sheetViews>
  <sheetFormatPr baseColWidth="10" defaultColWidth="12.6640625" defaultRowHeight="21.75" customHeight="1"/>
  <cols>
    <col min="1" max="2" width="12.83203125" style="1246" bestFit="1" customWidth="1"/>
    <col min="3" max="4" width="12.6640625" style="1246" customWidth="1"/>
    <col min="5" max="9" width="12.83203125" style="1246" bestFit="1" customWidth="1"/>
    <col min="10" max="10" width="2.1640625" style="257" customWidth="1"/>
    <col min="11" max="12" width="12.6640625" style="257" customWidth="1"/>
    <col min="13" max="13" width="12.6640625" style="257"/>
    <col min="14" max="14" width="15.6640625" style="257" bestFit="1" customWidth="1"/>
    <col min="15" max="19" width="12.83203125" style="257" bestFit="1" customWidth="1"/>
    <col min="20" max="26" width="12.6640625" style="257"/>
    <col min="27" max="16384" width="12.6640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87" t="str">
        <f>项目基本情况!K2</f>
        <v>出让国有建设用地使用权</v>
      </c>
      <c r="B2" s="3388"/>
      <c r="C2" s="3389"/>
      <c r="D2" s="3389"/>
      <c r="E2" s="3389"/>
      <c r="F2" s="3389"/>
      <c r="G2" s="3388"/>
      <c r="H2" s="3388"/>
      <c r="I2" s="3390"/>
      <c r="J2" s="2014"/>
      <c r="K2" s="2013"/>
      <c r="L2" s="2013"/>
      <c r="M2" s="2013"/>
      <c r="N2" s="2013"/>
      <c r="O2" s="2013"/>
      <c r="P2" s="2013"/>
      <c r="Q2" s="2013"/>
      <c r="R2" s="2013"/>
      <c r="S2" s="2013"/>
      <c r="T2" s="2013"/>
      <c r="U2" s="2013"/>
      <c r="V2" s="2013"/>
    </row>
    <row r="3" spans="1:22" ht="14">
      <c r="A3" s="3397" t="s">
        <v>298</v>
      </c>
      <c r="B3" s="3398"/>
      <c r="C3" s="3398"/>
      <c r="D3" s="3398"/>
      <c r="E3" s="3398"/>
      <c r="F3" s="3398"/>
      <c r="G3" s="3398"/>
      <c r="H3" s="3398"/>
      <c r="I3" s="3398"/>
      <c r="J3" s="2014"/>
      <c r="K3" s="2013"/>
      <c r="L3" s="2013"/>
      <c r="M3" s="2013"/>
      <c r="N3" s="2013"/>
      <c r="O3" s="2013"/>
      <c r="P3" s="2013"/>
      <c r="Q3" s="2013"/>
      <c r="R3" s="2013"/>
      <c r="S3" s="2013"/>
      <c r="T3" s="2013"/>
      <c r="U3" s="2013"/>
      <c r="V3" s="2013"/>
    </row>
    <row r="4" spans="1:22" ht="15">
      <c r="A4" s="258" t="s">
        <v>299</v>
      </c>
      <c r="B4" s="259" t="s">
        <v>300</v>
      </c>
      <c r="C4" s="260" t="s">
        <v>3374</v>
      </c>
      <c r="D4" s="260" t="s">
        <v>3375</v>
      </c>
      <c r="E4" s="3362" t="s">
        <v>301</v>
      </c>
      <c r="F4" s="3403"/>
      <c r="G4" s="3403"/>
      <c r="H4" s="3403"/>
      <c r="I4" s="336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
      <c r="A5" s="3391" t="s">
        <v>302</v>
      </c>
      <c r="B5" s="3312">
        <v>25</v>
      </c>
      <c r="C5" s="3399"/>
      <c r="D5" s="3402"/>
      <c r="E5" s="261" t="s">
        <v>303</v>
      </c>
      <c r="F5" s="262"/>
      <c r="G5" s="262"/>
      <c r="H5" s="262"/>
      <c r="I5" s="263"/>
      <c r="J5" s="2014"/>
      <c r="K5" s="2013"/>
      <c r="L5" s="2013"/>
      <c r="M5" s="2013"/>
      <c r="N5" s="2013"/>
      <c r="O5" s="2013"/>
      <c r="P5" s="2013"/>
      <c r="Q5" s="2013"/>
      <c r="R5" s="2013"/>
      <c r="S5" s="2013"/>
      <c r="T5" s="2013"/>
      <c r="U5" s="2013"/>
      <c r="V5" s="2013"/>
    </row>
    <row r="6" spans="1:22" ht="14">
      <c r="A6" s="3391"/>
      <c r="B6" s="3312"/>
      <c r="C6" s="3400"/>
      <c r="D6" s="3402"/>
      <c r="E6" s="261" t="s">
        <v>304</v>
      </c>
      <c r="F6" s="262"/>
      <c r="G6" s="262"/>
      <c r="H6" s="262"/>
      <c r="I6" s="263"/>
      <c r="J6" s="2014"/>
      <c r="K6" s="2013"/>
      <c r="L6" s="2013"/>
      <c r="M6" s="2013"/>
      <c r="N6" s="2013"/>
      <c r="O6" s="2013"/>
      <c r="P6" s="2013"/>
      <c r="Q6" s="2013"/>
      <c r="R6" s="2013"/>
      <c r="S6" s="2013"/>
      <c r="T6" s="2013"/>
      <c r="U6" s="2013"/>
      <c r="V6" s="2013"/>
    </row>
    <row r="7" spans="1:22" ht="14">
      <c r="A7" s="3391"/>
      <c r="B7" s="3312"/>
      <c r="C7" s="3401"/>
      <c r="D7" s="3402"/>
      <c r="E7" s="261" t="s">
        <v>305</v>
      </c>
      <c r="F7" s="262"/>
      <c r="G7" s="262"/>
      <c r="H7" s="262"/>
      <c r="I7" s="263"/>
      <c r="J7" s="2014"/>
      <c r="K7" s="2013"/>
      <c r="L7" s="2013"/>
      <c r="M7" s="2013"/>
      <c r="N7" s="2013"/>
      <c r="O7" s="2013"/>
      <c r="P7" s="2013"/>
      <c r="Q7" s="2013"/>
      <c r="R7" s="2013"/>
      <c r="S7" s="2013"/>
      <c r="T7" s="2013"/>
      <c r="U7" s="2013"/>
      <c r="V7" s="2013"/>
    </row>
    <row r="8" spans="1:22" ht="14">
      <c r="A8" s="3391" t="s">
        <v>306</v>
      </c>
      <c r="B8" s="3312">
        <v>15</v>
      </c>
      <c r="C8" s="3399"/>
      <c r="D8" s="3402"/>
      <c r="E8" s="261" t="s">
        <v>307</v>
      </c>
      <c r="F8" s="262"/>
      <c r="G8" s="262"/>
      <c r="H8" s="262"/>
      <c r="I8" s="263"/>
      <c r="J8" s="2014"/>
      <c r="K8" s="2013"/>
      <c r="L8" s="2013"/>
      <c r="M8" s="2013"/>
      <c r="N8" s="2013"/>
      <c r="O8" s="2013"/>
      <c r="P8" s="2013"/>
      <c r="Q8" s="2013"/>
      <c r="R8" s="2013"/>
      <c r="S8" s="2013"/>
      <c r="T8" s="2013"/>
      <c r="U8" s="2013"/>
      <c r="V8" s="2013"/>
    </row>
    <row r="9" spans="1:22" ht="14">
      <c r="A9" s="3391"/>
      <c r="B9" s="3312"/>
      <c r="C9" s="3401"/>
      <c r="D9" s="3402"/>
      <c r="E9" s="261" t="s">
        <v>308</v>
      </c>
      <c r="F9" s="262"/>
      <c r="G9" s="262"/>
      <c r="H9" s="262"/>
      <c r="I9" s="263"/>
      <c r="J9" s="2014"/>
      <c r="K9" s="2013"/>
      <c r="L9" s="2013"/>
      <c r="M9" s="2013"/>
      <c r="N9" s="2013"/>
      <c r="O9" s="2013"/>
      <c r="P9" s="2013"/>
      <c r="Q9" s="2013"/>
      <c r="R9" s="2013"/>
      <c r="S9" s="2013"/>
      <c r="T9" s="2013"/>
      <c r="U9" s="2013"/>
      <c r="V9" s="2013"/>
    </row>
    <row r="10" spans="1:22" ht="14">
      <c r="A10" s="3391" t="s">
        <v>309</v>
      </c>
      <c r="B10" s="3312">
        <v>15</v>
      </c>
      <c r="C10" s="3399"/>
      <c r="D10" s="3402"/>
      <c r="E10" s="261" t="s">
        <v>310</v>
      </c>
      <c r="F10" s="262"/>
      <c r="G10" s="262"/>
      <c r="H10" s="262"/>
      <c r="I10" s="263"/>
      <c r="J10" s="2014"/>
      <c r="K10" s="2013"/>
      <c r="L10" s="2013"/>
      <c r="M10" s="2013"/>
      <c r="N10" s="2013"/>
      <c r="O10" s="2013"/>
      <c r="P10" s="2013"/>
      <c r="Q10" s="2013"/>
      <c r="R10" s="2013"/>
      <c r="S10" s="2013"/>
      <c r="T10" s="2013"/>
      <c r="U10" s="2013"/>
      <c r="V10" s="2013"/>
    </row>
    <row r="11" spans="1:22" ht="14">
      <c r="A11" s="3391"/>
      <c r="B11" s="3312"/>
      <c r="C11" s="3401"/>
      <c r="D11" s="3402"/>
      <c r="E11" s="261" t="s">
        <v>311</v>
      </c>
      <c r="F11" s="262"/>
      <c r="G11" s="262"/>
      <c r="H11" s="262"/>
      <c r="I11" s="263"/>
      <c r="J11" s="2014"/>
      <c r="K11" s="2013"/>
      <c r="L11" s="2013"/>
      <c r="M11" s="2013"/>
      <c r="N11" s="2013"/>
      <c r="O11" s="2013"/>
      <c r="P11" s="2013"/>
      <c r="Q11" s="2013"/>
      <c r="R11" s="2013"/>
      <c r="S11" s="2013"/>
      <c r="T11" s="2013"/>
      <c r="U11" s="2013"/>
      <c r="V11" s="2013"/>
    </row>
    <row r="12" spans="1:22" ht="14">
      <c r="A12" s="3391" t="s">
        <v>312</v>
      </c>
      <c r="B12" s="3312">
        <v>15</v>
      </c>
      <c r="C12" s="3399"/>
      <c r="D12" s="3402"/>
      <c r="E12" s="261" t="s">
        <v>313</v>
      </c>
      <c r="F12" s="262"/>
      <c r="G12" s="262"/>
      <c r="H12" s="262"/>
      <c r="I12" s="263"/>
      <c r="J12" s="2014"/>
      <c r="K12" s="2013"/>
      <c r="L12" s="2013"/>
      <c r="M12" s="2013"/>
      <c r="N12" s="2013"/>
      <c r="O12" s="2013"/>
      <c r="P12" s="2013"/>
      <c r="Q12" s="2013"/>
      <c r="R12" s="2013"/>
      <c r="S12" s="2013"/>
      <c r="T12" s="2013"/>
      <c r="U12" s="2013"/>
      <c r="V12" s="2013"/>
    </row>
    <row r="13" spans="1:22" ht="14">
      <c r="A13" s="3391"/>
      <c r="B13" s="3312"/>
      <c r="C13" s="3401"/>
      <c r="D13" s="3402"/>
      <c r="E13" s="261" t="s">
        <v>314</v>
      </c>
      <c r="F13" s="262"/>
      <c r="G13" s="262"/>
      <c r="H13" s="262"/>
      <c r="I13" s="263"/>
      <c r="J13" s="2014"/>
      <c r="K13" s="2013"/>
      <c r="L13" s="2013"/>
      <c r="M13" s="2013"/>
      <c r="N13" s="2013"/>
      <c r="O13" s="2013"/>
      <c r="P13" s="2013"/>
      <c r="Q13" s="2013"/>
      <c r="R13" s="2013"/>
      <c r="S13" s="2013"/>
      <c r="T13" s="2013"/>
      <c r="U13" s="2013"/>
      <c r="V13" s="2013"/>
    </row>
    <row r="14" spans="1:22" ht="14">
      <c r="A14" s="3391" t="s">
        <v>315</v>
      </c>
      <c r="B14" s="3312">
        <v>30</v>
      </c>
      <c r="C14" s="3399">
        <v>5</v>
      </c>
      <c r="D14" s="3402">
        <v>5</v>
      </c>
      <c r="E14" s="261" t="s">
        <v>316</v>
      </c>
      <c r="F14" s="262"/>
      <c r="G14" s="262"/>
      <c r="H14" s="262"/>
      <c r="I14" s="263"/>
      <c r="J14" s="2014"/>
      <c r="K14" s="2013"/>
      <c r="L14" s="2013"/>
      <c r="M14" s="2013"/>
      <c r="N14" s="2013"/>
      <c r="O14" s="2013"/>
      <c r="P14" s="2013"/>
      <c r="Q14" s="2013"/>
      <c r="R14" s="2013"/>
      <c r="S14" s="2013"/>
      <c r="T14" s="2013"/>
      <c r="U14" s="2013"/>
      <c r="V14" s="2013"/>
    </row>
    <row r="15" spans="1:22" ht="14">
      <c r="A15" s="3391"/>
      <c r="B15" s="3312"/>
      <c r="C15" s="3400"/>
      <c r="D15" s="3402"/>
      <c r="E15" s="261" t="s">
        <v>317</v>
      </c>
      <c r="F15" s="262"/>
      <c r="G15" s="262"/>
      <c r="H15" s="262"/>
      <c r="I15" s="263"/>
      <c r="J15" s="2014"/>
      <c r="K15" s="2013"/>
      <c r="L15" s="2013"/>
      <c r="M15" s="2013"/>
      <c r="N15" s="2013"/>
      <c r="O15" s="2013"/>
      <c r="P15" s="2013"/>
      <c r="Q15" s="2013"/>
      <c r="R15" s="2013"/>
      <c r="S15" s="2013"/>
      <c r="T15" s="2013"/>
      <c r="U15" s="2013"/>
      <c r="V15" s="2013"/>
    </row>
    <row r="16" spans="1:22" ht="14">
      <c r="A16" s="3391"/>
      <c r="B16" s="3312"/>
      <c r="C16" s="3401"/>
      <c r="D16" s="3402"/>
      <c r="E16" s="261" t="s">
        <v>318</v>
      </c>
      <c r="F16" s="262"/>
      <c r="G16" s="262"/>
      <c r="H16" s="262"/>
      <c r="I16" s="263"/>
      <c r="J16" s="2014"/>
      <c r="K16" s="2013"/>
      <c r="L16" s="2013"/>
      <c r="M16" s="2013"/>
      <c r="N16" s="2013"/>
      <c r="O16" s="2013"/>
      <c r="P16" s="2013"/>
      <c r="Q16" s="2013"/>
      <c r="R16" s="2013"/>
      <c r="S16" s="2013"/>
      <c r="T16" s="2013"/>
      <c r="U16" s="2013"/>
      <c r="V16" s="2013"/>
    </row>
    <row r="17" spans="1:26" ht="1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
      <c r="A19" s="268" t="s">
        <v>321</v>
      </c>
      <c r="B19" s="269" t="s">
        <v>322</v>
      </c>
      <c r="C19" s="270">
        <f ca="1">SUMIF(INDIRECT("'"&amp;C4&amp;"'"&amp;"!A:A"),结果表!B19,INDIRECT("'"&amp;C4&amp;"'"&amp;"!B:B"))</f>
        <v>60412</v>
      </c>
      <c r="D19" s="271">
        <f ca="1">SUMIF(INDIRECT("'"&amp;D4&amp;"'"&amp;"!A:A"),结果表!B19,INDIRECT("'"&amp;D4&amp;"'"&amp;"!B:B"))</f>
        <v>51879</v>
      </c>
      <c r="E19" s="268" t="s">
        <v>323</v>
      </c>
      <c r="F19" s="269" t="s">
        <v>322</v>
      </c>
      <c r="G19" s="272">
        <f ca="1">ROUND(C19*$C$18+D19*$D$18,0)</f>
        <v>56146</v>
      </c>
      <c r="H19" s="273" t="s">
        <v>324</v>
      </c>
      <c r="I19" s="311"/>
      <c r="J19" s="2013"/>
      <c r="K19" s="2013"/>
      <c r="L19" s="2013"/>
      <c r="M19" s="2013"/>
      <c r="N19" s="2013"/>
      <c r="O19" s="2013"/>
      <c r="P19" s="2013"/>
      <c r="Q19" s="2013"/>
      <c r="R19" s="2013"/>
      <c r="S19" s="2013"/>
      <c r="T19" s="2013"/>
      <c r="U19" s="2013"/>
      <c r="V19" s="2013"/>
    </row>
    <row r="20" spans="1:26" ht="14">
      <c r="A20" s="274"/>
      <c r="B20" s="275" t="s">
        <v>325</v>
      </c>
      <c r="C20" s="276">
        <f ca="1">SUMIF(INDIRECT("'"&amp;C4&amp;"'"&amp;"!A:A"),结果表!B20,INDIRECT("'"&amp;C4&amp;"'"&amp;"!B:B"))</f>
        <v>2548</v>
      </c>
      <c r="D20" s="277">
        <f ca="1">SUMIF(INDIRECT("'"&amp;D4&amp;"'"&amp;"!A:A"),结果表!B20,INDIRECT("'"&amp;D4&amp;"'"&amp;"!B:B"))</f>
        <v>2188</v>
      </c>
      <c r="E20" s="274"/>
      <c r="F20" s="275" t="s">
        <v>325</v>
      </c>
      <c r="G20" s="278">
        <f ca="1">ROUND(C20*$C$18+D20*$D$18,0)</f>
        <v>2368</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9491</v>
      </c>
      <c r="D21" s="151">
        <f ca="1">SUMIF(INDIRECT("'"&amp;D4&amp;"'"&amp;"!A:A"),结果表!B21,INDIRECT("'"&amp;D4&amp;"'"&amp;"!B:B"))</f>
        <v>8151</v>
      </c>
      <c r="E21" s="274"/>
      <c r="F21" s="280" t="s">
        <v>327</v>
      </c>
      <c r="G21" s="282">
        <f ca="1">ROUND(C21*$C$18+D21*$D$18,0)</f>
        <v>8821</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0.16447888355596674</v>
      </c>
      <c r="E22" s="284"/>
      <c r="F22" s="285"/>
      <c r="G22" s="286">
        <f ca="1">ROUND(G19/('数据-汇总表'!D3/666.67),0)</f>
        <v>588</v>
      </c>
      <c r="H22" s="287" t="s">
        <v>329</v>
      </c>
      <c r="I22" s="311"/>
      <c r="J22" s="2013"/>
      <c r="K22" s="2013"/>
      <c r="L22" s="2013"/>
      <c r="M22" s="2013"/>
      <c r="N22" s="2013"/>
      <c r="O22" s="2013"/>
      <c r="P22" s="2013"/>
      <c r="Q22" s="2013"/>
      <c r="R22" s="2013"/>
      <c r="S22" s="2013"/>
      <c r="T22" s="2013"/>
      <c r="U22" s="2013"/>
      <c r="V22" s="2013"/>
    </row>
    <row r="23" spans="1:26" ht="14"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6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405"/>
      <c r="B25" s="1317" t="s">
        <v>331</v>
      </c>
      <c r="C25" s="290">
        <f>IF(B30=0,0,C30)</f>
        <v>0</v>
      </c>
      <c r="D25" s="291"/>
      <c r="E25" s="311"/>
      <c r="F25" s="311"/>
      <c r="G25" s="311"/>
      <c r="H25" s="311"/>
      <c r="I25" s="311"/>
      <c r="J25" s="2013"/>
      <c r="K25" s="1251" t="str">
        <f ca="1">项目基本情况!B16&amp;"国有建设用地使用权价格："&amp;O38&amp;"万元"</f>
        <v>出让国有建设用地使用权价格：56146万元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大写金额：人民币伍亿陆仟壹佰肆拾陆万元整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单位面积地价：8821元/平方米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楼面地价：2368元/平方米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9" thickBot="1">
      <c r="A30" s="3080" t="s">
        <v>336</v>
      </c>
      <c r="B30" s="309"/>
      <c r="C30" s="309"/>
      <c r="D30" s="310"/>
      <c r="E30" s="3081" t="s">
        <v>2966</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9" thickBot="1">
      <c r="A32" s="268" t="s">
        <v>337</v>
      </c>
      <c r="B32" s="1377" t="s">
        <v>1688</v>
      </c>
      <c r="C32" s="1378">
        <f ca="1">G19-C24</f>
        <v>56146</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9" thickBot="1">
      <c r="A33" s="298" t="s">
        <v>340</v>
      </c>
      <c r="B33" s="1380" t="s">
        <v>1690</v>
      </c>
      <c r="C33" s="264">
        <f ca="1">ROUND(C32*10000/'数据-汇总表'!E3,0)</f>
        <v>2368</v>
      </c>
      <c r="D33" s="1381" t="s">
        <v>1691</v>
      </c>
      <c r="E33" s="3364"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9" thickBot="1">
      <c r="A34" s="300"/>
      <c r="B34" s="1382" t="s">
        <v>1692</v>
      </c>
      <c r="C34" s="264">
        <f ca="1">ROUND(C32*10000/'数据-汇总表'!D3,0)</f>
        <v>8821</v>
      </c>
      <c r="D34" s="1383" t="s">
        <v>1691</v>
      </c>
      <c r="E34" s="3365"/>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 thickBot="1">
      <c r="A35" s="284"/>
      <c r="B35" s="1384"/>
      <c r="C35" s="1385">
        <f ca="1">ROUND(C32/('数据-汇总表'!D3/666.67),0)</f>
        <v>588</v>
      </c>
      <c r="D35" s="1386" t="s">
        <v>1693</v>
      </c>
      <c r="E35" s="3366"/>
      <c r="F35" s="301" t="s">
        <v>342</v>
      </c>
      <c r="G35" s="982"/>
      <c r="H35" s="981" t="s">
        <v>343</v>
      </c>
      <c r="I35" s="311"/>
      <c r="J35" s="2013"/>
      <c r="K35" s="3370" t="s">
        <v>350</v>
      </c>
      <c r="L35" s="3370" t="s">
        <v>351</v>
      </c>
      <c r="M35" s="1260" t="s">
        <v>352</v>
      </c>
      <c r="N35" s="3370" t="s">
        <v>353</v>
      </c>
      <c r="O35" s="3370" t="s">
        <v>354</v>
      </c>
      <c r="P35" s="2013"/>
      <c r="V35" s="2013"/>
    </row>
    <row r="36" spans="1:26" ht="16.5" customHeight="1">
      <c r="A36" s="303" t="s">
        <v>344</v>
      </c>
      <c r="B36" s="304" t="s">
        <v>333</v>
      </c>
      <c r="C36" s="305" t="s">
        <v>345</v>
      </c>
      <c r="D36" s="305" t="s">
        <v>346</v>
      </c>
      <c r="E36" s="306" t="s">
        <v>347</v>
      </c>
      <c r="F36" s="311"/>
      <c r="G36" s="311"/>
      <c r="H36" s="311"/>
      <c r="I36" s="311"/>
      <c r="J36" s="2015"/>
      <c r="K36" s="3371"/>
      <c r="L36" s="3371"/>
      <c r="M36" s="1262" t="s">
        <v>355</v>
      </c>
      <c r="N36" s="3371"/>
      <c r="O36" s="3371"/>
      <c r="P36" s="2013"/>
      <c r="V36" s="2013"/>
    </row>
    <row r="37" spans="1:26" ht="16.5" customHeight="1" thickBot="1">
      <c r="A37" s="1256" t="s">
        <v>348</v>
      </c>
      <c r="B37" s="307"/>
      <c r="C37" s="294"/>
      <c r="D37" s="294"/>
      <c r="E37" s="295"/>
      <c r="F37" s="311"/>
      <c r="G37" s="311"/>
      <c r="H37" s="311"/>
      <c r="I37" s="311"/>
      <c r="J37" s="2015"/>
      <c r="K37" s="3372"/>
      <c r="L37" s="3372"/>
      <c r="M37" s="1263"/>
      <c r="N37" s="3372"/>
      <c r="O37" s="3372"/>
      <c r="P37" s="2013"/>
      <c r="V37" s="2013"/>
    </row>
    <row r="38" spans="1:26" ht="16.5" customHeight="1" thickBot="1">
      <c r="A38" s="1256" t="s">
        <v>349</v>
      </c>
      <c r="B38" s="307"/>
      <c r="C38" s="294"/>
      <c r="D38" s="294"/>
      <c r="E38" s="295"/>
      <c r="F38" s="311"/>
      <c r="G38" s="311"/>
      <c r="H38" s="311"/>
      <c r="I38" s="311"/>
      <c r="J38" s="2015"/>
      <c r="K38" s="1264">
        <f>'数据-汇总表'!D3</f>
        <v>63650</v>
      </c>
      <c r="L38" s="1265">
        <f>'数据-汇总表'!E3</f>
        <v>237128</v>
      </c>
      <c r="M38" s="1265">
        <f ca="1">C34</f>
        <v>8821</v>
      </c>
      <c r="N38" s="1265">
        <f ca="1">C33</f>
        <v>2368</v>
      </c>
      <c r="O38" s="1266">
        <f ca="1">C32</f>
        <v>56146</v>
      </c>
      <c r="P38" s="2013"/>
      <c r="V38" s="2013"/>
    </row>
    <row r="39" spans="1:26" ht="16.5" customHeight="1" thickBot="1">
      <c r="A39" s="1261"/>
      <c r="B39" s="308"/>
      <c r="C39" s="309"/>
      <c r="D39" s="309"/>
      <c r="E39" s="310"/>
      <c r="F39" s="311"/>
      <c r="G39" s="311"/>
      <c r="H39" s="311"/>
      <c r="I39" s="311"/>
      <c r="J39" s="2015"/>
      <c r="K39" s="3347" t="str">
        <f>MID(A44,3,LEN(A44)-2)</f>
        <v/>
      </c>
      <c r="L39" s="3348"/>
      <c r="M39" s="3348"/>
      <c r="N39" s="3349"/>
      <c r="O39" s="1388" t="str">
        <f>C44</f>
        <v>——</v>
      </c>
      <c r="P39" s="2013"/>
      <c r="V39" s="2013"/>
    </row>
    <row r="40" spans="1:26" ht="19" thickBot="1">
      <c r="A40" s="104" t="s">
        <v>873</v>
      </c>
      <c r="B40" s="311"/>
      <c r="C40" s="311"/>
      <c r="D40" s="311"/>
      <c r="E40" s="311"/>
      <c r="F40" s="311"/>
      <c r="G40" s="311"/>
      <c r="H40" s="311"/>
      <c r="I40" s="311"/>
      <c r="J40" s="2015"/>
      <c r="K40" s="3347" t="str">
        <f t="shared" ref="K40:K41" si="0">MID(A45,3,LEN(A45)-2)</f>
        <v/>
      </c>
      <c r="L40" s="3348"/>
      <c r="M40" s="3348"/>
      <c r="N40" s="3349"/>
      <c r="O40" s="1388" t="str">
        <f>C45</f>
        <v>——</v>
      </c>
      <c r="P40" s="2013"/>
      <c r="V40" s="2013"/>
    </row>
    <row r="41" spans="1:26" ht="17" thickBot="1">
      <c r="A41" s="312" t="s">
        <v>356</v>
      </c>
      <c r="B41" s="313"/>
      <c r="C41" s="314" t="s">
        <v>357</v>
      </c>
      <c r="D41" s="315" t="s">
        <v>358</v>
      </c>
      <c r="E41" s="315" t="s">
        <v>359</v>
      </c>
      <c r="F41" s="316" t="s">
        <v>360</v>
      </c>
      <c r="G41" s="311"/>
      <c r="H41" s="311"/>
      <c r="I41" s="311"/>
      <c r="J41" s="2015"/>
      <c r="K41" s="3347" t="str">
        <f t="shared" si="0"/>
        <v/>
      </c>
      <c r="L41" s="3348"/>
      <c r="M41" s="3348"/>
      <c r="N41" s="3349"/>
      <c r="O41" s="1388" t="str">
        <f>C46</f>
        <v>——</v>
      </c>
      <c r="P41" s="2013"/>
      <c r="V41" s="2013"/>
    </row>
    <row r="42" spans="1:26" ht="34">
      <c r="A42" s="3406" t="s">
        <v>2065</v>
      </c>
      <c r="B42" s="3407"/>
      <c r="C42" s="264">
        <f ca="1">C32</f>
        <v>56146</v>
      </c>
      <c r="D42" s="317">
        <f ca="1">C33</f>
        <v>2368</v>
      </c>
      <c r="E42" s="317">
        <f ca="1">C34</f>
        <v>8821</v>
      </c>
      <c r="F42" s="318">
        <f ca="1">C35</f>
        <v>588</v>
      </c>
      <c r="G42" s="311"/>
      <c r="H42" s="311"/>
      <c r="I42" s="319"/>
      <c r="J42" s="2015"/>
      <c r="K42" s="1267" t="s">
        <v>361</v>
      </c>
      <c r="L42" s="2032" t="s">
        <v>362</v>
      </c>
      <c r="M42" s="1268" t="s">
        <v>363</v>
      </c>
      <c r="N42" s="2033" t="s">
        <v>364</v>
      </c>
      <c r="O42" s="2034" t="s">
        <v>365</v>
      </c>
      <c r="P42" s="2013"/>
      <c r="V42" s="2013"/>
    </row>
    <row r="43" spans="1:26" ht="34">
      <c r="A43" s="3416" t="s">
        <v>2727</v>
      </c>
      <c r="B43" s="3417"/>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60412</v>
      </c>
      <c r="M43" s="1271">
        <f>C18</f>
        <v>0.5</v>
      </c>
      <c r="N43" s="1272">
        <f ca="1">IF(N42="测算结果/万元",G19,G20)</f>
        <v>56146</v>
      </c>
      <c r="O43" s="1273">
        <f ca="1">IF(O42="最终结果/万元",C32,C33)</f>
        <v>56146</v>
      </c>
      <c r="P43" s="2013"/>
      <c r="V43" s="2013"/>
    </row>
    <row r="44" spans="1:26" ht="35" thickBot="1">
      <c r="A44" s="3406" t="str">
        <f>IF(OR(项目基本情况!E8="抵押价格",项目基本情况!E8="已注销及未注销"),"3.抵押价格","——")</f>
        <v>——</v>
      </c>
      <c r="B44" s="3407"/>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51879</v>
      </c>
      <c r="M44" s="1276">
        <f>D18</f>
        <v>0.5</v>
      </c>
      <c r="N44" s="1277"/>
      <c r="O44" s="1278"/>
      <c r="P44" s="2013"/>
      <c r="V44" s="2013"/>
    </row>
    <row r="45" spans="1:26" ht="14">
      <c r="A45" s="3411" t="str">
        <f>IF(项目基本情况!E8="已注销及未注销","4.抵押担保权已注销时的抵押价格",IF(项目基本情况!E8="已注销","3.抵押担保权已注销时的抵押价格","——"))</f>
        <v>——</v>
      </c>
      <c r="B45" s="341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 thickBot="1">
      <c r="A46" s="3408" t="str">
        <f>IF(项目基本情况!E9="抵押净值",IF(A45="——","4.抵押净值","5.抵押净值"),"——")</f>
        <v>——</v>
      </c>
      <c r="B46" s="340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4">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4">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4">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75" t="s">
        <v>374</v>
      </c>
      <c r="B63" s="3376"/>
      <c r="C63" s="3377"/>
      <c r="D63" s="341">
        <f ca="1">ROUND(C42*F63,0)</f>
        <v>33688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413" t="s">
        <v>378</v>
      </c>
      <c r="B64" s="3414"/>
      <c r="C64" s="3414"/>
      <c r="D64" s="3414"/>
      <c r="E64" s="3414"/>
      <c r="F64" s="3414"/>
      <c r="G64" s="3415"/>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8">
      <c r="A66" s="3410" t="s">
        <v>386</v>
      </c>
      <c r="B66" s="3382"/>
      <c r="C66" s="3382"/>
      <c r="D66" s="261">
        <f ca="1">IF(H66="情况1",0,IF(H66="情况2",D70,IF(H66="情况3",D71,IF(H66="情况4",D72))))</f>
        <v>1797</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51" t="s">
        <v>385</v>
      </c>
      <c r="M66" s="3352"/>
      <c r="N66" s="2422"/>
      <c r="O66" s="2423"/>
      <c r="P66" s="2424"/>
      <c r="Q66" s="2013"/>
      <c r="R66" s="2013"/>
      <c r="S66" s="2013"/>
      <c r="T66" s="2013"/>
      <c r="U66" s="2013"/>
      <c r="V66" s="2013"/>
    </row>
    <row r="67" spans="1:22" ht="25.5" customHeight="1">
      <c r="A67" s="352" t="s">
        <v>390</v>
      </c>
      <c r="B67" s="3393" t="s">
        <v>391</v>
      </c>
      <c r="C67" s="3393"/>
      <c r="D67" s="353">
        <v>0</v>
      </c>
      <c r="E67" s="41" t="s">
        <v>392</v>
      </c>
      <c r="F67" s="62" t="s">
        <v>21</v>
      </c>
      <c r="G67" s="3378"/>
      <c r="H67" s="311"/>
      <c r="I67" s="1288"/>
      <c r="J67" s="2020"/>
      <c r="K67" s="1961">
        <v>2</v>
      </c>
      <c r="L67" s="3350" t="s">
        <v>389</v>
      </c>
      <c r="M67" s="3350"/>
      <c r="N67" s="1321">
        <f>'数据-取费表'!B2</f>
        <v>43875</v>
      </c>
      <c r="O67" s="1321"/>
      <c r="P67" s="1321"/>
      <c r="Q67" s="2013"/>
      <c r="R67" s="2013"/>
      <c r="S67" s="2013"/>
      <c r="T67" s="2013"/>
      <c r="U67" s="2013"/>
      <c r="V67" s="2013"/>
    </row>
    <row r="68" spans="1:22" ht="25.5" customHeight="1">
      <c r="A68" s="354"/>
      <c r="B68" s="3393" t="s">
        <v>394</v>
      </c>
      <c r="C68" s="3393"/>
      <c r="D68" s="355"/>
      <c r="E68" s="77"/>
      <c r="F68" s="356"/>
      <c r="G68" s="3379"/>
      <c r="H68" s="311"/>
      <c r="I68" s="1288"/>
      <c r="J68" s="2020"/>
      <c r="K68" s="1961">
        <v>3</v>
      </c>
      <c r="L68" s="3350" t="s">
        <v>393</v>
      </c>
      <c r="M68" s="3350"/>
      <c r="N68" s="1289">
        <f ca="1">C42</f>
        <v>56146</v>
      </c>
      <c r="O68" s="1289"/>
      <c r="P68" s="1289"/>
      <c r="Q68" s="2013"/>
      <c r="R68" s="2013"/>
      <c r="S68" s="2013"/>
      <c r="T68" s="2013"/>
      <c r="U68" s="2013"/>
      <c r="V68" s="2013"/>
    </row>
    <row r="69" spans="1:22" ht="12" customHeight="1">
      <c r="A69" s="357"/>
      <c r="B69" s="3393" t="s">
        <v>395</v>
      </c>
      <c r="C69" s="3393"/>
      <c r="D69" s="358"/>
      <c r="E69" s="73"/>
      <c r="F69" s="356"/>
      <c r="G69" s="3380"/>
      <c r="H69" s="311"/>
      <c r="I69" s="1288"/>
      <c r="J69" s="2020"/>
      <c r="K69" s="1290">
        <v>4</v>
      </c>
      <c r="L69" s="3356" t="s">
        <v>2880</v>
      </c>
      <c r="M69" s="3357"/>
      <c r="N69" s="1291" t="str">
        <f>C44</f>
        <v>——</v>
      </c>
      <c r="O69" s="1291"/>
      <c r="P69" s="1291"/>
      <c r="Q69" s="2013"/>
      <c r="R69" s="2013"/>
      <c r="S69" s="2013"/>
      <c r="T69" s="2013"/>
      <c r="U69" s="2013"/>
      <c r="V69" s="2013"/>
    </row>
    <row r="70" spans="1:22" ht="24" customHeight="1">
      <c r="A70" s="359" t="s">
        <v>396</v>
      </c>
      <c r="B70" s="3393" t="s">
        <v>397</v>
      </c>
      <c r="C70" s="3393"/>
      <c r="D70" s="358">
        <f ca="1">ROUND(D63*'数据-取费表'!B41/(1+'数据-取费表'!C42),0)</f>
        <v>1797</v>
      </c>
      <c r="E70" s="17" t="s">
        <v>398</v>
      </c>
      <c r="F70" s="360">
        <f>'数据-取费表'!B41</f>
        <v>5.6000000000000001E-2</v>
      </c>
      <c r="G70" s="361"/>
      <c r="H70" s="311"/>
      <c r="I70" s="1288"/>
      <c r="J70" s="2020"/>
      <c r="K70" s="3012"/>
      <c r="L70" s="3013"/>
      <c r="M70" s="3013"/>
      <c r="N70" s="3014" t="s">
        <v>2885</v>
      </c>
      <c r="O70" s="3013"/>
      <c r="P70" s="3015"/>
      <c r="Q70" s="2013"/>
      <c r="R70" s="2013"/>
      <c r="S70" s="2013"/>
      <c r="T70" s="2013"/>
      <c r="U70" s="2013"/>
      <c r="V70" s="2013"/>
    </row>
    <row r="71" spans="1:22" ht="12" customHeight="1">
      <c r="A71" s="359" t="s">
        <v>404</v>
      </c>
      <c r="B71" s="3392" t="s">
        <v>405</v>
      </c>
      <c r="C71" s="3404"/>
      <c r="D71" s="358">
        <f ca="1">ROUND(D63*'数据-取费表'!B41/(1+'数据-取费表'!C42),0)</f>
        <v>1797</v>
      </c>
      <c r="E71" s="17" t="s">
        <v>398</v>
      </c>
      <c r="F71" s="360">
        <f>'数据-取费表'!B41</f>
        <v>5.6000000000000001E-2</v>
      </c>
      <c r="G71" s="361"/>
      <c r="H71" s="311"/>
      <c r="I71" s="1288"/>
      <c r="J71" s="2020"/>
      <c r="K71" s="3011" t="s">
        <v>399</v>
      </c>
      <c r="L71" s="3358" t="s">
        <v>400</v>
      </c>
      <c r="M71" s="3358"/>
      <c r="N71" s="3011" t="s">
        <v>401</v>
      </c>
      <c r="O71" s="3011" t="s">
        <v>402</v>
      </c>
      <c r="P71" s="3011" t="s">
        <v>403</v>
      </c>
      <c r="Q71" s="2013"/>
      <c r="R71" s="2013"/>
      <c r="S71" s="2013"/>
      <c r="T71" s="2013"/>
      <c r="U71" s="2013"/>
      <c r="V71" s="2013"/>
    </row>
    <row r="72" spans="1:22" ht="12" customHeight="1">
      <c r="A72" s="359" t="s">
        <v>407</v>
      </c>
      <c r="B72" s="3392" t="s">
        <v>408</v>
      </c>
      <c r="C72" s="3404"/>
      <c r="D72" s="358">
        <f ca="1">C86</f>
        <v>1685</v>
      </c>
      <c r="E72" s="73" t="s">
        <v>409</v>
      </c>
      <c r="F72" s="360">
        <f>'数据-取费表'!B41</f>
        <v>5.6000000000000001E-2</v>
      </c>
      <c r="G72" s="361"/>
      <c r="H72" s="1294"/>
      <c r="I72" s="1288"/>
      <c r="J72" s="2020"/>
      <c r="K72" s="1961">
        <v>1</v>
      </c>
      <c r="L72" s="3355" t="s">
        <v>406</v>
      </c>
      <c r="M72" s="3355"/>
      <c r="N72" s="1292">
        <f ca="1">D66</f>
        <v>1797</v>
      </c>
      <c r="O72" s="1844" t="str">
        <f>E66</f>
        <v>销售额×税（费）率</v>
      </c>
      <c r="P72" s="1293">
        <f>F66</f>
        <v>5.6000000000000001E-2</v>
      </c>
      <c r="Q72" s="2013"/>
      <c r="R72" s="2013"/>
      <c r="S72" s="2013"/>
      <c r="T72" s="2013"/>
      <c r="U72" s="2013"/>
      <c r="V72" s="2013"/>
    </row>
    <row r="73" spans="1:22" ht="24" customHeight="1">
      <c r="A73" s="3381" t="s">
        <v>411</v>
      </c>
      <c r="B73" s="3382"/>
      <c r="C73" s="3382"/>
      <c r="D73" s="362">
        <f>IF(H73="个人住宅",0,ROUND(D63*I73,0))</f>
        <v>0</v>
      </c>
      <c r="E73" s="17" t="s">
        <v>412</v>
      </c>
      <c r="F73" s="360" t="str">
        <f>IF(H73="正常",I73,"免征")</f>
        <v>免征</v>
      </c>
      <c r="G73" s="361"/>
      <c r="H73" s="191" t="s">
        <v>2453</v>
      </c>
      <c r="I73" s="360">
        <f>'数据-取费表'!B49</f>
        <v>5.0000000000000001E-4</v>
      </c>
      <c r="J73" s="2020"/>
      <c r="K73" s="1961">
        <v>2</v>
      </c>
      <c r="L73" s="3355" t="s">
        <v>410</v>
      </c>
      <c r="M73" s="3355"/>
      <c r="N73" s="1292">
        <f t="shared" ref="N73:P74" si="1">D73</f>
        <v>0</v>
      </c>
      <c r="O73" s="1844" t="str">
        <f t="shared" si="1"/>
        <v>销售额×税（费）率</v>
      </c>
      <c r="P73" s="1293" t="str">
        <f t="shared" si="1"/>
        <v>免征</v>
      </c>
      <c r="Q73" s="2013"/>
      <c r="R73" s="2013"/>
      <c r="S73" s="2013"/>
      <c r="T73" s="2013"/>
      <c r="U73" s="2013"/>
      <c r="V73" s="2013"/>
    </row>
    <row r="74" spans="1:22" ht="28">
      <c r="A74" s="3381" t="s">
        <v>415</v>
      </c>
      <c r="B74" s="3382"/>
      <c r="C74" s="3382"/>
      <c r="D74" s="362">
        <f ca="1">IF(H74="个人住宅",D75,D76)</f>
        <v>18412</v>
      </c>
      <c r="E74" s="17" t="s">
        <v>416</v>
      </c>
      <c r="F74" s="360" t="str">
        <f>IF(H74="正常",F76,"免征")</f>
        <v>——</v>
      </c>
      <c r="G74" s="983" t="s">
        <v>417</v>
      </c>
      <c r="H74" s="363" t="s">
        <v>413</v>
      </c>
      <c r="I74" s="42"/>
      <c r="J74" s="2020"/>
      <c r="K74" s="1961">
        <v>3</v>
      </c>
      <c r="L74" s="3355" t="s">
        <v>414</v>
      </c>
      <c r="M74" s="3355"/>
      <c r="N74" s="1292">
        <f t="shared" ca="1" si="1"/>
        <v>18412</v>
      </c>
      <c r="O74" s="1844" t="str">
        <f t="shared" si="1"/>
        <v>增值额×税（费）率</v>
      </c>
      <c r="P74" s="1295" t="str">
        <f t="shared" si="1"/>
        <v>——</v>
      </c>
      <c r="Q74" s="2013"/>
      <c r="R74" s="2013"/>
      <c r="S74" s="2013"/>
      <c r="T74" s="2013"/>
      <c r="U74" s="2013"/>
      <c r="V74" s="2013"/>
    </row>
    <row r="75" spans="1:22" ht="28">
      <c r="A75" s="359" t="s">
        <v>418</v>
      </c>
      <c r="B75" s="3362" t="s">
        <v>419</v>
      </c>
      <c r="C75" s="3363"/>
      <c r="D75" s="364">
        <v>0</v>
      </c>
      <c r="E75" s="41" t="s">
        <v>420</v>
      </c>
      <c r="F75" s="365"/>
      <c r="G75" s="361"/>
      <c r="H75" s="42"/>
      <c r="I75" s="42"/>
      <c r="J75" s="2020"/>
      <c r="K75" s="3004">
        <f>IF(H77="非个人房产","",4)</f>
        <v>4</v>
      </c>
      <c r="L75" s="3355" t="str">
        <f>IF(H77="非个人房产","——","个人所得税")</f>
        <v>个人所得税</v>
      </c>
      <c r="M75" s="3355"/>
      <c r="N75" s="1296">
        <f ca="1">D77</f>
        <v>337</v>
      </c>
      <c r="O75" s="1857" t="str">
        <f>E77</f>
        <v>销售额×税（费）率</v>
      </c>
      <c r="P75" s="1297">
        <f>F77</f>
        <v>0.01</v>
      </c>
      <c r="Q75" s="2013"/>
      <c r="R75" s="2013"/>
      <c r="S75" s="2013"/>
      <c r="T75" s="2013"/>
      <c r="U75" s="2013"/>
      <c r="V75" s="2013"/>
    </row>
    <row r="76" spans="1:22" ht="28">
      <c r="A76" s="359" t="s">
        <v>396</v>
      </c>
      <c r="B76" s="3362" t="s">
        <v>422</v>
      </c>
      <c r="C76" s="3403"/>
      <c r="D76" s="362">
        <f ca="1">IF(H76="转让取得",C99,C115)</f>
        <v>18412</v>
      </c>
      <c r="E76" s="17" t="s">
        <v>423</v>
      </c>
      <c r="F76" s="53" t="s">
        <v>21</v>
      </c>
      <c r="G76" s="361"/>
      <c r="H76" s="363" t="s">
        <v>424</v>
      </c>
      <c r="I76" s="42"/>
      <c r="J76" s="2020"/>
      <c r="K76" s="3004" t="str">
        <f>IF(项目基本情况!K6="上海银行",IF(K75="",4,K75+1),"")</f>
        <v/>
      </c>
      <c r="L76" s="3343" t="str">
        <f>IF(项目基本情况!K6="上海银行","其他处置费用","")</f>
        <v/>
      </c>
      <c r="M76" s="3344"/>
      <c r="N76" s="1292" t="str">
        <f>IF(项目基本情况!K6="上海银行",N89,"")</f>
        <v/>
      </c>
      <c r="O76" s="3345" t="str">
        <f>IF(项目基本情况!K6="上海银行","包含处置中涉及的律师、诉讼、拍卖、评估等费用","")</f>
        <v/>
      </c>
      <c r="P76" s="3346"/>
      <c r="Q76" s="2013"/>
      <c r="R76" s="2013"/>
      <c r="S76" s="2013"/>
      <c r="T76" s="2013"/>
      <c r="U76" s="2013"/>
      <c r="V76" s="2013"/>
    </row>
    <row r="77" spans="1:22" ht="29" thickBot="1">
      <c r="A77" s="3373" t="s">
        <v>426</v>
      </c>
      <c r="B77" s="3374"/>
      <c r="C77" s="3374"/>
      <c r="D77" s="366">
        <f ca="1">IF(H77="非个人房产","——",IF(H77="个人住宅",0,ROUND(D63*I77,0)))</f>
        <v>337</v>
      </c>
      <c r="E77" s="367" t="str">
        <f>IF(H77="非个人房产","——","销售额×税（费）率")</f>
        <v>销售额×税（费）率</v>
      </c>
      <c r="F77" s="368">
        <f>IF(H77="非个人房产","——",IF(H77="个人住宅","免征",I77))</f>
        <v>0.01</v>
      </c>
      <c r="G77" s="984" t="s">
        <v>417</v>
      </c>
      <c r="H77" s="363" t="s">
        <v>2881</v>
      </c>
      <c r="I77" s="369">
        <v>0.01</v>
      </c>
      <c r="J77" s="2020"/>
      <c r="K77" s="3369">
        <f>IF(AND(K75="",K76=""),4,IF(项目基本情况!K6="上海银行",K76+1,K75+1))</f>
        <v>5</v>
      </c>
      <c r="L77" s="3355" t="s">
        <v>2882</v>
      </c>
      <c r="M77" s="3010" t="s">
        <v>421</v>
      </c>
      <c r="N77" s="1298"/>
      <c r="O77" s="1299">
        <f ca="1">SUMIF(N72:N76,"&lt;9e307")</f>
        <v>20546</v>
      </c>
      <c r="P77" s="1300"/>
      <c r="Q77" s="3008" t="e">
        <f ca="1">O77/N69</f>
        <v>#VALUE!</v>
      </c>
      <c r="R77" s="2013"/>
      <c r="S77" s="2013"/>
      <c r="T77" s="2013"/>
      <c r="U77" s="2013"/>
      <c r="V77" s="2013"/>
    </row>
    <row r="78" spans="1:22" ht="12" customHeight="1">
      <c r="A78" s="1301"/>
      <c r="B78" s="311"/>
      <c r="C78" s="311"/>
      <c r="D78" s="311"/>
      <c r="E78" s="42"/>
      <c r="F78" s="42"/>
      <c r="G78" s="42"/>
      <c r="H78" s="1003"/>
      <c r="I78" s="311"/>
      <c r="J78" s="2020"/>
      <c r="K78" s="3369"/>
      <c r="L78" s="3355"/>
      <c r="M78" s="3010" t="s">
        <v>425</v>
      </c>
      <c r="N78" s="1298"/>
      <c r="O78" s="1299" t="str">
        <f ca="1">NUMBERSTRING(INT(O77*10000),2)&amp;"元整"</f>
        <v>贰亿零伍佰肆拾陆万元整</v>
      </c>
      <c r="P78" s="1300"/>
      <c r="Q78" s="2013"/>
      <c r="R78" s="2013"/>
      <c r="S78" s="2013"/>
      <c r="T78" s="2013"/>
      <c r="U78" s="2013"/>
      <c r="V78" s="2013"/>
    </row>
    <row r="79" spans="1:22" ht="15" thickBot="1">
      <c r="A79" s="3359" t="s">
        <v>427</v>
      </c>
      <c r="B79" s="3359"/>
      <c r="C79" s="3359"/>
      <c r="D79" s="3359"/>
      <c r="E79" s="3359"/>
      <c r="F79" s="42"/>
      <c r="G79" s="42"/>
      <c r="H79" s="1003"/>
      <c r="I79" s="311"/>
      <c r="J79" s="2020"/>
      <c r="K79" s="3353">
        <f>K77+1</f>
        <v>6</v>
      </c>
      <c r="L79" s="3355" t="s">
        <v>2883</v>
      </c>
      <c r="M79" s="3010" t="s">
        <v>421</v>
      </c>
      <c r="N79" s="1298"/>
      <c r="O79" s="1299" t="e">
        <f ca="1">N69-O77</f>
        <v>#VALUE!</v>
      </c>
      <c r="P79" s="1300"/>
      <c r="Q79" s="2013"/>
      <c r="R79" s="2013"/>
      <c r="S79" s="2013"/>
      <c r="T79" s="2013"/>
      <c r="U79" s="2013"/>
      <c r="V79" s="2013"/>
    </row>
    <row r="80" spans="1:22" ht="15">
      <c r="A80" s="3360" t="s">
        <v>428</v>
      </c>
      <c r="B80" s="3361"/>
      <c r="C80" s="994"/>
      <c r="D80" s="994" t="s">
        <v>429</v>
      </c>
      <c r="E80" s="370" t="s">
        <v>430</v>
      </c>
      <c r="F80" s="42"/>
      <c r="G80" s="42"/>
      <c r="H80" s="1003"/>
      <c r="I80" s="311"/>
      <c r="J80" s="2013"/>
      <c r="K80" s="3354"/>
      <c r="L80" s="3355"/>
      <c r="M80" s="3010" t="s">
        <v>425</v>
      </c>
      <c r="N80" s="1298"/>
      <c r="O80" s="1299" t="e">
        <f ca="1">NUMBERSTRING(INT(O79*10000),2)&amp;"元整"</f>
        <v>#VALUE!</v>
      </c>
      <c r="P80" s="1300"/>
      <c r="Q80" s="2013"/>
      <c r="R80" s="2013"/>
      <c r="S80" s="2013"/>
      <c r="T80" s="2013"/>
      <c r="U80" s="2013"/>
      <c r="V80" s="2013"/>
    </row>
    <row r="81" spans="1:26" ht="16" thickBot="1">
      <c r="A81" s="381" t="s">
        <v>1823</v>
      </c>
      <c r="B81" s="371" t="s">
        <v>431</v>
      </c>
      <c r="C81" s="372">
        <f ca="1">ROUND((C82+C83)/(1+'数据-取费表'!C42),0)</f>
        <v>32084</v>
      </c>
      <c r="D81" s="373"/>
      <c r="E81" s="374"/>
      <c r="F81" s="42"/>
      <c r="G81" s="42"/>
      <c r="H81" s="1003"/>
      <c r="I81" s="311"/>
      <c r="J81" s="2013"/>
      <c r="K81" s="3004">
        <f>K79+1</f>
        <v>7</v>
      </c>
      <c r="L81" s="3367" t="s">
        <v>2884</v>
      </c>
      <c r="M81" s="3368"/>
      <c r="N81" s="1302"/>
      <c r="O81" s="1303" t="e">
        <f ca="1">ROUND(O79*10000/'数据-汇总表'!E3,0)</f>
        <v>#VALUE!</v>
      </c>
      <c r="P81" s="1304"/>
      <c r="Q81" s="2013"/>
      <c r="R81" s="2013"/>
      <c r="S81" s="2013"/>
      <c r="T81" s="2013"/>
      <c r="U81" s="2013"/>
      <c r="V81" s="2013"/>
    </row>
    <row r="82" spans="1:26" ht="16" thickTop="1">
      <c r="A82" s="375" t="s">
        <v>1824</v>
      </c>
      <c r="B82" s="376" t="s">
        <v>432</v>
      </c>
      <c r="C82" s="377">
        <f ca="1">D63</f>
        <v>33688</v>
      </c>
      <c r="D82" s="378" t="s">
        <v>19</v>
      </c>
      <c r="E82" s="379"/>
      <c r="F82" s="42"/>
      <c r="G82" s="42"/>
      <c r="H82" s="1003"/>
      <c r="I82" s="311"/>
      <c r="J82" s="2013"/>
      <c r="K82" s="2013"/>
      <c r="L82" s="2013"/>
      <c r="M82" s="2013"/>
      <c r="N82" s="2013"/>
      <c r="O82" s="2013"/>
      <c r="P82" s="2013"/>
      <c r="Q82" s="2013"/>
      <c r="R82" s="2013"/>
      <c r="S82" s="2013"/>
      <c r="T82" s="2013"/>
      <c r="U82" s="2013"/>
      <c r="V82" s="2013"/>
    </row>
    <row r="83" spans="1:26" ht="15">
      <c r="A83" s="375" t="s">
        <v>1825</v>
      </c>
      <c r="B83" s="376" t="s">
        <v>433</v>
      </c>
      <c r="C83" s="380">
        <v>0</v>
      </c>
      <c r="D83" s="378"/>
      <c r="E83" s="379"/>
      <c r="F83" s="42"/>
      <c r="G83" s="42"/>
      <c r="H83" s="1003"/>
      <c r="I83" s="311"/>
      <c r="J83" s="2013"/>
      <c r="K83" s="3342" t="s">
        <v>2871</v>
      </c>
      <c r="L83" s="3016" t="s">
        <v>2872</v>
      </c>
      <c r="M83" s="3006" t="e">
        <f>IF(N69&gt;10000,N69*0.5%,IF(AND(N69&gt;1000,N69&lt;=10000),N69*1%,IF(AND(N69&gt;100,N69&lt;=1000),N69*3%,IF(AND(N69&gt;10,N69&lt;=100),N69*5%,N69*8%))))</f>
        <v>#VALUE!</v>
      </c>
      <c r="N83" s="53" t="e">
        <f>ROUND(M83,1)</f>
        <v>#VALUE!</v>
      </c>
      <c r="O83" s="3009"/>
      <c r="P83" s="2013"/>
      <c r="Q83" s="2013"/>
      <c r="R83" s="2013"/>
      <c r="S83" s="2013"/>
      <c r="T83" s="2013"/>
      <c r="U83" s="2013"/>
      <c r="V83" s="2013"/>
    </row>
    <row r="84" spans="1:26" ht="15">
      <c r="A84" s="381" t="s">
        <v>1826</v>
      </c>
      <c r="B84" s="382" t="s">
        <v>434</v>
      </c>
      <c r="C84" s="383">
        <v>2000</v>
      </c>
      <c r="D84" s="384" t="s">
        <v>19</v>
      </c>
      <c r="E84" s="3051" t="s">
        <v>2939</v>
      </c>
      <c r="F84" s="42"/>
      <c r="G84" s="42"/>
      <c r="H84" s="1003"/>
      <c r="I84" s="311"/>
      <c r="J84" s="2013"/>
      <c r="K84" s="3342"/>
      <c r="L84" s="3016" t="s">
        <v>2873</v>
      </c>
      <c r="M84" s="30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2874</v>
      </c>
      <c r="P84" s="2013"/>
      <c r="Q84" s="2013"/>
      <c r="R84" s="2013"/>
      <c r="S84" s="2013"/>
      <c r="T84" s="2013"/>
      <c r="U84" s="2013"/>
      <c r="V84" s="2013"/>
    </row>
    <row r="85" spans="1:26" ht="15">
      <c r="A85" s="381" t="s">
        <v>1827</v>
      </c>
      <c r="B85" s="382" t="s">
        <v>435</v>
      </c>
      <c r="C85" s="385">
        <f ca="1">C81-C84</f>
        <v>30084</v>
      </c>
      <c r="D85" s="378" t="s">
        <v>19</v>
      </c>
      <c r="E85" s="379"/>
      <c r="F85" s="42"/>
      <c r="G85" s="42"/>
      <c r="H85" s="1003"/>
      <c r="I85" s="311"/>
      <c r="J85" s="2013"/>
      <c r="K85" s="3342"/>
      <c r="L85" s="3016" t="s">
        <v>2875</v>
      </c>
      <c r="M85" s="3006" t="e">
        <f>IF(N69&gt;1000,N69*0.1%,IF(AND(N69&gt;500,N69&lt;=1000),N69*0.5%,IF(AND(N69&gt;50,N69&lt;=500),N69*1%,IF(AND(N69&gt;1,N69&lt;=50),N69*1.5%))))</f>
        <v>#VALUE!</v>
      </c>
      <c r="N85" s="53" t="e">
        <f t="shared" si="2"/>
        <v>#VALUE!</v>
      </c>
      <c r="O85" s="2013" t="s">
        <v>2874</v>
      </c>
      <c r="P85" s="2013"/>
      <c r="Q85" s="2013"/>
      <c r="R85" s="2013"/>
      <c r="S85" s="2013"/>
      <c r="T85" s="2013"/>
      <c r="U85" s="2013"/>
      <c r="V85" s="2013"/>
    </row>
    <row r="86" spans="1:26" ht="16" thickBot="1">
      <c r="A86" s="386" t="s">
        <v>1828</v>
      </c>
      <c r="B86" s="387" t="s">
        <v>436</v>
      </c>
      <c r="C86" s="388">
        <f ca="1">IF(C85&lt;=0,0,ROUND(C85*D86,0))</f>
        <v>1685</v>
      </c>
      <c r="D86" s="389">
        <f>'数据-取费表'!B41</f>
        <v>5.6000000000000001E-2</v>
      </c>
      <c r="E86" s="390"/>
      <c r="F86" s="42"/>
      <c r="G86" s="42"/>
      <c r="H86" s="1003"/>
      <c r="I86" s="311"/>
      <c r="J86" s="2013"/>
      <c r="K86" s="3342"/>
      <c r="L86" s="3016" t="s">
        <v>2876</v>
      </c>
      <c r="M86" s="3006" t="e">
        <f>N69*0.5%</f>
        <v>#VALUE!</v>
      </c>
      <c r="N86" s="53" t="e">
        <f>IF(M86&gt;0.5,0.5,ROUND(M86,0))</f>
        <v>#VALUE!</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2"/>
      <c r="L87" s="3016" t="s">
        <v>2878</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3"/>
      <c r="R87" s="2013"/>
      <c r="S87" s="2013"/>
      <c r="T87" s="2013"/>
      <c r="U87" s="2013"/>
      <c r="V87" s="2013"/>
      <c r="W87" s="292"/>
      <c r="X87" s="292"/>
      <c r="Y87" s="292"/>
      <c r="Z87" s="292"/>
    </row>
    <row r="88" spans="1:26" s="1310" customFormat="1" ht="15" thickBot="1">
      <c r="A88" s="3395" t="s">
        <v>437</v>
      </c>
      <c r="B88" s="3396"/>
      <c r="C88" s="3396"/>
      <c r="D88" s="3396"/>
      <c r="E88" s="3396"/>
      <c r="F88" s="3396"/>
      <c r="G88" s="3396"/>
      <c r="H88" s="3396"/>
      <c r="I88" s="1311"/>
      <c r="J88" s="2021"/>
      <c r="K88" s="3342"/>
      <c r="L88" s="3016" t="s">
        <v>2879</v>
      </c>
      <c r="M88" s="3006" t="e">
        <f>IF(N69&gt;10000,N69*0.5%,IF(AND(N69&gt;5000,N69&lt;=10000),N69*1%,IF(AND(N69&gt;1000,N69&lt;=5000),N69*2%,IF(AND(N69&gt;200,N69&lt;=1000),N69*3%,N69*5%))))</f>
        <v>#VALUE!</v>
      </c>
      <c r="N88" s="53" t="e">
        <f>ROUND(M88,1)</f>
        <v>#VALUE!</v>
      </c>
      <c r="O88" s="3009"/>
      <c r="P88" s="11"/>
      <c r="Q88" s="2018"/>
      <c r="R88" s="2018"/>
      <c r="S88" s="2018"/>
      <c r="T88" s="2018"/>
      <c r="U88" s="2018"/>
      <c r="V88" s="2018"/>
      <c r="W88" s="2022"/>
      <c r="X88" s="2022"/>
      <c r="Y88" s="2022"/>
      <c r="Z88" s="2022"/>
    </row>
    <row r="89" spans="1:26" s="1310" customFormat="1" ht="15">
      <c r="A89" s="3360" t="s">
        <v>428</v>
      </c>
      <c r="B89" s="3361"/>
      <c r="C89" s="994"/>
      <c r="D89" s="994" t="s">
        <v>429</v>
      </c>
      <c r="E89" s="391" t="s">
        <v>438</v>
      </c>
      <c r="F89" s="392"/>
      <c r="G89" s="392"/>
      <c r="H89" s="393"/>
      <c r="I89" s="1312"/>
      <c r="J89" s="2023"/>
      <c r="K89" s="3342"/>
      <c r="L89" s="3016" t="s">
        <v>27</v>
      </c>
      <c r="M89" s="3007"/>
      <c r="N89" s="53" t="e">
        <f>ROUND(SUM(N83:N88),0)</f>
        <v>#VALUE!</v>
      </c>
      <c r="O89" s="3017" t="e">
        <f>N89/N69</f>
        <v>#VALUE!</v>
      </c>
      <c r="P89" s="2018"/>
      <c r="Q89" s="2018"/>
      <c r="R89" s="2018"/>
      <c r="S89" s="2018"/>
      <c r="T89" s="2018"/>
      <c r="U89" s="2018"/>
      <c r="V89" s="2018"/>
      <c r="W89" s="2022"/>
      <c r="X89" s="2022"/>
      <c r="Y89" s="2022"/>
      <c r="Z89" s="2022"/>
    </row>
    <row r="90" spans="1:26" s="1310" customFormat="1" ht="15">
      <c r="A90" s="381" t="s">
        <v>1823</v>
      </c>
      <c r="B90" s="382" t="s">
        <v>439</v>
      </c>
      <c r="C90" s="385">
        <f ca="1">ROUND(D63/(1+'数据-取费表'!C42),0)</f>
        <v>32084</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5">
      <c r="A91" s="381" t="s">
        <v>1829</v>
      </c>
      <c r="B91" s="348" t="s">
        <v>440</v>
      </c>
      <c r="C91" s="385">
        <f ca="1">C92+C96</f>
        <v>2754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8">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92" t="s">
        <v>447</v>
      </c>
      <c r="F94" s="3393"/>
      <c r="G94" s="3393"/>
      <c r="H94" s="339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193</v>
      </c>
      <c r="D96" s="406">
        <f>'数据-取费表'!B43</f>
        <v>6.000000000000001E-3</v>
      </c>
      <c r="E96" s="3383" t="s">
        <v>2426</v>
      </c>
      <c r="F96" s="3384"/>
      <c r="G96" s="3384"/>
      <c r="H96" s="338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5">
      <c r="A97" s="1602" t="s">
        <v>1835</v>
      </c>
      <c r="B97" s="382" t="s">
        <v>451</v>
      </c>
      <c r="C97" s="385">
        <f ca="1">C90-C91</f>
        <v>29330</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30">
      <c r="A98" s="1602" t="s">
        <v>1836</v>
      </c>
      <c r="B98" s="382" t="s">
        <v>452</v>
      </c>
      <c r="C98" s="407">
        <f ca="1">IF(C97&lt;=0,0,C97/C91)</f>
        <v>10.649963689179376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16" thickBot="1">
      <c r="A99" s="1603" t="s">
        <v>1837</v>
      </c>
      <c r="B99" s="387" t="s">
        <v>453</v>
      </c>
      <c r="C99" s="408">
        <f ca="1">ROUND(IF(C97&lt;=0,0,IF(C98&gt;=200%,C97*60%-C91*35%,IF(C98&gt;=100%,C97*50%-C91*15%,IF(C98&gt;=50%,C97*40%-C91*5%,IF(C98&lt;50%,C97*30%,0))))),0)</f>
        <v>16634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95" t="s">
        <v>454</v>
      </c>
      <c r="B101" s="3396"/>
      <c r="C101" s="3396"/>
      <c r="D101" s="3396"/>
      <c r="E101" s="3396"/>
      <c r="F101" s="3396"/>
      <c r="G101" s="3396"/>
      <c r="H101" s="339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5">
      <c r="A102" s="3360" t="s">
        <v>428</v>
      </c>
      <c r="B102" s="3361"/>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5">
      <c r="A103" s="381" t="s">
        <v>1823</v>
      </c>
      <c r="B103" s="382" t="s">
        <v>439</v>
      </c>
      <c r="C103" s="385">
        <f ca="1">ROUND(D63/(1+'数据-取费表'!C42),0)</f>
        <v>32084</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5">
      <c r="A104" s="381" t="s">
        <v>1829</v>
      </c>
      <c r="B104" s="348" t="s">
        <v>440</v>
      </c>
      <c r="C104" s="385">
        <f ca="1">IF(H106="仅含出让金",C105+C108+C109+C110+C111+C112,C105+C109+C110+C111+C112)</f>
        <v>883</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86" t="s">
        <v>462</v>
      </c>
      <c r="F109" s="3384"/>
      <c r="G109" s="3384"/>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86" t="s">
        <v>464</v>
      </c>
      <c r="F110" s="3384"/>
      <c r="G110" s="3384"/>
      <c r="H110" s="338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193</v>
      </c>
      <c r="D111" s="406">
        <f>'数据-取费表'!B43</f>
        <v>6.000000000000001E-3</v>
      </c>
      <c r="E111" s="3383" t="s">
        <v>2426</v>
      </c>
      <c r="F111" s="3384"/>
      <c r="G111" s="3384"/>
      <c r="H111" s="338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86" t="s">
        <v>2451</v>
      </c>
      <c r="F112" s="3384"/>
      <c r="G112" s="3384"/>
      <c r="H112" s="338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5">
      <c r="A113" s="1602" t="s">
        <v>1835</v>
      </c>
      <c r="B113" s="382" t="s">
        <v>451</v>
      </c>
      <c r="C113" s="385">
        <f ca="1">ROUND(C103-C104,0)</f>
        <v>31201</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30">
      <c r="A114" s="1602" t="s">
        <v>1836</v>
      </c>
      <c r="B114" s="382" t="s">
        <v>452</v>
      </c>
      <c r="C114" s="407">
        <f ca="1">IF(C113&lt;=0,0,C113/C104)</f>
        <v>35.335220838052095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16" thickBot="1">
      <c r="A115" s="1603" t="s">
        <v>1837</v>
      </c>
      <c r="B115" s="387" t="s">
        <v>453</v>
      </c>
      <c r="C115" s="408">
        <f ca="1">ROUND(IF(C113&lt;=0,0,IF(C114&gt;=200%,C113*60%-C104*35%,IF(C114&gt;=100%,C113*50%-C104*15%,IF(C114&gt;=50%,C113*40%-C104*5%,IF(C114&lt;50%,C113*30%,0))))),0)</f>
        <v>18412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C8" sqref="C8"/>
    </sheetView>
  </sheetViews>
  <sheetFormatPr baseColWidth="10" defaultColWidth="6.6640625" defaultRowHeight="13"/>
  <cols>
    <col min="1" max="1" width="9.832031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11.6640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31" s="2026" customFormat="1" ht="20">
      <c r="A1" s="2088" t="s">
        <v>466</v>
      </c>
      <c r="B1" s="2764"/>
      <c r="C1" s="2089"/>
      <c r="D1" s="2089"/>
      <c r="E1" s="2089"/>
      <c r="F1" s="2089"/>
      <c r="G1" s="2089"/>
      <c r="H1" s="2089"/>
      <c r="I1" s="2089"/>
      <c r="J1" s="2089"/>
      <c r="K1" s="422">
        <f>MATCH(B1,'数据-取费表'!A6:A16,0)+5</f>
        <v>13</v>
      </c>
    </row>
    <row r="2" spans="1:31" s="2026" customFormat="1" ht="18" customHeight="1">
      <c r="A2" s="2086" t="s">
        <v>467</v>
      </c>
      <c r="B2" s="2090">
        <f ca="1">C36</f>
        <v>51879</v>
      </c>
      <c r="C2" s="2089"/>
      <c r="D2" s="2089"/>
      <c r="E2" s="2089"/>
      <c r="F2" s="2089"/>
      <c r="G2" s="2089"/>
      <c r="H2" s="2089"/>
      <c r="I2" s="2089"/>
      <c r="J2" s="2089"/>
      <c r="K2" s="2089"/>
    </row>
    <row r="3" spans="1:31" s="2026" customFormat="1" ht="18" customHeight="1">
      <c r="A3" s="2091" t="s">
        <v>1684</v>
      </c>
      <c r="B3" s="2092">
        <f ca="1">ROUND(B2*10000/IF(B1="",'数据-汇总表'!E3,INDIRECT("'数据-取费表'!K"&amp;$K$1)),0)</f>
        <v>2188</v>
      </c>
      <c r="C3" s="2089"/>
      <c r="D3" s="2089"/>
      <c r="E3" s="2089"/>
      <c r="F3" s="2089"/>
      <c r="G3" s="2089"/>
      <c r="H3" s="2089"/>
      <c r="I3" s="2089"/>
      <c r="J3" s="2089"/>
      <c r="K3" s="2089"/>
    </row>
    <row r="4" spans="1:31" s="2026" customFormat="1" ht="18" customHeight="1">
      <c r="A4" s="426" t="s">
        <v>468</v>
      </c>
      <c r="B4" s="427">
        <f ca="1">ROUND(B2*10000/IF(B1="",'数据-汇总表'!D3,INDIRECT("'数据-取费表'!R"&amp;$K$1)),0)</f>
        <v>8151</v>
      </c>
      <c r="C4" s="428"/>
      <c r="D4" s="422"/>
      <c r="E4" s="422"/>
      <c r="F4" s="422"/>
      <c r="G4" s="422"/>
      <c r="H4" s="422"/>
      <c r="I4" s="422"/>
      <c r="J4" s="422"/>
      <c r="K4" s="422"/>
    </row>
    <row r="5" spans="1:31" s="2026" customFormat="1" ht="18" customHeight="1" thickBot="1">
      <c r="A5" s="429"/>
      <c r="B5" s="430">
        <f ca="1">ROUND(B2/(IF(B1="",'数据-汇总表'!D3,INDIRECT("'数据-取费表'!R"&amp;$K$1))/666.67),0)</f>
        <v>543</v>
      </c>
      <c r="C5" s="431" t="s">
        <v>469</v>
      </c>
      <c r="D5" s="422"/>
      <c r="E5" s="422"/>
      <c r="F5" s="422"/>
      <c r="G5" s="422"/>
      <c r="H5" s="422"/>
      <c r="I5" s="422"/>
      <c r="J5" s="422"/>
      <c r="K5" s="422"/>
    </row>
    <row r="6" spans="1:31" s="2096" customFormat="1" ht="16.5" customHeight="1">
      <c r="A6" s="2783" t="s">
        <v>1842</v>
      </c>
      <c r="B6" s="2784"/>
      <c r="C6" s="2785">
        <f ca="1">SUM(C10:K10)</f>
        <v>158237</v>
      </c>
      <c r="D6" s="2784"/>
      <c r="E6" s="2784"/>
      <c r="F6" s="2784"/>
      <c r="G6" s="2784"/>
      <c r="H6" s="2784"/>
      <c r="I6" s="2784"/>
      <c r="J6" s="2784"/>
      <c r="K6" s="2786"/>
    </row>
    <row r="7" spans="1:31" s="2098" customFormat="1" ht="28">
      <c r="A7" s="2787" t="s">
        <v>470</v>
      </c>
      <c r="B7" s="2788" t="s">
        <v>471</v>
      </c>
      <c r="C7" s="436" t="s">
        <v>3069</v>
      </c>
      <c r="D7" s="436" t="s">
        <v>3063</v>
      </c>
      <c r="E7" s="436" t="s">
        <v>3072</v>
      </c>
      <c r="F7" s="436" t="s">
        <v>3074</v>
      </c>
      <c r="G7" s="436" t="s">
        <v>3076</v>
      </c>
      <c r="H7" s="436" t="s">
        <v>3078</v>
      </c>
      <c r="I7" s="436" t="s">
        <v>35</v>
      </c>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8800</v>
      </c>
      <c r="D8" s="2789">
        <v>10500</v>
      </c>
      <c r="E8" s="2789">
        <v>12000</v>
      </c>
      <c r="F8" s="2789">
        <v>9700</v>
      </c>
      <c r="G8" s="2789">
        <v>20000</v>
      </c>
      <c r="H8" s="2789">
        <v>9700</v>
      </c>
      <c r="I8" s="2789">
        <f ca="1">'不动产收益法-地下车库'!B3</f>
        <v>863</v>
      </c>
      <c r="J8" s="2789"/>
      <c r="K8" s="2790"/>
      <c r="L8" s="2099"/>
      <c r="M8" s="3193">
        <f>G9/2</f>
        <v>1316.5</v>
      </c>
      <c r="N8" s="2099">
        <v>12000</v>
      </c>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167543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2633</v>
      </c>
      <c r="H9" s="441">
        <f>SUMIF('数据-汇总表'!$C19:$C33,'剩余法-待开发'!H7,'数据-汇总表'!$E19:$E33)</f>
        <v>0</v>
      </c>
      <c r="I9" s="441">
        <f>SUMIF('数据-汇总表'!$C19:$C33,'剩余法-待开发'!I7,'数据-汇总表'!$E19:$E33)</f>
        <v>64125</v>
      </c>
      <c r="J9" s="441">
        <f>SUMIF('数据-汇总表'!$C19:$C33,'剩余法-待开发'!J7,'数据-汇总表'!$E19:$E33)</f>
        <v>0</v>
      </c>
      <c r="K9" s="442">
        <f>SUMIF('数据-汇总表'!$C19:$C33,'剩余法-待开发'!K7,'数据-汇总表'!$E19:$E33)</f>
        <v>0</v>
      </c>
      <c r="L9" s="2099"/>
      <c r="M9" s="3193">
        <f>G9/2</f>
        <v>1316.5</v>
      </c>
      <c r="N9" s="2099">
        <v>28000</v>
      </c>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ROUND(C8*C9/10000,0)</f>
        <v>147438</v>
      </c>
      <c r="D10" s="2980">
        <f t="shared" ref="D10:H10" si="0">ROUND(D8*D9/10000,0)</f>
        <v>0</v>
      </c>
      <c r="E10" s="2980">
        <f t="shared" si="0"/>
        <v>0</v>
      </c>
      <c r="F10" s="2980">
        <f t="shared" si="0"/>
        <v>0</v>
      </c>
      <c r="G10" s="2980">
        <f t="shared" si="0"/>
        <v>5266</v>
      </c>
      <c r="H10" s="2980">
        <f t="shared" si="0"/>
        <v>0</v>
      </c>
      <c r="I10" s="2980">
        <f ca="1">'不动产收益法-地下车库'!B2</f>
        <v>5533</v>
      </c>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c r="M12" s="2070">
        <f ca="1">B2/'数据-汇总表'!F31*10000</f>
        <v>2998.7341259978152</v>
      </c>
    </row>
    <row r="13" spans="1:31" s="2101" customFormat="1" ht="13.5" customHeight="1">
      <c r="A13" s="2797" t="s">
        <v>1848</v>
      </c>
      <c r="B13" s="2798" t="s">
        <v>479</v>
      </c>
      <c r="C13" s="450">
        <f ca="1">IF(B1="",'数据-取费表'!P16,INDIRECT("'数据-取费表'!p"&amp;$K$1)+INDIRECT("'数据-取费表'!t"&amp;$K$1))</f>
        <v>47689</v>
      </c>
      <c r="D13" s="2799"/>
      <c r="E13" s="2800"/>
      <c r="F13" s="2801"/>
      <c r="G13" s="2767"/>
      <c r="H13" s="2768"/>
      <c r="I13" s="2768"/>
      <c r="J13" s="2768"/>
      <c r="K13" s="2769"/>
    </row>
    <row r="14" spans="1:31" s="2101" customFormat="1" ht="13.5" customHeight="1">
      <c r="A14" s="2797" t="s">
        <v>1849</v>
      </c>
      <c r="B14" s="2798" t="s">
        <v>480</v>
      </c>
      <c r="C14" s="53">
        <f ca="1">ROUND(C13*F14,0)</f>
        <v>2384</v>
      </c>
      <c r="D14" s="2799"/>
      <c r="E14" s="2800"/>
      <c r="F14" s="2802">
        <f>'数据-取费表'!B33</f>
        <v>0.05</v>
      </c>
      <c r="G14" s="2767" t="s">
        <v>481</v>
      </c>
      <c r="H14" s="2768"/>
      <c r="I14" s="2768"/>
      <c r="J14" s="2768"/>
      <c r="K14" s="2769"/>
      <c r="M14" s="2101">
        <v>2600</v>
      </c>
      <c r="N14" s="2101">
        <f>M14*'数据-汇总表'!F31/10000</f>
        <v>44980.78</v>
      </c>
    </row>
    <row r="15" spans="1:31" s="2101" customFormat="1" ht="13.5" customHeight="1">
      <c r="A15" s="2797" t="s">
        <v>1850</v>
      </c>
      <c r="B15" s="2798" t="s">
        <v>482</v>
      </c>
      <c r="C15" s="53">
        <f ca="1">ROUND(IF(B1="",SUMIF('数据-取费表'!C:C,"住宅",'数据-取费表'!P:P)*F15,IF(INDIRECT("'数据-取费表'!c"&amp;$K$1)="住宅",INDIRECT("'数据-取费表'!P"&amp;$K$1)*F15,0)),0)</f>
        <v>3351</v>
      </c>
      <c r="D15" s="2799"/>
      <c r="E15" s="2800"/>
      <c r="F15" s="2802">
        <f>'数据-取费表'!B34</f>
        <v>0.1</v>
      </c>
      <c r="G15" s="2767" t="s">
        <v>483</v>
      </c>
      <c r="H15" s="2768"/>
      <c r="I15" s="2768"/>
      <c r="J15" s="2768"/>
      <c r="K15" s="2769"/>
    </row>
    <row r="16" spans="1:31" s="2102" customFormat="1" ht="13.5" customHeight="1">
      <c r="A16" s="2797" t="s">
        <v>1851</v>
      </c>
      <c r="B16" s="2798" t="s">
        <v>484</v>
      </c>
      <c r="C16" s="53">
        <f ca="1">ROUND(D16*E16/10000,0)</f>
        <v>4743</v>
      </c>
      <c r="D16" s="2799">
        <f ca="1">IF(B1="",'数据-汇总表'!E3,INDIRECT("'数据-取费表'!K"&amp;$K$1)+INDIRECT("'数据-取费表'!S"&amp;$K$1))</f>
        <v>237128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715</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58882</v>
      </c>
      <c r="D18" s="2808"/>
      <c r="E18" s="468"/>
      <c r="F18" s="468"/>
      <c r="G18" s="2771" t="s">
        <v>2428</v>
      </c>
      <c r="H18" s="2772"/>
      <c r="I18" s="2772"/>
      <c r="J18" s="2772"/>
      <c r="K18" s="2773"/>
    </row>
    <row r="19" spans="1:14" s="2101" customFormat="1" ht="13.5" customHeight="1">
      <c r="A19" s="2805" t="s">
        <v>1854</v>
      </c>
      <c r="B19" s="2806" t="s">
        <v>488</v>
      </c>
      <c r="C19" s="2763">
        <f ca="1">ROUND(D19*E19/10000,0)</f>
        <v>0</v>
      </c>
      <c r="D19" s="2809">
        <f ca="1">D16</f>
        <v>237128</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1521</v>
      </c>
      <c r="D20" s="2809"/>
      <c r="E20" s="2763"/>
      <c r="F20" s="2810"/>
      <c r="G20" s="3039"/>
      <c r="H20" s="2765"/>
      <c r="I20" s="2766" t="s">
        <v>2648</v>
      </c>
      <c r="J20" s="2772"/>
      <c r="K20" s="2773"/>
    </row>
    <row r="21" spans="1:14" s="2101" customFormat="1" ht="13.5" customHeight="1">
      <c r="A21" s="2797" t="s">
        <v>1856</v>
      </c>
      <c r="B21" s="2798" t="s">
        <v>491</v>
      </c>
      <c r="C21" s="53">
        <f ca="1">ROUND(D21*E21/10000,0)</f>
        <v>1173</v>
      </c>
      <c r="D21" s="2799">
        <f ca="1">IF(B1="",'数据-汇总表'!E5,IF(INDIRECT("'数据-取费表'!c"&amp;$K$1)="住宅",INDIRECT("'数据-取费表'!k"&amp;$K$1),0))</f>
        <v>167543</v>
      </c>
      <c r="E21" s="53">
        <f>'数据-取费表'!B27</f>
        <v>70</v>
      </c>
      <c r="F21" s="2802"/>
      <c r="G21" s="26"/>
      <c r="H21" s="51"/>
      <c r="I21" s="51"/>
      <c r="J21" s="51"/>
      <c r="K21" s="2774"/>
    </row>
    <row r="22" spans="1:14" s="2101" customFormat="1" ht="13.5" customHeight="1">
      <c r="A22" s="2797" t="s">
        <v>1857</v>
      </c>
      <c r="B22" s="2798" t="s">
        <v>492</v>
      </c>
      <c r="C22" s="53">
        <f ca="1">ROUND(D22*E22/10000,0)</f>
        <v>348</v>
      </c>
      <c r="D22" s="2799">
        <f ca="1">IF(B1="",'数据-汇总表'!E6,IF(INDIRECT("'数据-取费表'!c"&amp;$K$1)="住宅",INDIRECT("'数据-取费表'!s"&amp;$K$1),INDIRECT("'数据-取费表'!k"&amp;$K$1)+INDIRECT("'数据-取费表'!s"&amp;$K$1)))</f>
        <v>69585</v>
      </c>
      <c r="E22" s="53">
        <f>'数据-取费表'!B28</f>
        <v>50</v>
      </c>
      <c r="F22" s="2802"/>
      <c r="G22" s="26"/>
      <c r="H22" s="51"/>
      <c r="I22" s="51"/>
      <c r="J22" s="51"/>
      <c r="K22" s="2774"/>
    </row>
    <row r="23" spans="1:14" s="2101" customFormat="1" ht="13.5" customHeight="1">
      <c r="A23" s="2805" t="s">
        <v>1858</v>
      </c>
      <c r="B23" s="2986" t="s">
        <v>2831</v>
      </c>
      <c r="C23" s="2807">
        <f ca="1">ROUND((C18+C19+C20)*F23,0)</f>
        <v>1510</v>
      </c>
      <c r="D23" s="468"/>
      <c r="E23" s="468"/>
      <c r="F23" s="2811">
        <f>'数据-取费表'!B37</f>
        <v>2.5000000000000001E-2</v>
      </c>
      <c r="G23" s="2767" t="s">
        <v>2429</v>
      </c>
      <c r="H23" s="2768"/>
      <c r="I23" s="2768"/>
      <c r="J23" s="2768"/>
      <c r="K23" s="2769"/>
      <c r="L23" s="2103"/>
      <c r="M23" s="2103"/>
      <c r="N23" s="2103"/>
    </row>
    <row r="24" spans="1:14" s="2101" customFormat="1" ht="13.5" customHeight="1">
      <c r="A24" s="2805" t="s">
        <v>1859</v>
      </c>
      <c r="B24" s="2986" t="s">
        <v>2834</v>
      </c>
      <c r="C24" s="2807">
        <f ca="1">ROUND(C6*F24,0)</f>
        <v>4747</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6"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7" t="s">
        <v>2833</v>
      </c>
      <c r="C26" s="2812">
        <f ca="1">C28</f>
        <v>3981</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3981</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8439</v>
      </c>
      <c r="D29" s="468"/>
      <c r="E29" s="468"/>
      <c r="F29" s="2988">
        <f>'数据-取费表'!B41</f>
        <v>5.6000000000000001E-2</v>
      </c>
      <c r="G29" s="2776" t="s">
        <v>498</v>
      </c>
      <c r="H29" s="2768"/>
      <c r="I29" s="2768"/>
      <c r="J29" s="2768"/>
      <c r="K29" s="2769"/>
    </row>
    <row r="30" spans="1:14" s="2106" customFormat="1" ht="13.5" customHeight="1">
      <c r="A30" s="1620" t="s">
        <v>1863</v>
      </c>
      <c r="B30" s="2817" t="s">
        <v>500</v>
      </c>
      <c r="C30" s="2812">
        <f ca="1">C31</f>
        <v>79080</v>
      </c>
      <c r="D30" s="477">
        <f ca="1">C32</f>
        <v>0.15559999999999999</v>
      </c>
      <c r="E30" s="469" t="s">
        <v>495</v>
      </c>
      <c r="F30" s="471"/>
      <c r="G30" s="2775" t="s">
        <v>2970</v>
      </c>
      <c r="H30" s="2768"/>
      <c r="I30" s="2768"/>
      <c r="J30" s="2768"/>
      <c r="K30" s="2769"/>
    </row>
    <row r="31" spans="1:14" s="2105" customFormat="1" ht="13.5" customHeight="1">
      <c r="A31" s="803" t="s">
        <v>1856</v>
      </c>
      <c r="B31" s="2813"/>
      <c r="C31" s="450">
        <f ca="1">C18+C19+C20+C23+C24+C26+C29</f>
        <v>79080</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5" t="s">
        <v>2830</v>
      </c>
      <c r="B33" s="2983" t="s">
        <v>2828</v>
      </c>
      <c r="C33" s="478">
        <f ca="1">C35</f>
        <v>10666</v>
      </c>
      <c r="D33" s="467">
        <f ca="1">C34</f>
        <v>0.1646</v>
      </c>
      <c r="E33" s="469" t="s">
        <v>495</v>
      </c>
      <c r="F33" s="479">
        <f ca="1">IF(B1="",'数据-取费表'!Q16,INDIRECT("'数据-取费表'!q"&amp;$K$1))</f>
        <v>0.16</v>
      </c>
      <c r="G33" s="2771"/>
      <c r="H33" s="2772"/>
      <c r="I33" s="2772"/>
      <c r="J33" s="2772"/>
      <c r="K33" s="2773"/>
    </row>
    <row r="34" spans="1:11" s="2108" customFormat="1" ht="13.5" customHeight="1">
      <c r="A34" s="375" t="s">
        <v>1856</v>
      </c>
      <c r="B34" s="2818" t="s">
        <v>501</v>
      </c>
      <c r="C34" s="472">
        <f ca="1">ROUND((1+C25)*F33,4)</f>
        <v>0.1646</v>
      </c>
      <c r="D34" s="472"/>
      <c r="E34" s="473"/>
      <c r="F34" s="480"/>
      <c r="G34" s="261" t="s">
        <v>2288</v>
      </c>
      <c r="H34" s="2770"/>
      <c r="I34" s="2770"/>
      <c r="J34" s="2770"/>
      <c r="K34" s="279"/>
    </row>
    <row r="35" spans="1:11" s="2108" customFormat="1" ht="13.5" customHeight="1" thickBot="1">
      <c r="A35" s="1621" t="s">
        <v>1857</v>
      </c>
      <c r="B35" s="2984" t="s">
        <v>2836</v>
      </c>
      <c r="C35" s="1613">
        <f ca="1">ROUND((C18+C19+C20+C23+C24)*F33,0)</f>
        <v>10666</v>
      </c>
      <c r="D35" s="1614"/>
      <c r="E35" s="2819"/>
      <c r="F35" s="1615"/>
      <c r="G35" s="2777"/>
      <c r="H35" s="2778"/>
      <c r="I35" s="2778"/>
      <c r="J35" s="2778"/>
      <c r="K35" s="2779"/>
    </row>
    <row r="36" spans="1:11" s="2070" customFormat="1" ht="13.5" customHeight="1" thickBot="1">
      <c r="A36" s="284" t="s">
        <v>1844</v>
      </c>
      <c r="B36" s="2781"/>
      <c r="C36" s="2820">
        <f ca="1">ROUND((C6-C30-C33)/(1+D30+D33),0)</f>
        <v>51879</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41" s="2026" customFormat="1" ht="20">
      <c r="A1" s="421" t="s">
        <v>466</v>
      </c>
      <c r="B1" s="2764"/>
      <c r="C1" s="2089"/>
      <c r="D1" s="2089"/>
      <c r="E1" s="2089"/>
      <c r="F1" s="2089"/>
      <c r="G1" s="2089"/>
      <c r="H1" s="2089"/>
      <c r="I1" s="2089"/>
      <c r="J1" s="2089"/>
      <c r="K1" s="422">
        <f>MATCH(B1,'数据-取费表'!A6:A16,0)+5</f>
        <v>13</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47689</v>
      </c>
      <c r="D13" s="451"/>
      <c r="E13" s="365"/>
      <c r="F13" s="452"/>
      <c r="G13" s="444"/>
      <c r="H13" s="447"/>
      <c r="I13" s="447"/>
      <c r="J13" s="447"/>
      <c r="K13" s="448"/>
    </row>
    <row r="14" spans="1:41" s="2101" customFormat="1" ht="13.5" customHeight="1">
      <c r="A14" s="1618" t="s">
        <v>1849</v>
      </c>
      <c r="B14" s="449" t="s">
        <v>480</v>
      </c>
      <c r="C14" s="53">
        <f ca="1">ROUND(C13*F14,0)</f>
        <v>2384</v>
      </c>
      <c r="D14" s="451"/>
      <c r="E14" s="365"/>
      <c r="F14" s="453">
        <f>'数据-取费表'!B33</f>
        <v>0.05</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3351</v>
      </c>
      <c r="D15" s="451"/>
      <c r="E15" s="365"/>
      <c r="F15" s="453">
        <f>'数据-取费表'!B34</f>
        <v>0.1</v>
      </c>
      <c r="G15" s="444" t="s">
        <v>502</v>
      </c>
      <c r="H15" s="447"/>
      <c r="I15" s="447"/>
      <c r="J15" s="447"/>
      <c r="K15" s="448"/>
    </row>
    <row r="16" spans="1:41" s="2102" customFormat="1" ht="13.5" customHeight="1">
      <c r="A16" s="1618" t="s">
        <v>1851</v>
      </c>
      <c r="B16" s="449" t="s">
        <v>484</v>
      </c>
      <c r="C16" s="53">
        <f ca="1">ROUND(D16*E16/10000,0)</f>
        <v>4743</v>
      </c>
      <c r="D16" s="451">
        <f ca="1">IF(B1="",'数据-汇总表'!E3,INDIRECT("'数据-取费表'!K"&amp;$K$1)+INDIRECT("'数据-取费表'!S"&amp;$K$1))</f>
        <v>237128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715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58882</v>
      </c>
      <c r="D18" s="461"/>
      <c r="E18" s="462"/>
      <c r="F18" s="462"/>
      <c r="G18" s="1323" t="s">
        <v>2430</v>
      </c>
      <c r="H18" s="447"/>
      <c r="I18" s="447"/>
      <c r="J18" s="447"/>
      <c r="K18" s="448"/>
    </row>
    <row r="19" spans="1:14" s="2104" customFormat="1" ht="13.5" customHeight="1">
      <c r="A19" s="1619" t="s">
        <v>1854</v>
      </c>
      <c r="B19" s="459" t="s">
        <v>493</v>
      </c>
      <c r="C19" s="460">
        <f ca="1">ROUND(C18*F19,0)</f>
        <v>1472</v>
      </c>
      <c r="D19" s="462"/>
      <c r="E19" s="462"/>
      <c r="F19" s="466">
        <f>'数据-取费表'!B37</f>
        <v>2.5000000000000001E-2</v>
      </c>
      <c r="G19" s="444" t="s">
        <v>503</v>
      </c>
      <c r="H19" s="447"/>
      <c r="I19" s="447"/>
      <c r="J19" s="447"/>
      <c r="K19" s="448"/>
      <c r="L19" s="2106"/>
      <c r="M19" s="2106"/>
      <c r="N19" s="2106"/>
    </row>
    <row r="20" spans="1:14" s="2104" customFormat="1" ht="13.5" customHeight="1">
      <c r="A20" s="1619" t="s">
        <v>1855</v>
      </c>
      <c r="B20" s="459" t="s">
        <v>504</v>
      </c>
      <c r="C20" s="2981">
        <f>F20</f>
        <v>0.03</v>
      </c>
      <c r="D20" s="469" t="s">
        <v>505</v>
      </c>
      <c r="E20" s="469"/>
      <c r="F20" s="486">
        <f>'数据-取费表'!B38</f>
        <v>0.03</v>
      </c>
      <c r="G20" s="1323" t="s">
        <v>506</v>
      </c>
      <c r="H20" s="447"/>
      <c r="I20" s="447"/>
      <c r="J20" s="447"/>
      <c r="K20" s="448"/>
      <c r="L20" s="2106"/>
      <c r="M20" s="2106"/>
      <c r="N20" s="2106"/>
    </row>
    <row r="21" spans="1:14" s="2106" customFormat="1" ht="13.5" customHeight="1">
      <c r="A21" s="1619" t="s">
        <v>1858</v>
      </c>
      <c r="B21" s="461" t="s">
        <v>494</v>
      </c>
      <c r="C21" s="470">
        <f ca="1">C22</f>
        <v>3605</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3605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2829</v>
      </c>
      <c r="C24" s="478">
        <f ca="1">C25</f>
        <v>9657</v>
      </c>
      <c r="D24" s="489">
        <f ca="1">C26</f>
        <v>4.7999999999999996E-3</v>
      </c>
      <c r="E24" s="469" t="s">
        <v>507</v>
      </c>
      <c r="F24" s="479">
        <f ca="1">IF(B1="",'数据-取费表'!Q16,INDIRECT("'数据-取费表'!q"&amp;$K$1))</f>
        <v>0.16</v>
      </c>
      <c r="G24" s="444"/>
      <c r="H24" s="447"/>
      <c r="I24" s="447"/>
      <c r="J24" s="447"/>
      <c r="K24" s="448"/>
    </row>
    <row r="25" spans="1:14" s="2105" customFormat="1" ht="13.5" customHeight="1">
      <c r="A25" s="1618" t="s">
        <v>1848</v>
      </c>
      <c r="B25" s="1324" t="s">
        <v>2434</v>
      </c>
      <c r="C25" s="490">
        <f ca="1">ROUND((C18+C19)*F24,0)</f>
        <v>9657</v>
      </c>
      <c r="D25" s="472"/>
      <c r="E25" s="473"/>
      <c r="F25" s="480"/>
      <c r="G25" s="1322" t="s">
        <v>2431</v>
      </c>
      <c r="H25" s="457"/>
      <c r="I25" s="457"/>
      <c r="J25" s="457"/>
      <c r="K25" s="458"/>
    </row>
    <row r="26" spans="1:14" s="2105" customFormat="1" ht="13.5" customHeight="1">
      <c r="A26" s="1618" t="s">
        <v>1849</v>
      </c>
      <c r="B26" s="1324" t="s">
        <v>509</v>
      </c>
      <c r="C26" s="491">
        <f ca="1">ROUND(F20*F24,4)</f>
        <v>4.7999999999999996E-3</v>
      </c>
      <c r="D26" s="472"/>
      <c r="E26" s="481"/>
      <c r="F26" s="480"/>
      <c r="G26" s="1322" t="s">
        <v>510</v>
      </c>
      <c r="H26" s="457"/>
      <c r="I26" s="457"/>
      <c r="J26" s="457"/>
      <c r="K26" s="458"/>
    </row>
    <row r="27" spans="1:14" s="2105" customFormat="1" ht="13.5" customHeight="1">
      <c r="A27" s="1622" t="s">
        <v>1867</v>
      </c>
      <c r="B27" s="459" t="s">
        <v>511</v>
      </c>
      <c r="C27" s="2982">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80888</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baseColWidth="10" defaultColWidth="9" defaultRowHeight="14"/>
  <cols>
    <col min="1" max="1" width="13.3320312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21" t="s">
        <v>522</v>
      </c>
      <c r="D6" s="3322"/>
      <c r="E6" s="3423" t="s">
        <v>523</v>
      </c>
      <c r="F6" s="3424"/>
      <c r="G6" s="3321" t="s">
        <v>524</v>
      </c>
      <c r="H6" s="3322"/>
      <c r="I6" s="3321" t="s">
        <v>525</v>
      </c>
      <c r="J6" s="3322"/>
      <c r="K6" s="514" t="s">
        <v>526</v>
      </c>
      <c r="L6" s="2118"/>
      <c r="M6" s="2119"/>
      <c r="N6" s="2119"/>
      <c r="O6" s="2119"/>
      <c r="P6" s="3323" t="s">
        <v>527</v>
      </c>
      <c r="Q6" s="3324"/>
      <c r="R6" s="3308" t="s">
        <v>523</v>
      </c>
      <c r="S6" s="3309"/>
      <c r="T6" s="3308" t="s">
        <v>524</v>
      </c>
      <c r="U6" s="3309"/>
      <c r="V6" s="3329" t="s">
        <v>525</v>
      </c>
      <c r="W6" s="3329"/>
      <c r="X6" s="1553"/>
      <c r="Y6" s="3308" t="s">
        <v>527</v>
      </c>
      <c r="Z6" s="3309"/>
      <c r="AA6" s="3303" t="s">
        <v>523</v>
      </c>
      <c r="AB6" s="3304" t="s">
        <v>524</v>
      </c>
      <c r="AC6" s="3303" t="s">
        <v>525</v>
      </c>
    </row>
    <row r="7" spans="1:29">
      <c r="A7" s="515"/>
      <c r="B7" s="516"/>
      <c r="C7" s="3332" t="s">
        <v>2928</v>
      </c>
      <c r="D7" s="3333"/>
      <c r="E7" s="3425" t="s">
        <v>2929</v>
      </c>
      <c r="F7" s="3426"/>
      <c r="G7" s="3332" t="s">
        <v>2930</v>
      </c>
      <c r="H7" s="3333"/>
      <c r="I7" s="3332" t="s">
        <v>2931</v>
      </c>
      <c r="J7" s="3333"/>
      <c r="K7" s="514"/>
      <c r="L7" s="2118"/>
      <c r="M7" s="2119"/>
      <c r="N7" s="2119"/>
      <c r="O7" s="2119"/>
      <c r="P7" s="3325"/>
      <c r="Q7" s="3326"/>
      <c r="R7" s="3310"/>
      <c r="S7" s="3311"/>
      <c r="T7" s="3310"/>
      <c r="U7" s="3311"/>
      <c r="V7" s="3329"/>
      <c r="W7" s="3329"/>
      <c r="X7" s="1553"/>
      <c r="Y7" s="3310"/>
      <c r="Z7" s="3311"/>
      <c r="AA7" s="3304"/>
      <c r="AB7" s="3304"/>
      <c r="AC7" s="3304"/>
    </row>
    <row r="8" spans="1:29" ht="16" thickBot="1">
      <c r="A8" s="517"/>
      <c r="B8" s="518"/>
      <c r="C8" s="3330" t="s">
        <v>2932</v>
      </c>
      <c r="D8" s="3331"/>
      <c r="E8" s="3427" t="s">
        <v>2932</v>
      </c>
      <c r="F8" s="3428"/>
      <c r="G8" s="3330" t="s">
        <v>2932</v>
      </c>
      <c r="H8" s="3331"/>
      <c r="I8" s="3330" t="s">
        <v>2932</v>
      </c>
      <c r="J8" s="3331"/>
      <c r="K8" s="514" t="s">
        <v>528</v>
      </c>
      <c r="L8" s="2118"/>
      <c r="M8" s="2119"/>
      <c r="N8" s="2119"/>
      <c r="O8" s="2119"/>
      <c r="P8" s="3327"/>
      <c r="Q8" s="3328"/>
      <c r="R8" s="3310"/>
      <c r="S8" s="3311"/>
      <c r="T8" s="3313"/>
      <c r="U8" s="3314"/>
      <c r="V8" s="3329"/>
      <c r="W8" s="3329"/>
      <c r="X8" s="1553"/>
      <c r="Y8" s="3313"/>
      <c r="Z8" s="3314"/>
      <c r="AA8" s="3305"/>
      <c r="AB8" s="3305"/>
      <c r="AC8" s="3305"/>
    </row>
    <row r="9" spans="1:29" s="1216" customFormat="1" ht="16" thickBot="1">
      <c r="A9" s="2867"/>
      <c r="B9" s="2874" t="s">
        <v>529</v>
      </c>
      <c r="C9" s="519">
        <f>'数据-取费表'!B2</f>
        <v>43875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06" t="s">
        <v>530</v>
      </c>
      <c r="Q9" s="3316"/>
      <c r="R9" s="1554" t="s">
        <v>8</v>
      </c>
      <c r="S9" s="1555">
        <f t="shared" ref="S9:S17" si="0">F9</f>
        <v>0</v>
      </c>
      <c r="T9" s="1554" t="s">
        <v>8</v>
      </c>
      <c r="U9" s="1555">
        <f t="shared" ref="U9:U17" si="1">H9</f>
        <v>0</v>
      </c>
      <c r="V9" s="1554" t="s">
        <v>8</v>
      </c>
      <c r="W9" s="1555">
        <f t="shared" ref="W9:W17" si="2">J9</f>
        <v>0</v>
      </c>
      <c r="X9" s="1556"/>
      <c r="Y9" s="3306" t="s">
        <v>530</v>
      </c>
      <c r="Z9" s="3307"/>
      <c r="AA9" s="1557" t="e">
        <f>D9/F9</f>
        <v>#DIV/0!</v>
      </c>
      <c r="AB9" s="1557" t="e">
        <f>D9/H9</f>
        <v>#DIV/0!</v>
      </c>
      <c r="AC9" s="1557" t="e">
        <f>D9/J9</f>
        <v>#DIV/0!</v>
      </c>
    </row>
    <row r="10" spans="1:29" s="1216" customFormat="1" ht="16"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06" t="s">
        <v>533</v>
      </c>
      <c r="Q10" s="3307"/>
      <c r="R10" s="1554" t="s">
        <v>8</v>
      </c>
      <c r="S10" s="1555">
        <f t="shared" si="0"/>
        <v>0</v>
      </c>
      <c r="T10" s="1554" t="s">
        <v>8</v>
      </c>
      <c r="U10" s="1555">
        <f t="shared" si="1"/>
        <v>0</v>
      </c>
      <c r="V10" s="1554" t="s">
        <v>8</v>
      </c>
      <c r="W10" s="1555">
        <f t="shared" si="2"/>
        <v>0</v>
      </c>
      <c r="X10" s="1556"/>
      <c r="Y10" s="3306" t="s">
        <v>533</v>
      </c>
      <c r="Z10" s="3307"/>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15" t="s">
        <v>535</v>
      </c>
      <c r="Q11" s="1147" t="str">
        <f t="shared" ref="Q11:Q17" si="6">B11</f>
        <v>用途</v>
      </c>
      <c r="R11" s="1554" t="s">
        <v>8</v>
      </c>
      <c r="S11" s="1555">
        <f t="shared" si="0"/>
        <v>100</v>
      </c>
      <c r="T11" s="1554" t="s">
        <v>8</v>
      </c>
      <c r="U11" s="1555">
        <f t="shared" si="1"/>
        <v>100</v>
      </c>
      <c r="V11" s="1554" t="s">
        <v>8</v>
      </c>
      <c r="W11" s="1555">
        <f t="shared" si="2"/>
        <v>100</v>
      </c>
      <c r="X11" s="1556"/>
      <c r="Y11" s="3312" t="s">
        <v>536</v>
      </c>
      <c r="Z11" s="1146" t="str">
        <f t="shared" ref="Z11:Z17" si="7">Q11</f>
        <v>用途</v>
      </c>
      <c r="AA11" s="1557">
        <f t="shared" si="3"/>
        <v>1</v>
      </c>
      <c r="AB11" s="1557">
        <f t="shared" si="4"/>
        <v>1</v>
      </c>
      <c r="AC11" s="1557">
        <f t="shared" si="5"/>
        <v>1</v>
      </c>
    </row>
    <row r="12" spans="1:29" s="1334" customFormat="1" ht="30">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15"/>
      <c r="Q12" s="1147" t="str">
        <f t="shared" si="6"/>
        <v>土地使用年限（年）</v>
      </c>
      <c r="R12" s="1554" t="s">
        <v>8</v>
      </c>
      <c r="S12" s="1555">
        <f t="shared" si="0"/>
        <v>100</v>
      </c>
      <c r="T12" s="1554" t="s">
        <v>8</v>
      </c>
      <c r="U12" s="1555">
        <f t="shared" si="1"/>
        <v>100</v>
      </c>
      <c r="V12" s="1554" t="s">
        <v>8</v>
      </c>
      <c r="W12" s="1555">
        <f t="shared" si="2"/>
        <v>100</v>
      </c>
      <c r="X12" s="1556"/>
      <c r="Y12" s="3312"/>
      <c r="Z12" s="1146" t="str">
        <f t="shared" si="7"/>
        <v>土地使用年限（年）</v>
      </c>
      <c r="AA12" s="1557">
        <f t="shared" si="3"/>
        <v>1</v>
      </c>
      <c r="AB12" s="1557">
        <f t="shared" si="4"/>
        <v>1</v>
      </c>
      <c r="AC12" s="1557">
        <f t="shared" si="5"/>
        <v>1</v>
      </c>
    </row>
    <row r="13" spans="1:29" ht="16">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15"/>
      <c r="Q13" s="1147" t="str">
        <f t="shared" si="6"/>
        <v>容积率</v>
      </c>
      <c r="R13" s="1554" t="s">
        <v>8</v>
      </c>
      <c r="S13" s="1555" t="e">
        <f t="shared" si="0"/>
        <v>#N/A</v>
      </c>
      <c r="T13" s="1554" t="s">
        <v>8</v>
      </c>
      <c r="U13" s="1555" t="e">
        <f t="shared" si="1"/>
        <v>#N/A</v>
      </c>
      <c r="V13" s="1554" t="s">
        <v>8</v>
      </c>
      <c r="W13" s="1555" t="e">
        <f t="shared" si="2"/>
        <v>#N/A</v>
      </c>
      <c r="X13" s="1556"/>
      <c r="Y13" s="3312"/>
      <c r="Z13" s="1146" t="str">
        <f t="shared" si="7"/>
        <v>容积率</v>
      </c>
      <c r="AA13" s="1557" t="e">
        <f t="shared" si="3"/>
        <v>#N/A</v>
      </c>
      <c r="AB13" s="1557" t="e">
        <f t="shared" si="4"/>
        <v>#N/A</v>
      </c>
      <c r="AC13" s="1557" t="e">
        <f t="shared" si="5"/>
        <v>#N/A</v>
      </c>
    </row>
    <row r="14" spans="1:29" s="1216" customFormat="1" ht="16">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15"/>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D14/F14</f>
        <v>1</v>
      </c>
      <c r="AB14" s="1557">
        <f>D14/H14</f>
        <v>1</v>
      </c>
      <c r="AC14" s="1557">
        <f>D14/J14</f>
        <v>1</v>
      </c>
    </row>
    <row r="15" spans="1:29" ht="16">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15"/>
      <c r="Q15" s="1147">
        <f t="shared" si="6"/>
        <v>111</v>
      </c>
      <c r="R15" s="1554" t="s">
        <v>8</v>
      </c>
      <c r="S15" s="1555">
        <f t="shared" si="0"/>
        <v>100</v>
      </c>
      <c r="T15" s="1554" t="s">
        <v>8</v>
      </c>
      <c r="U15" s="1555">
        <f t="shared" si="1"/>
        <v>100</v>
      </c>
      <c r="V15" s="1554" t="s">
        <v>8</v>
      </c>
      <c r="W15" s="1555">
        <f t="shared" si="2"/>
        <v>100</v>
      </c>
      <c r="X15" s="1556"/>
      <c r="Y15" s="3312"/>
      <c r="Z15" s="1146">
        <f t="shared" si="7"/>
        <v>111</v>
      </c>
      <c r="AA15" s="1557">
        <f t="shared" si="3"/>
        <v>1</v>
      </c>
      <c r="AB15" s="1557">
        <f t="shared" si="4"/>
        <v>1</v>
      </c>
      <c r="AC15" s="1557">
        <f t="shared" si="5"/>
        <v>1</v>
      </c>
    </row>
    <row r="16" spans="1:29" ht="17"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15"/>
      <c r="Q16" s="1147">
        <f t="shared" si="6"/>
        <v>111</v>
      </c>
      <c r="R16" s="1554" t="s">
        <v>8</v>
      </c>
      <c r="S16" s="1555">
        <f t="shared" si="0"/>
        <v>100</v>
      </c>
      <c r="T16" s="1554" t="s">
        <v>8</v>
      </c>
      <c r="U16" s="1555">
        <f t="shared" si="1"/>
        <v>100</v>
      </c>
      <c r="V16" s="1554" t="s">
        <v>8</v>
      </c>
      <c r="W16" s="1555">
        <f t="shared" si="2"/>
        <v>100</v>
      </c>
      <c r="X16" s="1556"/>
      <c r="Y16" s="3312"/>
      <c r="Z16" s="1146">
        <f t="shared" si="7"/>
        <v>111</v>
      </c>
      <c r="AA16" s="1557">
        <f t="shared" si="3"/>
        <v>1</v>
      </c>
      <c r="AB16" s="1557">
        <f t="shared" si="4"/>
        <v>1</v>
      </c>
      <c r="AC16" s="1557">
        <f t="shared" si="5"/>
        <v>1</v>
      </c>
    </row>
    <row r="17" spans="1:29" ht="60">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17" t="s">
        <v>540</v>
      </c>
      <c r="Q17" s="1558" t="str">
        <f t="shared" si="6"/>
        <v>产业集聚程度</v>
      </c>
      <c r="R17" s="1559" t="s">
        <v>8</v>
      </c>
      <c r="S17" s="1560">
        <f t="shared" si="0"/>
        <v>100</v>
      </c>
      <c r="T17" s="1559" t="s">
        <v>8</v>
      </c>
      <c r="U17" s="1560">
        <f t="shared" si="1"/>
        <v>100</v>
      </c>
      <c r="V17" s="1559" t="s">
        <v>8</v>
      </c>
      <c r="W17" s="1560">
        <f t="shared" si="2"/>
        <v>100</v>
      </c>
      <c r="X17" s="1553"/>
      <c r="Y17" s="3317" t="s">
        <v>540</v>
      </c>
      <c r="Z17" s="1561" t="str">
        <f t="shared" si="7"/>
        <v>产业集聚程度</v>
      </c>
      <c r="AA17" s="1562">
        <f t="shared" si="3"/>
        <v>1</v>
      </c>
      <c r="AB17" s="1562">
        <f t="shared" si="4"/>
        <v>1</v>
      </c>
      <c r="AC17" s="1562">
        <f t="shared" si="5"/>
        <v>1</v>
      </c>
    </row>
    <row r="18" spans="1:29" ht="16">
      <c r="A18" s="532"/>
      <c r="B18" s="869"/>
      <c r="C18" s="576"/>
      <c r="D18" s="555"/>
      <c r="E18" s="554"/>
      <c r="F18" s="555"/>
      <c r="G18" s="554"/>
      <c r="H18" s="559"/>
      <c r="I18" s="554"/>
      <c r="J18" s="555"/>
      <c r="K18" s="531"/>
      <c r="L18" s="2127"/>
      <c r="M18" s="2119"/>
      <c r="N18" s="2119"/>
      <c r="O18" s="2126"/>
      <c r="P18" s="3318"/>
      <c r="Q18" s="1558"/>
      <c r="R18" s="1559"/>
      <c r="S18" s="1560"/>
      <c r="T18" s="1559"/>
      <c r="U18" s="1560"/>
      <c r="V18" s="1559"/>
      <c r="W18" s="1560"/>
      <c r="X18" s="1553"/>
      <c r="Y18" s="3318"/>
      <c r="Z18" s="1561"/>
      <c r="AA18" s="1562">
        <v>1</v>
      </c>
      <c r="AB18" s="1562">
        <v>1</v>
      </c>
      <c r="AC18" s="1562">
        <v>1</v>
      </c>
    </row>
    <row r="19" spans="1:29" ht="90">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18"/>
      <c r="Q19" s="1558" t="str">
        <f>B19</f>
        <v>交通便捷度</v>
      </c>
      <c r="R19" s="1559" t="s">
        <v>8</v>
      </c>
      <c r="S19" s="1560">
        <f>F19</f>
        <v>100</v>
      </c>
      <c r="T19" s="1559" t="s">
        <v>8</v>
      </c>
      <c r="U19" s="1560">
        <f>H19</f>
        <v>100</v>
      </c>
      <c r="V19" s="1559" t="s">
        <v>8</v>
      </c>
      <c r="W19" s="1560">
        <f>J19</f>
        <v>100</v>
      </c>
      <c r="X19" s="1553"/>
      <c r="Y19" s="3318"/>
      <c r="Z19" s="1561" t="str">
        <f>Q19</f>
        <v>交通便捷度</v>
      </c>
      <c r="AA19" s="1562">
        <f t="shared" si="3"/>
        <v>1</v>
      </c>
      <c r="AB19" s="1562">
        <f t="shared" si="4"/>
        <v>1</v>
      </c>
      <c r="AC19" s="1562">
        <f t="shared" si="5"/>
        <v>1</v>
      </c>
    </row>
    <row r="20" spans="1:29" ht="16">
      <c r="A20" s="532"/>
      <c r="B20" s="922"/>
      <c r="C20" s="576"/>
      <c r="D20" s="555"/>
      <c r="E20" s="556"/>
      <c r="F20" s="555"/>
      <c r="G20" s="556"/>
      <c r="H20" s="555"/>
      <c r="I20" s="558"/>
      <c r="J20" s="555"/>
      <c r="K20" s="531"/>
      <c r="L20" s="2127"/>
      <c r="M20" s="2119"/>
      <c r="N20" s="2119"/>
      <c r="O20" s="2126"/>
      <c r="P20" s="3318"/>
      <c r="Q20" s="1558"/>
      <c r="R20" s="1559"/>
      <c r="S20" s="1560"/>
      <c r="T20" s="1559"/>
      <c r="U20" s="1560"/>
      <c r="V20" s="1559"/>
      <c r="W20" s="1560"/>
      <c r="X20" s="1553"/>
      <c r="Y20" s="3318"/>
      <c r="Z20" s="1561"/>
      <c r="AA20" s="1562">
        <v>1</v>
      </c>
      <c r="AB20" s="1562">
        <v>1</v>
      </c>
      <c r="AC20" s="1562">
        <v>1</v>
      </c>
    </row>
    <row r="21" spans="1:29" ht="16">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18"/>
      <c r="Q21" s="1558" t="str">
        <f t="shared" ref="Q21:Q35" si="8">B21</f>
        <v>区域土地利用方向</v>
      </c>
      <c r="R21" s="1559" t="s">
        <v>8</v>
      </c>
      <c r="S21" s="1560">
        <f>F21</f>
        <v>100</v>
      </c>
      <c r="T21" s="1559" t="s">
        <v>8</v>
      </c>
      <c r="U21" s="1560">
        <f>H21</f>
        <v>100</v>
      </c>
      <c r="V21" s="1559" t="s">
        <v>8</v>
      </c>
      <c r="W21" s="1560">
        <f>J21</f>
        <v>100</v>
      </c>
      <c r="X21" s="1553"/>
      <c r="Y21" s="3318"/>
      <c r="Z21" s="1561" t="str">
        <f>Q21</f>
        <v>区域土地利用方向</v>
      </c>
      <c r="AA21" s="1562">
        <f t="shared" si="3"/>
        <v>1</v>
      </c>
      <c r="AB21" s="1562">
        <f t="shared" si="4"/>
        <v>1</v>
      </c>
      <c r="AC21" s="1562">
        <f t="shared" si="5"/>
        <v>1</v>
      </c>
    </row>
    <row r="22" spans="1:29" ht="16">
      <c r="A22" s="515"/>
      <c r="B22" s="595"/>
      <c r="C22" s="576"/>
      <c r="D22" s="555"/>
      <c r="E22" s="556"/>
      <c r="F22" s="557"/>
      <c r="G22" s="558"/>
      <c r="H22" s="557"/>
      <c r="I22" s="558"/>
      <c r="J22" s="557"/>
      <c r="K22" s="1344"/>
      <c r="L22" s="2127"/>
      <c r="M22" s="2119"/>
      <c r="N22" s="2119"/>
      <c r="O22" s="2126"/>
      <c r="P22" s="3318"/>
      <c r="Q22" s="1558"/>
      <c r="R22" s="1559"/>
      <c r="S22" s="1560"/>
      <c r="T22" s="1559"/>
      <c r="U22" s="1560"/>
      <c r="V22" s="1559"/>
      <c r="W22" s="1560"/>
      <c r="X22" s="1553"/>
      <c r="Y22" s="3318"/>
      <c r="Z22" s="1561"/>
      <c r="AA22" s="1562"/>
      <c r="AB22" s="1562"/>
      <c r="AC22" s="1562"/>
    </row>
    <row r="23" spans="1:29" ht="7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18"/>
      <c r="Q23" s="1558" t="str">
        <f t="shared" si="8"/>
        <v>环境状况</v>
      </c>
      <c r="R23" s="1559" t="s">
        <v>8</v>
      </c>
      <c r="S23" s="1560">
        <f>F23</f>
        <v>100</v>
      </c>
      <c r="T23" s="1559" t="s">
        <v>8</v>
      </c>
      <c r="U23" s="1560">
        <f>H23</f>
        <v>100</v>
      </c>
      <c r="V23" s="1559" t="s">
        <v>8</v>
      </c>
      <c r="W23" s="1560">
        <f>J23</f>
        <v>100</v>
      </c>
      <c r="X23" s="1553"/>
      <c r="Y23" s="3318"/>
      <c r="Z23" s="1561" t="str">
        <f>Q23</f>
        <v>环境状况</v>
      </c>
      <c r="AA23" s="1562">
        <f t="shared" si="3"/>
        <v>1</v>
      </c>
      <c r="AB23" s="1562">
        <f t="shared" si="4"/>
        <v>1</v>
      </c>
      <c r="AC23" s="1562">
        <f t="shared" si="5"/>
        <v>1</v>
      </c>
    </row>
    <row r="24" spans="1:29" ht="16">
      <c r="A24" s="515"/>
      <c r="B24" s="595"/>
      <c r="C24" s="576"/>
      <c r="D24" s="555"/>
      <c r="E24" s="554"/>
      <c r="F24" s="555"/>
      <c r="G24" s="554"/>
      <c r="H24" s="555"/>
      <c r="I24" s="576"/>
      <c r="J24" s="555"/>
      <c r="K24" s="531"/>
      <c r="L24" s="2127"/>
      <c r="M24" s="2119"/>
      <c r="N24" s="2119"/>
      <c r="O24" s="2126"/>
      <c r="P24" s="3318"/>
      <c r="Q24" s="1558"/>
      <c r="R24" s="1559"/>
      <c r="S24" s="1560"/>
      <c r="T24" s="1559"/>
      <c r="U24" s="1560"/>
      <c r="V24" s="1559"/>
      <c r="W24" s="1560"/>
      <c r="X24" s="1553"/>
      <c r="Y24" s="3318"/>
      <c r="Z24" s="1561"/>
      <c r="AA24" s="1562">
        <v>1</v>
      </c>
      <c r="AB24" s="1562">
        <v>1</v>
      </c>
      <c r="AC24" s="1562">
        <v>1</v>
      </c>
    </row>
    <row r="25" spans="1:29" s="1216" customFormat="1" ht="4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18"/>
      <c r="Q25" s="1147" t="str">
        <f t="shared" si="8"/>
        <v>公共配套设施</v>
      </c>
      <c r="R25" s="1554" t="s">
        <v>8</v>
      </c>
      <c r="S25" s="1555">
        <f>F25</f>
        <v>100</v>
      </c>
      <c r="T25" s="1554" t="s">
        <v>8</v>
      </c>
      <c r="U25" s="1555">
        <f>H25</f>
        <v>100</v>
      </c>
      <c r="V25" s="1554" t="s">
        <v>8</v>
      </c>
      <c r="W25" s="1555">
        <f>J25</f>
        <v>100</v>
      </c>
      <c r="X25" s="1556"/>
      <c r="Y25" s="3318"/>
      <c r="Z25" s="1146" t="str">
        <f>Q25</f>
        <v>公共配套设施</v>
      </c>
      <c r="AA25" s="1562">
        <f>D25/F25</f>
        <v>1</v>
      </c>
      <c r="AB25" s="1562">
        <f>D25/H25</f>
        <v>1</v>
      </c>
      <c r="AC25" s="1562">
        <f>D25/J25</f>
        <v>1</v>
      </c>
    </row>
    <row r="26" spans="1:29" s="1216" customFormat="1" ht="16">
      <c r="A26" s="577"/>
      <c r="B26" s="595"/>
      <c r="C26" s="2556"/>
      <c r="D26" s="555"/>
      <c r="E26" s="554"/>
      <c r="F26" s="555"/>
      <c r="G26" s="554"/>
      <c r="H26" s="555"/>
      <c r="I26" s="576"/>
      <c r="J26" s="555"/>
      <c r="K26" s="531"/>
      <c r="L26" s="2120"/>
      <c r="M26" s="2121"/>
      <c r="N26" s="2121"/>
      <c r="O26" s="2122"/>
      <c r="P26" s="3318"/>
      <c r="Q26" s="1147"/>
      <c r="R26" s="1554"/>
      <c r="S26" s="1555"/>
      <c r="T26" s="1554"/>
      <c r="U26" s="1555"/>
      <c r="V26" s="1554"/>
      <c r="W26" s="1555"/>
      <c r="X26" s="1556"/>
      <c r="Y26" s="3318"/>
      <c r="Z26" s="1146"/>
      <c r="AA26" s="1557">
        <v>1</v>
      </c>
      <c r="AB26" s="1557">
        <v>1</v>
      </c>
      <c r="AC26" s="1557">
        <v>1</v>
      </c>
    </row>
    <row r="27" spans="1:29" s="1216" customFormat="1" ht="30">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18"/>
      <c r="Q27" s="2542" t="str">
        <f t="shared" ref="Q27" si="9">B27</f>
        <v>基础设施水平</v>
      </c>
      <c r="R27" s="1554" t="s">
        <v>8</v>
      </c>
      <c r="S27" s="1555">
        <f>F27</f>
        <v>100</v>
      </c>
      <c r="T27" s="1554" t="s">
        <v>8</v>
      </c>
      <c r="U27" s="1555">
        <f>H27</f>
        <v>100</v>
      </c>
      <c r="V27" s="1554" t="s">
        <v>8</v>
      </c>
      <c r="W27" s="1555">
        <f>J27</f>
        <v>100</v>
      </c>
      <c r="X27" s="1556"/>
      <c r="Y27" s="3318"/>
      <c r="Z27" s="2539" t="str">
        <f>Q27</f>
        <v>基础设施水平</v>
      </c>
      <c r="AA27" s="1562">
        <f>D27/F27</f>
        <v>1</v>
      </c>
      <c r="AB27" s="1562">
        <f>D27/H27</f>
        <v>1</v>
      </c>
      <c r="AC27" s="1562">
        <f>D27/J27</f>
        <v>1</v>
      </c>
    </row>
    <row r="28" spans="1:29" s="1216" customFormat="1" ht="16">
      <c r="A28" s="577"/>
      <c r="B28" s="595"/>
      <c r="C28" s="2556"/>
      <c r="D28" s="555"/>
      <c r="E28" s="579"/>
      <c r="F28" s="555"/>
      <c r="G28" s="579"/>
      <c r="H28" s="555"/>
      <c r="I28" s="579"/>
      <c r="J28" s="555"/>
      <c r="K28" s="531"/>
      <c r="L28" s="2120"/>
      <c r="M28" s="2121"/>
      <c r="N28" s="2121"/>
      <c r="O28" s="2122"/>
      <c r="P28" s="3318"/>
      <c r="Q28" s="2542"/>
      <c r="R28" s="1554"/>
      <c r="S28" s="1555"/>
      <c r="T28" s="1554"/>
      <c r="U28" s="1555"/>
      <c r="V28" s="1554"/>
      <c r="W28" s="1555"/>
      <c r="X28" s="1556"/>
      <c r="Y28" s="3318"/>
      <c r="Z28" s="2539"/>
      <c r="AA28" s="1557">
        <v>1</v>
      </c>
      <c r="AB28" s="1557">
        <v>1</v>
      </c>
      <c r="AC28" s="1557">
        <v>1</v>
      </c>
    </row>
    <row r="29" spans="1:29" ht="16">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1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18"/>
      <c r="Z29" s="1561" t="str">
        <f t="shared" ref="Z29:Z42" si="13">Q29</f>
        <v>临街状况</v>
      </c>
      <c r="AA29" s="1562">
        <f t="shared" si="3"/>
        <v>1</v>
      </c>
      <c r="AB29" s="1562">
        <f t="shared" si="4"/>
        <v>1</v>
      </c>
      <c r="AC29" s="1562">
        <f t="shared" si="5"/>
        <v>1</v>
      </c>
    </row>
    <row r="30" spans="1:29" ht="30">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18"/>
      <c r="Q30" s="1558" t="str">
        <f t="shared" si="8"/>
        <v>毗邻道路的类型与等级</v>
      </c>
      <c r="R30" s="1559" t="s">
        <v>8</v>
      </c>
      <c r="S30" s="1560">
        <f t="shared" si="10"/>
        <v>100</v>
      </c>
      <c r="T30" s="1559" t="s">
        <v>8</v>
      </c>
      <c r="U30" s="1560">
        <f t="shared" si="11"/>
        <v>100</v>
      </c>
      <c r="V30" s="1559" t="s">
        <v>8</v>
      </c>
      <c r="W30" s="1560">
        <f t="shared" si="12"/>
        <v>100</v>
      </c>
      <c r="X30" s="1553"/>
      <c r="Y30" s="3318"/>
      <c r="Z30" s="1561" t="str">
        <f t="shared" si="13"/>
        <v>毗邻道路的类型与等级</v>
      </c>
      <c r="AA30" s="1562">
        <f t="shared" si="3"/>
        <v>1</v>
      </c>
      <c r="AB30" s="1562">
        <f t="shared" si="4"/>
        <v>1</v>
      </c>
      <c r="AC30" s="1562">
        <f t="shared" si="5"/>
        <v>1</v>
      </c>
    </row>
    <row r="31" spans="1:29" ht="16">
      <c r="A31" s="532"/>
      <c r="B31" s="595"/>
      <c r="C31" s="576"/>
      <c r="D31" s="555"/>
      <c r="E31" s="576"/>
      <c r="F31" s="555"/>
      <c r="G31" s="576"/>
      <c r="H31" s="555"/>
      <c r="I31" s="576"/>
      <c r="J31" s="555"/>
      <c r="K31" s="581"/>
      <c r="L31" s="2127"/>
      <c r="M31" s="2119"/>
      <c r="N31" s="2119"/>
      <c r="O31" s="2126"/>
      <c r="P31" s="3318"/>
      <c r="Q31" s="1558"/>
      <c r="R31" s="1559"/>
      <c r="S31" s="1560"/>
      <c r="T31" s="1559"/>
      <c r="U31" s="1560"/>
      <c r="V31" s="1559"/>
      <c r="W31" s="1560"/>
      <c r="X31" s="1553"/>
      <c r="Y31" s="3318"/>
      <c r="Z31" s="1561"/>
      <c r="AA31" s="1562">
        <v>1</v>
      </c>
      <c r="AB31" s="1562">
        <v>1</v>
      </c>
      <c r="AC31" s="1562">
        <v>1</v>
      </c>
    </row>
    <row r="32" spans="1:29" ht="16">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18"/>
      <c r="Q32" s="1558" t="str">
        <f t="shared" si="8"/>
        <v>土地级别</v>
      </c>
      <c r="R32" s="1559" t="s">
        <v>8</v>
      </c>
      <c r="S32" s="1560">
        <f t="shared" si="10"/>
        <v>100</v>
      </c>
      <c r="T32" s="1559" t="s">
        <v>8</v>
      </c>
      <c r="U32" s="1560">
        <f t="shared" si="11"/>
        <v>100</v>
      </c>
      <c r="V32" s="1559" t="s">
        <v>8</v>
      </c>
      <c r="W32" s="1560">
        <f t="shared" si="12"/>
        <v>100</v>
      </c>
      <c r="X32" s="1553"/>
      <c r="Y32" s="3318"/>
      <c r="Z32" s="1561" t="str">
        <f t="shared" si="13"/>
        <v>土地级别</v>
      </c>
      <c r="AA32" s="1562">
        <f t="shared" si="3"/>
        <v>1</v>
      </c>
      <c r="AB32" s="1562">
        <f t="shared" si="4"/>
        <v>1</v>
      </c>
      <c r="AC32" s="1562">
        <f t="shared" si="5"/>
        <v>1</v>
      </c>
    </row>
    <row r="33" spans="1:29" ht="16">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18"/>
      <c r="Q33" s="1558">
        <f t="shared" si="8"/>
        <v>111</v>
      </c>
      <c r="R33" s="1559" t="s">
        <v>8</v>
      </c>
      <c r="S33" s="1560">
        <f t="shared" si="10"/>
        <v>100</v>
      </c>
      <c r="T33" s="1559" t="s">
        <v>8</v>
      </c>
      <c r="U33" s="1560">
        <f t="shared" si="11"/>
        <v>100</v>
      </c>
      <c r="V33" s="1559" t="s">
        <v>8</v>
      </c>
      <c r="W33" s="1560">
        <f t="shared" si="12"/>
        <v>100</v>
      </c>
      <c r="X33" s="1553"/>
      <c r="Y33" s="3318"/>
      <c r="Z33" s="1561">
        <f t="shared" si="13"/>
        <v>111</v>
      </c>
      <c r="AA33" s="1562">
        <f t="shared" si="3"/>
        <v>1</v>
      </c>
      <c r="AB33" s="1562">
        <f t="shared" si="4"/>
        <v>1</v>
      </c>
      <c r="AC33" s="1562">
        <f t="shared" si="5"/>
        <v>1</v>
      </c>
    </row>
    <row r="34" spans="1:29" ht="16">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19" t="s">
        <v>550</v>
      </c>
      <c r="Q34" s="1558">
        <f t="shared" si="8"/>
        <v>111</v>
      </c>
      <c r="R34" s="1559" t="s">
        <v>8</v>
      </c>
      <c r="S34" s="1560">
        <f t="shared" si="10"/>
        <v>100</v>
      </c>
      <c r="T34" s="1559" t="s">
        <v>8</v>
      </c>
      <c r="U34" s="1560">
        <f t="shared" si="11"/>
        <v>100</v>
      </c>
      <c r="V34" s="1559" t="s">
        <v>8</v>
      </c>
      <c r="W34" s="1560">
        <f t="shared" si="12"/>
        <v>100</v>
      </c>
      <c r="X34" s="1553"/>
      <c r="Y34" s="3320" t="s">
        <v>550</v>
      </c>
      <c r="Z34" s="1561">
        <f t="shared" si="13"/>
        <v>111</v>
      </c>
      <c r="AA34" s="1562">
        <f t="shared" si="3"/>
        <v>1</v>
      </c>
      <c r="AB34" s="1562">
        <f t="shared" si="4"/>
        <v>1</v>
      </c>
      <c r="AC34" s="1562">
        <f t="shared" si="5"/>
        <v>1</v>
      </c>
    </row>
    <row r="35" spans="1:29" s="1335" customFormat="1" ht="17"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20"/>
      <c r="Q35" s="1558">
        <f t="shared" si="8"/>
        <v>111</v>
      </c>
      <c r="R35" s="1563" t="s">
        <v>8</v>
      </c>
      <c r="S35" s="1564">
        <f t="shared" si="10"/>
        <v>100</v>
      </c>
      <c r="T35" s="1563" t="s">
        <v>8</v>
      </c>
      <c r="U35" s="1564">
        <f t="shared" si="11"/>
        <v>100</v>
      </c>
      <c r="V35" s="1563" t="s">
        <v>8</v>
      </c>
      <c r="W35" s="1564">
        <f t="shared" si="12"/>
        <v>100</v>
      </c>
      <c r="X35" s="1565"/>
      <c r="Y35" s="3320"/>
      <c r="Z35" s="1566">
        <f t="shared" si="13"/>
        <v>111</v>
      </c>
      <c r="AA35" s="1562">
        <f t="shared" si="3"/>
        <v>1</v>
      </c>
      <c r="AB35" s="1562">
        <f t="shared" si="4"/>
        <v>1</v>
      </c>
      <c r="AC35" s="1562">
        <f t="shared" si="5"/>
        <v>1</v>
      </c>
    </row>
    <row r="36" spans="1:29" ht="16">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20"/>
      <c r="Q36" s="1558" t="str">
        <f>B36</f>
        <v>宗地面积</v>
      </c>
      <c r="R36" s="1559" t="s">
        <v>8</v>
      </c>
      <c r="S36" s="1560" t="e">
        <f t="shared" si="10"/>
        <v>#N/A</v>
      </c>
      <c r="T36" s="1559" t="s">
        <v>8</v>
      </c>
      <c r="U36" s="1560" t="e">
        <f t="shared" si="11"/>
        <v>#N/A</v>
      </c>
      <c r="V36" s="1559" t="s">
        <v>8</v>
      </c>
      <c r="W36" s="1560" t="e">
        <f t="shared" si="12"/>
        <v>#N/A</v>
      </c>
      <c r="X36" s="1553"/>
      <c r="Y36" s="3320"/>
      <c r="Z36" s="1561" t="str">
        <f t="shared" si="13"/>
        <v>宗地面积</v>
      </c>
      <c r="AA36" s="1562" t="e">
        <f t="shared" si="3"/>
        <v>#N/A</v>
      </c>
      <c r="AB36" s="1562" t="e">
        <f t="shared" si="4"/>
        <v>#N/A</v>
      </c>
      <c r="AC36" s="1562" t="e">
        <f t="shared" si="5"/>
        <v>#N/A</v>
      </c>
    </row>
    <row r="37" spans="1:29" ht="16">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20"/>
      <c r="Q37" s="1558" t="str">
        <f t="shared" ref="Q37:Q42" si="14">B37</f>
        <v>宗地形状</v>
      </c>
      <c r="R37" s="1559" t="s">
        <v>8</v>
      </c>
      <c r="S37" s="1560">
        <f t="shared" si="10"/>
        <v>100</v>
      </c>
      <c r="T37" s="1559" t="s">
        <v>8</v>
      </c>
      <c r="U37" s="1560">
        <f t="shared" si="11"/>
        <v>100</v>
      </c>
      <c r="V37" s="1559" t="s">
        <v>8</v>
      </c>
      <c r="W37" s="1560">
        <f t="shared" si="12"/>
        <v>100</v>
      </c>
      <c r="X37" s="1553"/>
      <c r="Y37" s="3320"/>
      <c r="Z37" s="1561" t="str">
        <f t="shared" si="13"/>
        <v>宗地形状</v>
      </c>
      <c r="AA37" s="1562">
        <f t="shared" si="3"/>
        <v>1</v>
      </c>
      <c r="AB37" s="1562">
        <f t="shared" si="4"/>
        <v>1</v>
      </c>
      <c r="AC37" s="1562">
        <f t="shared" si="5"/>
        <v>1</v>
      </c>
    </row>
    <row r="38" spans="1:29" s="1216" customFormat="1" ht="16">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20"/>
      <c r="Q38" s="1558" t="str">
        <f t="shared" si="14"/>
        <v>宗地开发程度</v>
      </c>
      <c r="R38" s="1554" t="s">
        <v>8</v>
      </c>
      <c r="S38" s="1555">
        <f t="shared" si="10"/>
        <v>100</v>
      </c>
      <c r="T38" s="1554" t="s">
        <v>8</v>
      </c>
      <c r="U38" s="1555">
        <f t="shared" si="11"/>
        <v>100</v>
      </c>
      <c r="V38" s="1554" t="s">
        <v>8</v>
      </c>
      <c r="W38" s="1555">
        <f t="shared" si="12"/>
        <v>100</v>
      </c>
      <c r="X38" s="1556"/>
      <c r="Y38" s="3320"/>
      <c r="Z38" s="1146" t="str">
        <f t="shared" si="13"/>
        <v>宗地开发程度</v>
      </c>
      <c r="AA38" s="1557">
        <f t="shared" si="3"/>
        <v>1</v>
      </c>
      <c r="AB38" s="1557">
        <f t="shared" si="4"/>
        <v>1</v>
      </c>
      <c r="AC38" s="1557">
        <f t="shared" si="5"/>
        <v>1</v>
      </c>
    </row>
    <row r="39" spans="1:29" ht="16">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20" t="s">
        <v>601</v>
      </c>
      <c r="Q39" s="1558" t="str">
        <f t="shared" si="14"/>
        <v>工程地质条件</v>
      </c>
      <c r="R39" s="1559" t="s">
        <v>8</v>
      </c>
      <c r="S39" s="1560">
        <f t="shared" si="10"/>
        <v>100</v>
      </c>
      <c r="T39" s="1559" t="s">
        <v>8</v>
      </c>
      <c r="U39" s="1560">
        <f t="shared" si="11"/>
        <v>100</v>
      </c>
      <c r="V39" s="1559" t="s">
        <v>8</v>
      </c>
      <c r="W39" s="1560">
        <f t="shared" si="12"/>
        <v>100</v>
      </c>
      <c r="X39" s="1553"/>
      <c r="Y39" s="3320" t="s">
        <v>601</v>
      </c>
      <c r="Z39" s="1561" t="str">
        <f t="shared" si="13"/>
        <v>工程地质条件</v>
      </c>
      <c r="AA39" s="1562">
        <f t="shared" si="3"/>
        <v>1</v>
      </c>
      <c r="AB39" s="1562">
        <f t="shared" si="4"/>
        <v>1</v>
      </c>
      <c r="AC39" s="1562">
        <f t="shared" si="5"/>
        <v>1</v>
      </c>
    </row>
    <row r="40" spans="1:29" ht="16">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20"/>
      <c r="Q40" s="1558">
        <f t="shared" si="14"/>
        <v>111</v>
      </c>
      <c r="R40" s="1559" t="s">
        <v>8</v>
      </c>
      <c r="S40" s="1560">
        <f t="shared" si="10"/>
        <v>100</v>
      </c>
      <c r="T40" s="1559" t="s">
        <v>8</v>
      </c>
      <c r="U40" s="1560">
        <f t="shared" si="11"/>
        <v>100</v>
      </c>
      <c r="V40" s="1559" t="s">
        <v>8</v>
      </c>
      <c r="W40" s="1560">
        <f t="shared" si="12"/>
        <v>100</v>
      </c>
      <c r="X40" s="1553"/>
      <c r="Y40" s="3320"/>
      <c r="Z40" s="1561">
        <f t="shared" si="13"/>
        <v>111</v>
      </c>
      <c r="AA40" s="1562">
        <f t="shared" si="3"/>
        <v>1</v>
      </c>
      <c r="AB40" s="1562">
        <f t="shared" si="4"/>
        <v>1</v>
      </c>
      <c r="AC40" s="1562">
        <f t="shared" si="5"/>
        <v>1</v>
      </c>
    </row>
    <row r="41" spans="1:29" ht="16">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20"/>
      <c r="Q41" s="1558">
        <f t="shared" si="14"/>
        <v>111</v>
      </c>
      <c r="R41" s="1559" t="s">
        <v>8</v>
      </c>
      <c r="S41" s="1560">
        <f t="shared" si="10"/>
        <v>100</v>
      </c>
      <c r="T41" s="1559" t="s">
        <v>8</v>
      </c>
      <c r="U41" s="1560">
        <f t="shared" si="11"/>
        <v>100</v>
      </c>
      <c r="V41" s="1559" t="s">
        <v>8</v>
      </c>
      <c r="W41" s="1560">
        <f t="shared" si="12"/>
        <v>100</v>
      </c>
      <c r="X41" s="1553"/>
      <c r="Y41" s="3320"/>
      <c r="Z41" s="1561">
        <f t="shared" si="13"/>
        <v>111</v>
      </c>
      <c r="AA41" s="1562">
        <f t="shared" si="3"/>
        <v>1</v>
      </c>
      <c r="AB41" s="1562">
        <f t="shared" si="4"/>
        <v>1</v>
      </c>
      <c r="AC41" s="1562">
        <f t="shared" si="5"/>
        <v>1</v>
      </c>
    </row>
    <row r="42" spans="1:29" s="1335" customFormat="1" ht="17"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20"/>
      <c r="Q42" s="1558">
        <f t="shared" si="14"/>
        <v>111</v>
      </c>
      <c r="R42" s="1563" t="s">
        <v>8</v>
      </c>
      <c r="S42" s="1564">
        <f t="shared" si="10"/>
        <v>100</v>
      </c>
      <c r="T42" s="1563" t="s">
        <v>8</v>
      </c>
      <c r="U42" s="1564">
        <f t="shared" si="11"/>
        <v>100</v>
      </c>
      <c r="V42" s="1563" t="s">
        <v>8</v>
      </c>
      <c r="W42" s="1564">
        <f t="shared" si="12"/>
        <v>100</v>
      </c>
      <c r="X42" s="1565"/>
      <c r="Y42" s="3320"/>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15" t="str">
        <f>A43</f>
        <v>成交单价</v>
      </c>
      <c r="Q43" s="3315"/>
      <c r="R43" s="3329">
        <f>E43</f>
        <v>0</v>
      </c>
      <c r="S43" s="3329"/>
      <c r="T43" s="3329">
        <f>G43</f>
        <v>0</v>
      </c>
      <c r="U43" s="3329"/>
      <c r="V43" s="3329">
        <f>I43</f>
        <v>0</v>
      </c>
      <c r="W43" s="3329"/>
      <c r="X43" s="1545"/>
      <c r="Y43" s="1567"/>
      <c r="Z43" s="1545"/>
      <c r="AA43" s="1545"/>
      <c r="AB43" s="1545"/>
      <c r="AC43" s="1545"/>
    </row>
    <row r="44" spans="1:29" ht="1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15" t="str">
        <f>A44</f>
        <v>比较价格（元/平方米）</v>
      </c>
      <c r="Q44" s="3315"/>
      <c r="R44" s="3339" t="e">
        <f>ROUND(PRODUCT(R43,AA9:AA42),0)</f>
        <v>#DIV/0!</v>
      </c>
      <c r="S44" s="3339"/>
      <c r="T44" s="3339" t="e">
        <f>ROUND(PRODUCT(T43,AB9:AB42),0)</f>
        <v>#DIV/0!</v>
      </c>
      <c r="U44" s="3339"/>
      <c r="V44" s="3339" t="e">
        <f>ROUND(PRODUCT(V43,AC9:AC42),0)</f>
        <v>#DIV/0!</v>
      </c>
      <c r="W44" s="3339"/>
      <c r="X44" s="1545"/>
      <c r="Y44" s="1545"/>
      <c r="Z44" s="1545"/>
      <c r="AA44" s="1545"/>
      <c r="AB44" s="1545"/>
      <c r="AC44" s="1545"/>
    </row>
    <row r="45" spans="1:29" ht="15" thickBot="1">
      <c r="A45" s="621" t="s">
        <v>2934</v>
      </c>
      <c r="B45" s="622"/>
      <c r="C45" s="623" t="e">
        <f>R45</f>
        <v>#DIV/0!</v>
      </c>
      <c r="D45" s="623"/>
      <c r="E45" s="623"/>
      <c r="F45" s="623"/>
      <c r="G45" s="623"/>
      <c r="H45" s="623"/>
      <c r="I45" s="623"/>
      <c r="J45" s="623"/>
      <c r="K45" s="1338"/>
      <c r="L45" s="2129"/>
      <c r="M45" s="2119"/>
      <c r="N45" s="2119"/>
      <c r="O45" s="2130"/>
      <c r="P45" s="3336" t="str">
        <f>A45</f>
        <v>估价对象XX用房的比较价格（楼面单价，元/平方米）</v>
      </c>
      <c r="Q45" s="3337"/>
      <c r="R45" s="3338" t="e">
        <f>ROUND(AVERAGE(R44:V44),0)</f>
        <v>#DIV/0!</v>
      </c>
      <c r="S45" s="3338"/>
      <c r="T45" s="3338"/>
      <c r="U45" s="3338"/>
      <c r="V45" s="3338"/>
      <c r="W45" s="333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30">
      <c r="A52" s="629" t="s">
        <v>560</v>
      </c>
      <c r="B52" s="630" t="s">
        <v>561</v>
      </c>
      <c r="C52" s="1546" t="s">
        <v>1724</v>
      </c>
      <c r="D52" s="2212" t="s">
        <v>2291</v>
      </c>
      <c r="E52" s="631" t="s">
        <v>562</v>
      </c>
      <c r="F52" s="1936" t="s">
        <v>563</v>
      </c>
      <c r="G52" s="3418" t="s">
        <v>2282</v>
      </c>
      <c r="H52" s="3419"/>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
      <c r="A53" s="633" t="s">
        <v>564</v>
      </c>
      <c r="B53" s="634" t="e">
        <f>C45</f>
        <v>#DIV/0!</v>
      </c>
      <c r="C53" s="635">
        <v>1</v>
      </c>
      <c r="D53" s="2213">
        <v>1</v>
      </c>
      <c r="E53" s="635">
        <f>'数据-汇总表'!E8+'数据-汇总表'!E9</f>
        <v>170176</v>
      </c>
      <c r="F53" s="1935" t="e">
        <f t="shared" ref="F53:F62" si="15">ROUND(B53*E53/10000,0)</f>
        <v>#DIV/0!</v>
      </c>
      <c r="G53" s="3420"/>
      <c r="H53" s="342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
      <c r="A54" s="637" t="s">
        <v>565</v>
      </c>
      <c r="B54" s="638" t="e">
        <f>ROUND($C$45*C54*D54,0)</f>
        <v>#DIV/0!</v>
      </c>
      <c r="C54" s="378">
        <f t="shared" ref="C54:C62" si="16">IF($C$52="北京市系数",I54,J54)</f>
        <v>0</v>
      </c>
      <c r="D54" s="2214">
        <v>0.25</v>
      </c>
      <c r="E54" s="639"/>
      <c r="F54" s="1935" t="e">
        <f t="shared" si="15"/>
        <v>#DIV/0!</v>
      </c>
      <c r="G54" s="3422"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
      <c r="A55" s="637" t="s">
        <v>566</v>
      </c>
      <c r="B55" s="638" t="e">
        <f t="shared" ref="B55:B62" si="17">ROUND($C$45*C55*D55,0)</f>
        <v>#DIV/0!</v>
      </c>
      <c r="C55" s="378">
        <f t="shared" si="16"/>
        <v>0</v>
      </c>
      <c r="D55" s="2214">
        <v>0.25</v>
      </c>
      <c r="E55" s="639"/>
      <c r="F55" s="1935" t="e">
        <f t="shared" si="15"/>
        <v>#DIV/0!</v>
      </c>
      <c r="G55" s="342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
      <c r="A56" s="637" t="s">
        <v>567</v>
      </c>
      <c r="B56" s="638" t="e">
        <f t="shared" si="17"/>
        <v>#DIV/0!</v>
      </c>
      <c r="C56" s="378">
        <f t="shared" si="16"/>
        <v>0</v>
      </c>
      <c r="D56" s="2214">
        <v>0.25</v>
      </c>
      <c r="E56" s="639"/>
      <c r="F56" s="1935" t="e">
        <f t="shared" si="15"/>
        <v>#DIV/0!</v>
      </c>
      <c r="G56" s="342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
      <c r="A57" s="637" t="s">
        <v>568</v>
      </c>
      <c r="B57" s="638" t="e">
        <f t="shared" si="17"/>
        <v>#DIV/0!</v>
      </c>
      <c r="C57" s="378">
        <f t="shared" si="16"/>
        <v>0</v>
      </c>
      <c r="D57" s="2214">
        <v>0.25</v>
      </c>
      <c r="E57" s="639"/>
      <c r="F57" s="1935" t="e">
        <f t="shared" si="15"/>
        <v>#DIV/0!</v>
      </c>
      <c r="G57" s="342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
      <c r="A60" s="637" t="s">
        <v>570</v>
      </c>
      <c r="B60" s="638" t="e">
        <f t="shared" si="17"/>
        <v>#DIV/0!</v>
      </c>
      <c r="C60" s="378">
        <f t="shared" si="16"/>
        <v>0</v>
      </c>
      <c r="D60" s="2214">
        <v>0.25</v>
      </c>
      <c r="E60" s="641">
        <f>'数据-汇总表'!E13</f>
        <v>64125</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5" thickBot="1">
      <c r="A63" s="642" t="s">
        <v>573</v>
      </c>
      <c r="B63" s="643" t="s">
        <v>17</v>
      </c>
      <c r="C63" s="643" t="s">
        <v>18</v>
      </c>
      <c r="D63" s="643" t="s">
        <v>2292</v>
      </c>
      <c r="E63" s="643">
        <f>IF(B43="楼面地价",SUM(E53:E62),'数据-汇总表'!D3)</f>
        <v>63650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2020-2-1</v>
      </c>
      <c r="D65" s="2754">
        <f>EDATE(C65,-3)</f>
        <v>43770</v>
      </c>
      <c r="E65" s="2754">
        <f t="shared" ref="E65:N65" si="18">EDATE(D65,-3)</f>
        <v>43678</v>
      </c>
      <c r="F65" s="2754">
        <f t="shared" si="18"/>
        <v>43586</v>
      </c>
      <c r="G65" s="2754">
        <f t="shared" si="18"/>
        <v>43497</v>
      </c>
      <c r="H65" s="2754">
        <f t="shared" si="18"/>
        <v>43405</v>
      </c>
      <c r="I65" s="2754">
        <f t="shared" si="18"/>
        <v>43313</v>
      </c>
      <c r="J65" s="2754">
        <f t="shared" si="18"/>
        <v>43221</v>
      </c>
      <c r="K65" s="2754">
        <f t="shared" si="18"/>
        <v>43132</v>
      </c>
      <c r="L65" s="2754">
        <f t="shared" si="18"/>
        <v>43040</v>
      </c>
      <c r="M65" s="2754">
        <f t="shared" si="18"/>
        <v>42948</v>
      </c>
      <c r="N65" s="2754">
        <f t="shared" si="18"/>
        <v>42856</v>
      </c>
      <c r="O65" s="2130"/>
      <c r="P65" s="2130"/>
      <c r="Q65" s="2130"/>
      <c r="R65" s="2130"/>
      <c r="S65" s="2130"/>
      <c r="T65" s="2130"/>
      <c r="U65" s="2130"/>
      <c r="V65" s="2130"/>
      <c r="W65" s="2130"/>
      <c r="X65" s="2130"/>
      <c r="Y65" s="2130"/>
      <c r="Z65" s="2130"/>
      <c r="AA65" s="2130"/>
      <c r="AB65" s="2130"/>
      <c r="AC65" s="2130"/>
    </row>
    <row r="66" spans="1:29" ht="21"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北京市平均增长率1.35%</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5">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31"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6"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5">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6"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16"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31"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6"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6"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6"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31"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6"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5">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6"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6"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6"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baseColWidth="10" defaultColWidth="12" defaultRowHeight="13"/>
  <cols>
    <col min="1" max="1" width="9.83203125" style="1400" customWidth="1"/>
    <col min="2" max="2" width="20.83203125" style="1515" customWidth="1"/>
    <col min="3" max="4" width="12" style="1401"/>
    <col min="5" max="5" width="14.6640625" style="1401" customWidth="1"/>
    <col min="6" max="8" width="12" style="1401"/>
    <col min="9" max="9" width="12.164062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19">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6">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6">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2">
      <c r="A4" s="1876" t="s">
        <v>2278</v>
      </c>
      <c r="B4" s="2417" t="e">
        <f>ROUND(B2*10000/F1,0)</f>
        <v>#DIV/0!</v>
      </c>
      <c r="C4" s="1879" t="s">
        <v>2252</v>
      </c>
      <c r="D4" s="1879" t="e">
        <f>ROUND(B2/(F1/666.67),0)</f>
        <v>#DIV/0!</v>
      </c>
      <c r="E4" s="1879" t="s">
        <v>2253</v>
      </c>
      <c r="F4" s="1877"/>
      <c r="G4" s="1877"/>
      <c r="H4" s="1877"/>
      <c r="I4" s="1877"/>
      <c r="J4" s="1878"/>
      <c r="K4" s="3147"/>
      <c r="L4" s="1870" t="s">
        <v>2239</v>
      </c>
      <c r="M4" s="1871">
        <f>SUMPRODUCT((区片价!B49:B75=I2)*(区片价!C3:F3=E2)*(区片价!C49:F75))</f>
        <v>0</v>
      </c>
      <c r="N4" s="1872">
        <f>SUMPRODUCT((因素修正幅度!B49:B75=I2)*(因素修正幅度!C3:F3=E2)*(因素修正幅度!C49:F75))</f>
        <v>0</v>
      </c>
      <c r="O4" s="3147"/>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7" thickBot="1">
      <c r="A5" s="1623" t="s">
        <v>1823</v>
      </c>
      <c r="B5" s="1411" t="s">
        <v>931</v>
      </c>
      <c r="C5" s="1041" t="e">
        <f>ROUND(IF(E2="商业",C6*C7+C16,(IF(E2="住宅",C6*C12+C16,C6+C16))),0)</f>
        <v>#DIV/0!</v>
      </c>
      <c r="D5" s="3071" t="e">
        <f>ROUND(C6+C16,0)</f>
        <v>#DIV/0!</v>
      </c>
      <c r="E5" s="3071"/>
      <c r="F5" s="1412"/>
      <c r="G5" s="1413"/>
      <c r="H5" s="1413"/>
      <c r="I5" s="1413"/>
      <c r="J5" s="1414"/>
      <c r="K5" s="3148"/>
      <c r="L5" s="1870" t="s">
        <v>2240</v>
      </c>
      <c r="M5" s="1871">
        <f>SUMPRODUCT((区片价!B76:B109=I2)*(区片价!C3:F3=E2)*(区片价!C76:F109))</f>
        <v>0</v>
      </c>
      <c r="N5" s="1872">
        <f>SUMPRODUCT((因素修正幅度!B76:B109=I2)*(因素修正幅度!C3:F3=E2)*(因素修正幅度!C76:F109))</f>
        <v>0</v>
      </c>
      <c r="O5" s="3148"/>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7"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30">
      <c r="A7" s="3430"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6">
      <c r="A8" s="3431"/>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41" t="s">
        <v>2780</v>
      </c>
      <c r="X8" s="3442"/>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6">
      <c r="A9" s="3431"/>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40" t="s">
        <v>2776</v>
      </c>
      <c r="X9" s="2886" t="s">
        <v>2777</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6">
      <c r="A10" s="3431"/>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4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1"/>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40" t="s">
        <v>2778</v>
      </c>
      <c r="X11" s="1048"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31" thickBot="1">
      <c r="A12" s="3430"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40"/>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8">
      <c r="A13" s="3432"/>
      <c r="B13" s="1440" t="s">
        <v>1696</v>
      </c>
      <c r="C13" s="1441" t="s">
        <v>1697</v>
      </c>
      <c r="D13" s="1085" t="s">
        <v>1698</v>
      </c>
      <c r="E13" s="1085" t="s">
        <v>1699</v>
      </c>
      <c r="F13" s="1442" t="s">
        <v>948</v>
      </c>
      <c r="G13" s="1443" t="s">
        <v>1642</v>
      </c>
      <c r="H13" s="1444" t="s">
        <v>1642</v>
      </c>
      <c r="I13" s="1445" t="s">
        <v>1642</v>
      </c>
      <c r="J13" s="1446" t="s">
        <v>1642</v>
      </c>
      <c r="K13" s="3163"/>
      <c r="L13" s="3163"/>
      <c r="M13" s="3163"/>
      <c r="N13" s="3163"/>
      <c r="O13" s="3163"/>
      <c r="P13" s="1397"/>
      <c r="Q13" s="2174"/>
      <c r="R13" s="2892">
        <v>12</v>
      </c>
      <c r="S13" s="2881"/>
      <c r="T13" s="2892" t="e">
        <f t="shared" si="0"/>
        <v>#DIV/0!</v>
      </c>
      <c r="U13" s="2881"/>
      <c r="V13" s="2892" t="e">
        <f t="shared" si="1"/>
        <v>#DIV/0!</v>
      </c>
      <c r="W13" s="3440"/>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2"/>
      <c r="B14" s="1447"/>
      <c r="C14" s="1448"/>
      <c r="D14" s="1449"/>
      <c r="E14" s="1449"/>
      <c r="F14" s="1450"/>
      <c r="G14" s="1451" t="s">
        <v>949</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3"/>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5" customHeight="1">
      <c r="A16" s="3430" t="s">
        <v>1838</v>
      </c>
      <c r="B16" s="1423" t="s">
        <v>950</v>
      </c>
      <c r="C16" s="1052" t="e">
        <f>ROUND(IF(F17="与级别开发程度一致",0,(G17-E17)/C17),0)</f>
        <v>#DIV/0!</v>
      </c>
      <c r="D16" s="3448" t="s">
        <v>954</v>
      </c>
      <c r="E16" s="3449"/>
      <c r="F16" s="3448" t="s">
        <v>951</v>
      </c>
      <c r="G16" s="3449"/>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5" thickBot="1">
      <c r="A17" s="3434"/>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6" thickBot="1">
      <c r="A18" s="2734" t="s">
        <v>1829</v>
      </c>
      <c r="B18" s="3169" t="s">
        <v>955</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31"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43875</v>
      </c>
      <c r="H19" s="1463" t="s">
        <v>2989</v>
      </c>
      <c r="I19" s="2740" t="str">
        <f>IF(H19="季度增幅（自定义）",SUMIF(N21:N24,E2,O21:O24),"")</f>
        <v/>
      </c>
      <c r="J19" s="1459"/>
      <c r="K19" s="3148"/>
      <c r="L19" s="2991" t="s">
        <v>2838</v>
      </c>
      <c r="M19" s="2992">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31"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2839</v>
      </c>
      <c r="M20" s="3157">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5">
      <c r="A21" s="1627" t="s">
        <v>1837</v>
      </c>
      <c r="B21" s="1468" t="s">
        <v>2758</v>
      </c>
      <c r="C21" s="1154">
        <f>IF(B21="容积率修正",IF(G3&lt;=10,D22,J22),C23)</f>
        <v>0</v>
      </c>
      <c r="D21" s="1469"/>
      <c r="E21" s="1469"/>
      <c r="F21" s="1469"/>
      <c r="G21" s="1469"/>
      <c r="H21" s="1469"/>
      <c r="I21" s="1469"/>
      <c r="J21" s="1470"/>
      <c r="K21" s="3148"/>
      <c r="L21" s="1469"/>
      <c r="M21" s="1469"/>
      <c r="N21" s="1466" t="s">
        <v>975</v>
      </c>
      <c r="O21" s="1529"/>
      <c r="P21" s="2732">
        <f>SUMPRODUCT((地价!A3:A29=YEAR(G19)&amp;"-"&amp;ROUNDUP(MONTH(G19)/3,0))*(地价!AD2:AH2=N21)*(地价!AD3:AH29))</f>
        <v>1.34E-2</v>
      </c>
      <c r="Q21" s="2880"/>
      <c r="R21" s="2180"/>
      <c r="S21" s="2180"/>
      <c r="T21" s="2180"/>
      <c r="U21" s="2180"/>
      <c r="V21" s="2180"/>
      <c r="W21" s="2180"/>
      <c r="X21" s="2180"/>
      <c r="Y21" s="1399"/>
      <c r="Z21" s="1399"/>
      <c r="AA21" s="1399"/>
      <c r="AB21" s="1399"/>
      <c r="AC21" s="1460"/>
      <c r="AD21" s="1460"/>
    </row>
    <row r="22" spans="1:40" s="1417" customFormat="1" ht="1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9"/>
      <c r="M22" s="1469"/>
      <c r="N22" s="1466" t="s">
        <v>978</v>
      </c>
      <c r="O22" s="1529"/>
      <c r="P22" s="2732">
        <f>SUMPRODUCT((地价!A3:A29=YEAR(G19)&amp;"-"&amp;ROUNDUP(MONTH(G19)/3,0))*(地价!AD2:AH2=N22)*(地价!AD3:AH29))</f>
        <v>1.34E-2</v>
      </c>
      <c r="Q22" s="2880"/>
      <c r="R22" s="2180"/>
      <c r="S22" s="2180"/>
      <c r="T22" s="2180"/>
      <c r="U22" s="2180"/>
      <c r="V22" s="2180"/>
      <c r="W22" s="2180"/>
      <c r="X22" s="2180"/>
      <c r="Y22" s="1460"/>
      <c r="Z22" s="1460"/>
      <c r="AA22" s="1460"/>
      <c r="AB22" s="1460"/>
      <c r="AC22" s="1460"/>
      <c r="AD22" s="1460"/>
    </row>
    <row r="23" spans="1:40" ht="16"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2">
        <f>SUMPRODUCT((地价!A3:A29=YEAR(G19)&amp;"-"&amp;ROUNDUP(MONTH(G19)/3,0))*(地价!AD2:AH2=N23)*(地价!AD3:AH29))</f>
        <v>2.1000000000000001E-2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6" thickBot="1">
      <c r="A24" s="1626" t="s">
        <v>1872</v>
      </c>
      <c r="B24" s="1411" t="s">
        <v>980</v>
      </c>
      <c r="C24" s="1058">
        <f>SUMIF(A44:A87,E2,B44:B87)</f>
        <v>0</v>
      </c>
      <c r="D24" s="1522"/>
      <c r="E24" s="1523"/>
      <c r="F24" s="1523"/>
      <c r="G24" s="1523"/>
      <c r="H24" s="1523"/>
      <c r="I24" s="1523"/>
      <c r="J24" s="1523"/>
      <c r="K24" s="3152"/>
      <c r="L24" s="1469"/>
      <c r="M24" s="1469"/>
      <c r="N24" s="1466" t="s">
        <v>981</v>
      </c>
      <c r="O24" s="3156"/>
      <c r="P24" s="2732">
        <f>SUMPRODUCT((地价!A3:A29=YEAR(G19)&amp;"-"&amp;ROUNDUP(MONTH(G19)/3,0))*(地价!AD2:AH2=N24)*(地价!AD3:AH29))</f>
        <v>1.35E-2</v>
      </c>
      <c r="Q24" s="2880"/>
      <c r="R24" s="2180"/>
      <c r="S24" s="2180"/>
      <c r="T24" s="2180"/>
      <c r="U24" s="2180"/>
      <c r="V24" s="2180"/>
      <c r="W24" s="2180"/>
      <c r="X24" s="2180"/>
      <c r="Y24" s="1460"/>
      <c r="Z24" s="1460"/>
      <c r="AA24" s="1460"/>
      <c r="AB24" s="1460"/>
      <c r="AC24" s="1460"/>
      <c r="AD24" s="1460"/>
    </row>
    <row r="25" spans="1:40" ht="16" thickBot="1">
      <c r="A25" s="1626" t="s">
        <v>1873</v>
      </c>
      <c r="B25" s="1473" t="s">
        <v>982</v>
      </c>
      <c r="C25" s="1474"/>
      <c r="D25" s="1426"/>
      <c r="E25" s="1426"/>
      <c r="F25" s="1475"/>
      <c r="G25" s="1426"/>
      <c r="H25" s="1426"/>
      <c r="I25" s="1426"/>
      <c r="J25" s="1427"/>
      <c r="K25" s="1452"/>
      <c r="L25" s="2180"/>
      <c r="M25" s="2180"/>
      <c r="N25" s="3158" t="s">
        <v>2645</v>
      </c>
      <c r="O25" s="3159"/>
      <c r="P25" s="2411">
        <f>SUMPRODUCT((地价!A3:A29=YEAR(G19)&amp;"-"&amp;ROUNDUP(MONTH(G19)/3,0))*(地价!AD2:AH2=N25)*(地价!AD3:AH29))</f>
        <v>1.9199999999999998E-2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6"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6"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
      <c r="A29" s="1489"/>
      <c r="B29" s="1490" t="s">
        <v>993</v>
      </c>
      <c r="C29" s="1059" t="e">
        <f>ROUND(C5*C18*C19*C20*C21*C24,0)</f>
        <v>#DIV/0!</v>
      </c>
      <c r="D29" s="1491"/>
      <c r="E29" s="1834" t="e">
        <f>ROUND(C29*D29/10000,0)</f>
        <v>#DIV/0!</v>
      </c>
      <c r="F29" s="1492" t="s">
        <v>1701</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9"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ht="15">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8">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4">
      <c r="A33" s="3437"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4">
      <c r="A34" s="3438"/>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4">
      <c r="A35" s="3438"/>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5" thickBot="1">
      <c r="A36" s="3439"/>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4">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4">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5">
      <c r="A41" s="1399"/>
      <c r="B41" s="3146" t="s">
        <v>2983</v>
      </c>
      <c r="C41" s="839" t="e">
        <f>ROUND(POWER(1+E41,H41-G41)*(POWER(1+E41,G41)-1)/(POWER(1+E41,H41)-1),4)</f>
        <v>#DIV/0!</v>
      </c>
      <c r="D41" s="378" t="s">
        <v>2981</v>
      </c>
      <c r="E41" s="3145">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30">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5">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30">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5">
      <c r="A50" s="1063" t="s">
        <v>1023</v>
      </c>
      <c r="B50" s="3048"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30">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0">
      <c r="A52" s="1063" t="s">
        <v>1025</v>
      </c>
      <c r="B52" s="3047"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30">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30">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1"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30">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5">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30">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5">
      <c r="A61" s="1063" t="s">
        <v>1023</v>
      </c>
      <c r="B61" s="3048"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30">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0">
      <c r="A63" s="1063" t="s">
        <v>1025</v>
      </c>
      <c r="B63" s="3047"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30">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30">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1"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30">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30">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30">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30">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0">
      <c r="A75" s="1063" t="s">
        <v>1025</v>
      </c>
      <c r="B75" s="3047"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0">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1"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30">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45">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60">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30">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30">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30">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0">
      <c r="A86" s="1063" t="s">
        <v>1025</v>
      </c>
      <c r="B86" s="3047"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ht="14">
      <c r="A90" s="3435" t="s">
        <v>1633</v>
      </c>
      <c r="B90" s="3435"/>
      <c r="C90" s="3435"/>
      <c r="D90" s="3435"/>
      <c r="E90" s="3435"/>
      <c r="F90" s="3435"/>
      <c r="G90" s="3435"/>
      <c r="H90" s="3435"/>
      <c r="I90" s="3435"/>
      <c r="J90" s="3435"/>
      <c r="K90" s="2414"/>
      <c r="L90" s="2414"/>
      <c r="M90" s="2414"/>
      <c r="N90" s="2414"/>
    </row>
    <row r="91" spans="1:40" ht="14">
      <c r="A91" s="3436" t="s">
        <v>1443</v>
      </c>
      <c r="B91" s="3436" t="s">
        <v>1634</v>
      </c>
      <c r="C91" s="1136" t="s">
        <v>1635</v>
      </c>
      <c r="D91" s="1137"/>
      <c r="E91" s="1137"/>
      <c r="F91" s="1137"/>
      <c r="G91" s="1137"/>
      <c r="H91" s="1137"/>
      <c r="I91" s="1137"/>
      <c r="J91" s="1138"/>
      <c r="K91" s="1130"/>
      <c r="L91" s="1130"/>
      <c r="M91" s="1130"/>
      <c r="N91" s="1130"/>
    </row>
    <row r="92" spans="1:40" ht="14">
      <c r="A92" s="3436"/>
      <c r="B92" s="343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ht="14">
      <c r="A93" s="3443"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ht="14">
      <c r="A94" s="344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ht="14">
      <c r="A95" s="344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ht="14">
      <c r="A96" s="344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ht="14">
      <c r="A97" s="344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ht="14">
      <c r="A98" s="344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ht="14">
      <c r="A99" s="344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ht="14">
      <c r="A100" s="344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ht="15">
      <c r="A101" s="344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ht="14">
      <c r="A102" s="344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ht="14">
      <c r="A103" s="344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ht="14">
      <c r="A104" s="344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ht="14">
      <c r="A105" s="344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ht="14">
      <c r="A106" s="344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ht="14">
      <c r="A107" s="344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ht="14">
      <c r="A108" s="3444"/>
      <c r="B108" s="344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ht="14">
      <c r="A109" s="3445"/>
      <c r="B109" s="344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ht="14">
      <c r="A110" s="3429" t="s">
        <v>1639</v>
      </c>
      <c r="B110" s="3429"/>
      <c r="C110" s="3429"/>
      <c r="D110" s="3429"/>
      <c r="E110" s="3429"/>
      <c r="F110" s="3429"/>
      <c r="G110" s="3429"/>
      <c r="H110" s="3429"/>
      <c r="I110" s="3429"/>
      <c r="J110" s="3429"/>
      <c r="K110" s="2412"/>
      <c r="L110" s="2412"/>
      <c r="M110" s="2412"/>
      <c r="N110" s="2412"/>
    </row>
    <row r="112" spans="1:14" ht="14" thickBot="1"/>
    <row r="113" spans="1:13" ht="29"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4">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4">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4">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4">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baseColWidth="10" defaultColWidth="8.1640625" defaultRowHeight="19.5" customHeight="1"/>
  <cols>
    <col min="1" max="1" width="13.6640625" style="1062" customWidth="1"/>
    <col min="2" max="9" width="8.1640625" style="1101" customWidth="1"/>
    <col min="10" max="13" width="8.1640625" style="1062"/>
    <col min="14" max="14" width="10" style="1062" customWidth="1"/>
    <col min="15" max="16" width="8.1640625" style="1062"/>
    <col min="17" max="17" width="34.1640625" style="1062" customWidth="1"/>
    <col min="18" max="18" width="8.1640625" style="1062" customWidth="1"/>
    <col min="19" max="19" width="8.1640625" style="1062"/>
    <col min="20" max="20" width="11.6640625" style="1062" customWidth="1"/>
    <col min="21" max="16384" width="8.16406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36" t="s">
        <v>1007</v>
      </c>
      <c r="B18" s="1150" t="s">
        <v>1446</v>
      </c>
      <c r="C18" s="1127" t="s">
        <v>1447</v>
      </c>
      <c r="D18" s="1128"/>
      <c r="E18" s="1150">
        <v>1</v>
      </c>
      <c r="F18" s="1129" t="s">
        <v>1448</v>
      </c>
      <c r="G18" s="1130"/>
      <c r="H18" s="1101"/>
      <c r="I18" s="1101"/>
    </row>
    <row r="19" spans="1:9" s="1584" customFormat="1" ht="19.5" customHeight="1">
      <c r="A19" s="3436"/>
      <c r="B19" s="3436" t="s">
        <v>1449</v>
      </c>
      <c r="C19" s="1127" t="s">
        <v>1450</v>
      </c>
      <c r="D19" s="1128"/>
      <c r="E19" s="1150">
        <v>0.9</v>
      </c>
      <c r="F19" s="1129" t="s">
        <v>1451</v>
      </c>
      <c r="G19" s="1130"/>
      <c r="H19" s="1101"/>
      <c r="I19" s="1101"/>
    </row>
    <row r="20" spans="1:9" s="1584" customFormat="1" ht="19.5" customHeight="1">
      <c r="A20" s="3436"/>
      <c r="B20" s="3436"/>
      <c r="C20" s="1127" t="s">
        <v>1452</v>
      </c>
      <c r="D20" s="1128"/>
      <c r="E20" s="1150">
        <v>1.1000000000000001</v>
      </c>
      <c r="F20" s="1129" t="s">
        <v>1453</v>
      </c>
      <c r="G20" s="1130"/>
      <c r="H20" s="1101"/>
      <c r="I20" s="1101"/>
    </row>
    <row r="21" spans="1:9" s="1584" customFormat="1" ht="19.5" customHeight="1">
      <c r="A21" s="3436"/>
      <c r="B21" s="3436"/>
      <c r="C21" s="1127" t="s">
        <v>1454</v>
      </c>
      <c r="D21" s="1128"/>
      <c r="E21" s="1150">
        <v>0.8</v>
      </c>
      <c r="F21" s="1129" t="s">
        <v>1455</v>
      </c>
      <c r="G21" s="1130"/>
      <c r="H21" s="1101"/>
      <c r="I21" s="1101"/>
    </row>
    <row r="22" spans="1:9" s="1584" customFormat="1" ht="19.5" customHeight="1">
      <c r="A22" s="3436"/>
      <c r="B22" s="3436"/>
      <c r="C22" s="1127" t="s">
        <v>1456</v>
      </c>
      <c r="D22" s="1128"/>
      <c r="E22" s="1150">
        <v>0.5</v>
      </c>
      <c r="F22" s="1129"/>
      <c r="G22" s="1130"/>
      <c r="H22" s="1101"/>
      <c r="I22" s="1101"/>
    </row>
    <row r="23" spans="1:9" s="1584" customFormat="1" ht="19.5" customHeight="1">
      <c r="A23" s="3436" t="s">
        <v>1029</v>
      </c>
      <c r="B23" s="1150" t="s">
        <v>1446</v>
      </c>
      <c r="C23" s="1127" t="s">
        <v>1457</v>
      </c>
      <c r="D23" s="1128"/>
      <c r="E23" s="1150">
        <v>1</v>
      </c>
      <c r="F23" s="1129" t="s">
        <v>1458</v>
      </c>
      <c r="G23" s="1130"/>
      <c r="H23" s="1101"/>
      <c r="I23" s="1101"/>
    </row>
    <row r="24" spans="1:9" s="1584" customFormat="1" ht="19.5" customHeight="1">
      <c r="A24" s="3436"/>
      <c r="B24" s="3436" t="s">
        <v>1449</v>
      </c>
      <c r="C24" s="1127" t="s">
        <v>1459</v>
      </c>
      <c r="D24" s="1128"/>
      <c r="E24" s="1150">
        <v>0.5</v>
      </c>
      <c r="F24" s="1129"/>
      <c r="G24" s="1130"/>
      <c r="H24" s="1101"/>
      <c r="I24" s="1101"/>
    </row>
    <row r="25" spans="1:9" s="1584" customFormat="1" ht="19.5" customHeight="1">
      <c r="A25" s="3436"/>
      <c r="B25" s="3436"/>
      <c r="C25" s="1127" t="s">
        <v>1460</v>
      </c>
      <c r="D25" s="1128"/>
      <c r="E25" s="1150">
        <v>1.1000000000000001</v>
      </c>
      <c r="F25" s="1129"/>
      <c r="G25" s="1130"/>
      <c r="H25" s="1101"/>
      <c r="I25" s="1101"/>
    </row>
    <row r="26" spans="1:9" s="1584" customFormat="1" ht="19.5" customHeight="1">
      <c r="A26" s="3436"/>
      <c r="B26" s="3436"/>
      <c r="C26" s="1127" t="s">
        <v>1461</v>
      </c>
      <c r="D26" s="1128"/>
      <c r="E26" s="1150">
        <v>1.1000000000000001</v>
      </c>
      <c r="F26" s="1129"/>
      <c r="G26" s="1130"/>
      <c r="H26" s="1101"/>
      <c r="I26" s="1101"/>
    </row>
    <row r="27" spans="1:9" s="1584" customFormat="1" ht="19.5" customHeight="1">
      <c r="A27" s="3436"/>
      <c r="B27" s="3436"/>
      <c r="C27" s="1127" t="s">
        <v>1462</v>
      </c>
      <c r="D27" s="1128"/>
      <c r="E27" s="1150">
        <v>0.9</v>
      </c>
      <c r="F27" s="1129" t="s">
        <v>1463</v>
      </c>
      <c r="G27" s="1130"/>
      <c r="H27" s="1101"/>
      <c r="I27" s="1101"/>
    </row>
    <row r="28" spans="1:9" s="1584" customFormat="1" ht="19.5" customHeight="1">
      <c r="A28" s="3436"/>
      <c r="B28" s="3436"/>
      <c r="C28" s="1127" t="s">
        <v>1464</v>
      </c>
      <c r="D28" s="1128"/>
      <c r="E28" s="1150">
        <v>0.9</v>
      </c>
      <c r="F28" s="1129" t="s">
        <v>1465</v>
      </c>
      <c r="G28" s="1130"/>
      <c r="H28" s="1101"/>
      <c r="I28" s="1101"/>
    </row>
    <row r="29" spans="1:9" s="1584" customFormat="1" ht="19.5" customHeight="1">
      <c r="A29" s="3436"/>
      <c r="B29" s="3436"/>
      <c r="C29" s="1127" t="s">
        <v>1466</v>
      </c>
      <c r="D29" s="1128"/>
      <c r="E29" s="1150">
        <v>0.9</v>
      </c>
      <c r="F29" s="1129" t="s">
        <v>1467</v>
      </c>
      <c r="G29" s="1130"/>
      <c r="H29" s="1101"/>
      <c r="I29" s="1101"/>
    </row>
    <row r="30" spans="1:9" s="1584" customFormat="1" ht="19.5" customHeight="1">
      <c r="A30" s="3436"/>
      <c r="B30" s="3436"/>
      <c r="C30" s="1127" t="s">
        <v>1468</v>
      </c>
      <c r="D30" s="1128"/>
      <c r="E30" s="1150">
        <v>0.9</v>
      </c>
      <c r="F30" s="1129" t="s">
        <v>1469</v>
      </c>
      <c r="G30" s="1130"/>
      <c r="H30" s="1101"/>
      <c r="I30" s="1101"/>
    </row>
    <row r="31" spans="1:9" s="1584" customFormat="1" ht="19.5" customHeight="1">
      <c r="A31" s="3436"/>
      <c r="B31" s="3436"/>
      <c r="C31" s="1127" t="s">
        <v>1470</v>
      </c>
      <c r="D31" s="1128"/>
      <c r="E31" s="1150">
        <v>0.8</v>
      </c>
      <c r="F31" s="1129" t="s">
        <v>1471</v>
      </c>
      <c r="G31" s="1130"/>
      <c r="H31" s="1101"/>
      <c r="I31" s="1101"/>
    </row>
    <row r="32" spans="1:9" s="1584" customFormat="1" ht="19.5" customHeight="1">
      <c r="A32" s="3436"/>
      <c r="B32" s="3436"/>
      <c r="C32" s="1127" t="s">
        <v>1472</v>
      </c>
      <c r="D32" s="1128"/>
      <c r="E32" s="1150">
        <v>0.8</v>
      </c>
      <c r="F32" s="1129" t="s">
        <v>1473</v>
      </c>
      <c r="G32" s="1130"/>
      <c r="H32" s="1101"/>
      <c r="I32" s="1101"/>
    </row>
    <row r="33" spans="1:9" s="1584" customFormat="1" ht="19.5" customHeight="1">
      <c r="A33" s="3436" t="s">
        <v>1474</v>
      </c>
      <c r="B33" s="1150" t="s">
        <v>1446</v>
      </c>
      <c r="C33" s="1127" t="s">
        <v>1475</v>
      </c>
      <c r="D33" s="1128"/>
      <c r="E33" s="1150">
        <v>1</v>
      </c>
      <c r="F33" s="1129" t="s">
        <v>1476</v>
      </c>
      <c r="G33" s="1130"/>
      <c r="H33" s="1101"/>
      <c r="I33" s="1101"/>
    </row>
    <row r="34" spans="1:9" s="1584" customFormat="1" ht="19.5" customHeight="1">
      <c r="A34" s="3436"/>
      <c r="B34" s="1150" t="s">
        <v>1449</v>
      </c>
      <c r="C34" s="1127" t="s">
        <v>1477</v>
      </c>
      <c r="D34" s="1128"/>
      <c r="E34" s="1150">
        <v>1.5</v>
      </c>
      <c r="F34" s="1129" t="s">
        <v>1478</v>
      </c>
      <c r="G34" s="1130"/>
      <c r="H34" s="1101"/>
      <c r="I34" s="1101"/>
    </row>
    <row r="35" spans="1:9" s="1584" customFormat="1" ht="19.5" customHeight="1">
      <c r="A35" s="3436" t="s">
        <v>1432</v>
      </c>
      <c r="B35" s="1150" t="s">
        <v>1446</v>
      </c>
      <c r="C35" s="1127" t="s">
        <v>1479</v>
      </c>
      <c r="D35" s="1128"/>
      <c r="E35" s="1150">
        <v>1</v>
      </c>
      <c r="F35" s="1129" t="s">
        <v>1480</v>
      </c>
      <c r="G35" s="1130"/>
      <c r="H35" s="1101"/>
      <c r="I35" s="1101"/>
    </row>
    <row r="36" spans="1:9" s="1584" customFormat="1" ht="19.5" customHeight="1">
      <c r="A36" s="3436"/>
      <c r="B36" s="3436" t="s">
        <v>1449</v>
      </c>
      <c r="C36" s="1127" t="s">
        <v>1481</v>
      </c>
      <c r="D36" s="1128"/>
      <c r="E36" s="1150">
        <v>1</v>
      </c>
      <c r="F36" s="1129" t="s">
        <v>1482</v>
      </c>
      <c r="G36" s="1130"/>
      <c r="H36" s="1101"/>
      <c r="I36" s="1101"/>
    </row>
    <row r="37" spans="1:9" s="1584" customFormat="1" ht="19.5" customHeight="1">
      <c r="A37" s="3436"/>
      <c r="B37" s="3436"/>
      <c r="C37" s="1127" t="s">
        <v>1483</v>
      </c>
      <c r="D37" s="1128"/>
      <c r="E37" s="1150">
        <v>1.5</v>
      </c>
      <c r="F37" s="1129" t="s">
        <v>1484</v>
      </c>
      <c r="G37" s="1130"/>
      <c r="H37" s="1101"/>
      <c r="I37" s="1101"/>
    </row>
    <row r="38" spans="1:9" s="1584" customFormat="1" ht="19.5" customHeight="1">
      <c r="A38" s="3436"/>
      <c r="B38" s="3436"/>
      <c r="C38" s="1127" t="s">
        <v>1485</v>
      </c>
      <c r="D38" s="1128"/>
      <c r="E38" s="1150">
        <v>1</v>
      </c>
      <c r="F38" s="1129" t="s">
        <v>1486</v>
      </c>
      <c r="G38" s="1130"/>
      <c r="H38" s="1101"/>
      <c r="I38" s="1101"/>
    </row>
    <row r="39" spans="1:9" s="1584" customFormat="1" ht="19.5" customHeight="1">
      <c r="A39" s="3436"/>
      <c r="B39" s="3436"/>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0">
      <c r="A61" s="1150">
        <v>1</v>
      </c>
      <c r="B61" s="3436" t="s">
        <v>1501</v>
      </c>
      <c r="C61" s="1064" t="s">
        <v>1502</v>
      </c>
      <c r="D61" s="1064" t="s">
        <v>1503</v>
      </c>
      <c r="E61" s="1135">
        <v>0.5</v>
      </c>
      <c r="F61" s="1150">
        <v>80</v>
      </c>
      <c r="H61" s="1101">
        <f>SUMIF(C59:C119,基准地价!C8,E59:E119)</f>
        <v>0</v>
      </c>
    </row>
    <row r="62" spans="1:8" s="1101" customFormat="1" ht="30">
      <c r="A62" s="1150">
        <v>2</v>
      </c>
      <c r="B62" s="3436"/>
      <c r="C62" s="1064" t="s">
        <v>1504</v>
      </c>
      <c r="D62" s="1064" t="s">
        <v>1505</v>
      </c>
      <c r="E62" s="1135">
        <v>0.5</v>
      </c>
      <c r="F62" s="1150">
        <v>80</v>
      </c>
    </row>
    <row r="63" spans="1:8" s="1101" customFormat="1" ht="45">
      <c r="A63" s="1150">
        <v>3</v>
      </c>
      <c r="B63" s="3436"/>
      <c r="C63" s="1064" t="s">
        <v>1506</v>
      </c>
      <c r="D63" s="1064" t="s">
        <v>1507</v>
      </c>
      <c r="E63" s="1135">
        <v>0.5</v>
      </c>
      <c r="F63" s="1150">
        <v>80</v>
      </c>
    </row>
    <row r="64" spans="1:8" s="1101" customFormat="1" ht="45">
      <c r="A64" s="1150">
        <v>4</v>
      </c>
      <c r="B64" s="3436"/>
      <c r="C64" s="1064" t="s">
        <v>1508</v>
      </c>
      <c r="D64" s="1064" t="s">
        <v>1509</v>
      </c>
      <c r="E64" s="1135">
        <v>0.4</v>
      </c>
      <c r="F64" s="1150">
        <v>60</v>
      </c>
    </row>
    <row r="65" spans="1:6" s="1101" customFormat="1" ht="45">
      <c r="A65" s="1150">
        <v>5</v>
      </c>
      <c r="B65" s="3436"/>
      <c r="C65" s="1064" t="s">
        <v>1510</v>
      </c>
      <c r="D65" s="1064" t="s">
        <v>1511</v>
      </c>
      <c r="E65" s="1135">
        <v>0.2</v>
      </c>
      <c r="F65" s="1150">
        <v>30</v>
      </c>
    </row>
    <row r="66" spans="1:6" s="1101" customFormat="1" ht="45">
      <c r="A66" s="1150">
        <v>6</v>
      </c>
      <c r="B66" s="3436"/>
      <c r="C66" s="1064" t="s">
        <v>1512</v>
      </c>
      <c r="D66" s="1064" t="s">
        <v>1513</v>
      </c>
      <c r="E66" s="1135">
        <v>0.3</v>
      </c>
      <c r="F66" s="1150">
        <v>50</v>
      </c>
    </row>
    <row r="67" spans="1:6" s="1101" customFormat="1" ht="45">
      <c r="A67" s="1150">
        <v>7</v>
      </c>
      <c r="B67" s="3436"/>
      <c r="C67" s="1064" t="s">
        <v>1514</v>
      </c>
      <c r="D67" s="1064" t="s">
        <v>1515</v>
      </c>
      <c r="E67" s="1135">
        <v>0.2</v>
      </c>
      <c r="F67" s="1150">
        <v>30</v>
      </c>
    </row>
    <row r="68" spans="1:6" s="1101" customFormat="1" ht="45">
      <c r="A68" s="1150">
        <v>8</v>
      </c>
      <c r="B68" s="3436"/>
      <c r="C68" s="1064" t="s">
        <v>1516</v>
      </c>
      <c r="D68" s="1064" t="s">
        <v>1517</v>
      </c>
      <c r="E68" s="1135">
        <v>0.2</v>
      </c>
      <c r="F68" s="1150">
        <v>30</v>
      </c>
    </row>
    <row r="69" spans="1:6" s="1101" customFormat="1" ht="45">
      <c r="A69" s="1150">
        <v>9</v>
      </c>
      <c r="B69" s="3436"/>
      <c r="C69" s="1064" t="s">
        <v>1518</v>
      </c>
      <c r="D69" s="1064" t="s">
        <v>1519</v>
      </c>
      <c r="E69" s="1135">
        <v>0.2</v>
      </c>
      <c r="F69" s="1150">
        <v>30</v>
      </c>
    </row>
    <row r="70" spans="1:6" s="1101" customFormat="1" ht="60">
      <c r="A70" s="1150">
        <v>10</v>
      </c>
      <c r="B70" s="3436"/>
      <c r="C70" s="1064" t="s">
        <v>1520</v>
      </c>
      <c r="D70" s="1064" t="s">
        <v>1521</v>
      </c>
      <c r="E70" s="1135">
        <v>0.2</v>
      </c>
      <c r="F70" s="1150">
        <v>30</v>
      </c>
    </row>
    <row r="71" spans="1:6" s="1101" customFormat="1" ht="60">
      <c r="A71" s="1150">
        <v>11</v>
      </c>
      <c r="B71" s="3436"/>
      <c r="C71" s="1064" t="s">
        <v>1522</v>
      </c>
      <c r="D71" s="1064" t="s">
        <v>1523</v>
      </c>
      <c r="E71" s="1135">
        <v>0.2</v>
      </c>
      <c r="F71" s="1150">
        <v>30</v>
      </c>
    </row>
    <row r="72" spans="1:6" s="1101" customFormat="1" ht="45">
      <c r="A72" s="1150">
        <v>12</v>
      </c>
      <c r="B72" s="3436"/>
      <c r="C72" s="1064" t="s">
        <v>1524</v>
      </c>
      <c r="D72" s="1064" t="s">
        <v>1525</v>
      </c>
      <c r="E72" s="1135">
        <v>0.5</v>
      </c>
      <c r="F72" s="1150">
        <v>80</v>
      </c>
    </row>
    <row r="73" spans="1:6" s="1101" customFormat="1" ht="30">
      <c r="A73" s="1150">
        <v>13</v>
      </c>
      <c r="B73" s="3436"/>
      <c r="C73" s="1064" t="s">
        <v>1526</v>
      </c>
      <c r="D73" s="1064" t="s">
        <v>1527</v>
      </c>
      <c r="E73" s="1135">
        <v>0.4</v>
      </c>
      <c r="F73" s="1150">
        <v>60</v>
      </c>
    </row>
    <row r="74" spans="1:6" s="1101" customFormat="1" ht="30">
      <c r="A74" s="1150">
        <v>14</v>
      </c>
      <c r="B74" s="3436"/>
      <c r="C74" s="1064" t="s">
        <v>1528</v>
      </c>
      <c r="D74" s="1064" t="s">
        <v>1529</v>
      </c>
      <c r="E74" s="1135">
        <v>0.2</v>
      </c>
      <c r="F74" s="1150">
        <v>30</v>
      </c>
    </row>
    <row r="75" spans="1:6" s="1101" customFormat="1" ht="30">
      <c r="A75" s="1150">
        <v>15</v>
      </c>
      <c r="B75" s="3436"/>
      <c r="C75" s="1064" t="s">
        <v>1530</v>
      </c>
      <c r="D75" s="1064" t="s">
        <v>1531</v>
      </c>
      <c r="E75" s="1135">
        <v>0.2</v>
      </c>
      <c r="F75" s="1150">
        <v>30</v>
      </c>
    </row>
    <row r="76" spans="1:6" s="1101" customFormat="1" ht="30">
      <c r="A76" s="1150">
        <v>16</v>
      </c>
      <c r="B76" s="3436" t="s">
        <v>1532</v>
      </c>
      <c r="C76" s="1064" t="s">
        <v>1533</v>
      </c>
      <c r="D76" s="1064" t="s">
        <v>1534</v>
      </c>
      <c r="E76" s="1135">
        <v>0.5</v>
      </c>
      <c r="F76" s="1150">
        <v>80</v>
      </c>
    </row>
    <row r="77" spans="1:6" s="1101" customFormat="1" ht="30">
      <c r="A77" s="1150">
        <v>17</v>
      </c>
      <c r="B77" s="3436"/>
      <c r="C77" s="1064" t="s">
        <v>1535</v>
      </c>
      <c r="D77" s="1064" t="s">
        <v>1536</v>
      </c>
      <c r="E77" s="1135">
        <v>0.5</v>
      </c>
      <c r="F77" s="1150">
        <v>80</v>
      </c>
    </row>
    <row r="78" spans="1:6" s="1101" customFormat="1" ht="30">
      <c r="A78" s="1150">
        <v>18</v>
      </c>
      <c r="B78" s="3436"/>
      <c r="C78" s="1064" t="s">
        <v>1537</v>
      </c>
      <c r="D78" s="1064" t="s">
        <v>1538</v>
      </c>
      <c r="E78" s="1135">
        <v>0.2</v>
      </c>
      <c r="F78" s="1150">
        <v>30</v>
      </c>
    </row>
    <row r="79" spans="1:6" s="1101" customFormat="1" ht="30">
      <c r="A79" s="1150">
        <v>19</v>
      </c>
      <c r="B79" s="3436"/>
      <c r="C79" s="1064" t="s">
        <v>1539</v>
      </c>
      <c r="D79" s="1064" t="s">
        <v>1540</v>
      </c>
      <c r="E79" s="1135">
        <v>0.5</v>
      </c>
      <c r="F79" s="1150">
        <v>80</v>
      </c>
    </row>
    <row r="80" spans="1:6" s="1101" customFormat="1" ht="45">
      <c r="A80" s="1150">
        <v>20</v>
      </c>
      <c r="B80" s="3436"/>
      <c r="C80" s="1064" t="s">
        <v>1541</v>
      </c>
      <c r="D80" s="1064" t="s">
        <v>1542</v>
      </c>
      <c r="E80" s="1135">
        <v>0.2</v>
      </c>
      <c r="F80" s="1150">
        <v>30</v>
      </c>
    </row>
    <row r="81" spans="1:6" s="1101" customFormat="1" ht="45">
      <c r="A81" s="1150">
        <v>21</v>
      </c>
      <c r="B81" s="3436"/>
      <c r="C81" s="1064" t="s">
        <v>1543</v>
      </c>
      <c r="D81" s="1064" t="s">
        <v>1544</v>
      </c>
      <c r="E81" s="1135">
        <v>0.2</v>
      </c>
      <c r="F81" s="1150">
        <v>30</v>
      </c>
    </row>
    <row r="82" spans="1:6" s="1101" customFormat="1" ht="60">
      <c r="A82" s="1150">
        <v>22</v>
      </c>
      <c r="B82" s="3436"/>
      <c r="C82" s="1064" t="s">
        <v>1545</v>
      </c>
      <c r="D82" s="1064" t="s">
        <v>1546</v>
      </c>
      <c r="E82" s="1135">
        <v>0.2</v>
      </c>
      <c r="F82" s="1150">
        <v>30</v>
      </c>
    </row>
    <row r="83" spans="1:6" s="1101" customFormat="1" ht="60">
      <c r="A83" s="1150">
        <v>23</v>
      </c>
      <c r="B83" s="3436"/>
      <c r="C83" s="1064" t="s">
        <v>1547</v>
      </c>
      <c r="D83" s="1064" t="s">
        <v>1548</v>
      </c>
      <c r="E83" s="1135">
        <v>0.2</v>
      </c>
      <c r="F83" s="1150">
        <v>30</v>
      </c>
    </row>
    <row r="84" spans="1:6" s="1101" customFormat="1" ht="45">
      <c r="A84" s="1150">
        <v>24</v>
      </c>
      <c r="B84" s="3436"/>
      <c r="C84" s="1064" t="s">
        <v>1549</v>
      </c>
      <c r="D84" s="1064" t="s">
        <v>1550</v>
      </c>
      <c r="E84" s="1135">
        <v>0.2</v>
      </c>
      <c r="F84" s="1150">
        <v>30</v>
      </c>
    </row>
    <row r="85" spans="1:6" s="1101" customFormat="1" ht="45">
      <c r="A85" s="1150">
        <v>25</v>
      </c>
      <c r="B85" s="3436"/>
      <c r="C85" s="1064" t="s">
        <v>1551</v>
      </c>
      <c r="D85" s="1064" t="s">
        <v>1552</v>
      </c>
      <c r="E85" s="1135">
        <v>0.5</v>
      </c>
      <c r="F85" s="1150">
        <v>80</v>
      </c>
    </row>
    <row r="86" spans="1:6" s="1101" customFormat="1" ht="45">
      <c r="A86" s="1150">
        <v>26</v>
      </c>
      <c r="B86" s="3436"/>
      <c r="C86" s="1064" t="s">
        <v>1553</v>
      </c>
      <c r="D86" s="1064" t="s">
        <v>1554</v>
      </c>
      <c r="E86" s="1135">
        <v>0.2</v>
      </c>
      <c r="F86" s="1150">
        <v>30</v>
      </c>
    </row>
    <row r="87" spans="1:6" s="1101" customFormat="1" ht="45">
      <c r="A87" s="1150">
        <v>27</v>
      </c>
      <c r="B87" s="3436"/>
      <c r="C87" s="1064" t="s">
        <v>1555</v>
      </c>
      <c r="D87" s="1064" t="s">
        <v>1556</v>
      </c>
      <c r="E87" s="1135">
        <v>0.2</v>
      </c>
      <c r="F87" s="1150">
        <v>30</v>
      </c>
    </row>
    <row r="88" spans="1:6" s="1101" customFormat="1" ht="45">
      <c r="A88" s="1150">
        <v>28</v>
      </c>
      <c r="B88" s="3436"/>
      <c r="C88" s="1064" t="s">
        <v>1557</v>
      </c>
      <c r="D88" s="1064" t="s">
        <v>1558</v>
      </c>
      <c r="E88" s="1135">
        <v>0.2</v>
      </c>
      <c r="F88" s="1150">
        <v>30</v>
      </c>
    </row>
    <row r="89" spans="1:6" s="1101" customFormat="1" ht="30">
      <c r="A89" s="1150">
        <v>29</v>
      </c>
      <c r="B89" s="3436"/>
      <c r="C89" s="1064" t="s">
        <v>1559</v>
      </c>
      <c r="D89" s="1064" t="s">
        <v>1560</v>
      </c>
      <c r="E89" s="1135">
        <v>0.2</v>
      </c>
      <c r="F89" s="1150">
        <v>30</v>
      </c>
    </row>
    <row r="90" spans="1:6" s="1101" customFormat="1" ht="30">
      <c r="A90" s="1150">
        <v>30</v>
      </c>
      <c r="B90" s="3436"/>
      <c r="C90" s="1064" t="s">
        <v>1561</v>
      </c>
      <c r="D90" s="1064" t="s">
        <v>1562</v>
      </c>
      <c r="E90" s="1135">
        <v>0.2</v>
      </c>
      <c r="F90" s="1150">
        <v>30</v>
      </c>
    </row>
    <row r="91" spans="1:6" s="1101" customFormat="1" ht="45">
      <c r="A91" s="1150">
        <v>31</v>
      </c>
      <c r="B91" s="3436"/>
      <c r="C91" s="1064" t="s">
        <v>1563</v>
      </c>
      <c r="D91" s="1064" t="s">
        <v>1564</v>
      </c>
      <c r="E91" s="1135">
        <v>0.2</v>
      </c>
      <c r="F91" s="1150">
        <v>30</v>
      </c>
    </row>
    <row r="92" spans="1:6" s="1101" customFormat="1" ht="30">
      <c r="A92" s="1150">
        <v>32</v>
      </c>
      <c r="B92" s="3436" t="s">
        <v>1565</v>
      </c>
      <c r="C92" s="1150" t="s">
        <v>1566</v>
      </c>
      <c r="D92" s="1064" t="s">
        <v>1567</v>
      </c>
      <c r="E92" s="1135">
        <v>0.2</v>
      </c>
      <c r="F92" s="1150">
        <v>30</v>
      </c>
    </row>
    <row r="93" spans="1:6" s="1101" customFormat="1" ht="45">
      <c r="A93" s="1150">
        <v>33</v>
      </c>
      <c r="B93" s="3436"/>
      <c r="C93" s="1150" t="s">
        <v>1568</v>
      </c>
      <c r="D93" s="1064" t="s">
        <v>1569</v>
      </c>
      <c r="E93" s="1135">
        <v>0.2</v>
      </c>
      <c r="F93" s="1150">
        <v>30</v>
      </c>
    </row>
    <row r="94" spans="1:6" s="1101" customFormat="1" ht="60">
      <c r="A94" s="1150">
        <v>34</v>
      </c>
      <c r="B94" s="3436"/>
      <c r="C94" s="1150" t="s">
        <v>1570</v>
      </c>
      <c r="D94" s="1064" t="s">
        <v>1571</v>
      </c>
      <c r="E94" s="1135">
        <v>0.2</v>
      </c>
      <c r="F94" s="1150">
        <v>30</v>
      </c>
    </row>
    <row r="95" spans="1:6" s="1101" customFormat="1" ht="45">
      <c r="A95" s="1150">
        <v>35</v>
      </c>
      <c r="B95" s="3436"/>
      <c r="C95" s="1150" t="s">
        <v>1572</v>
      </c>
      <c r="D95" s="1064" t="s">
        <v>1573</v>
      </c>
      <c r="E95" s="1135">
        <v>0.2</v>
      </c>
      <c r="F95" s="1150">
        <v>30</v>
      </c>
    </row>
    <row r="96" spans="1:6" s="1101" customFormat="1" ht="60">
      <c r="A96" s="1150">
        <v>36</v>
      </c>
      <c r="B96" s="3436"/>
      <c r="C96" s="1064" t="s">
        <v>1574</v>
      </c>
      <c r="D96" s="1064" t="s">
        <v>1575</v>
      </c>
      <c r="E96" s="1135">
        <v>0.2</v>
      </c>
      <c r="F96" s="1150">
        <v>30</v>
      </c>
    </row>
    <row r="97" spans="1:6" s="1101" customFormat="1" ht="45">
      <c r="A97" s="1150">
        <v>37</v>
      </c>
      <c r="B97" s="3436"/>
      <c r="C97" s="1150" t="s">
        <v>1576</v>
      </c>
      <c r="D97" s="1064" t="s">
        <v>1577</v>
      </c>
      <c r="E97" s="1135">
        <v>0.2</v>
      </c>
      <c r="F97" s="1150">
        <v>30</v>
      </c>
    </row>
    <row r="98" spans="1:6" s="1101" customFormat="1" ht="45">
      <c r="A98" s="1150">
        <v>38</v>
      </c>
      <c r="B98" s="3436"/>
      <c r="C98" s="1150" t="s">
        <v>1578</v>
      </c>
      <c r="D98" s="1064" t="s">
        <v>1579</v>
      </c>
      <c r="E98" s="1135">
        <v>0.2</v>
      </c>
      <c r="F98" s="1150">
        <v>30</v>
      </c>
    </row>
    <row r="99" spans="1:6" s="1101" customFormat="1" ht="45">
      <c r="A99" s="1150">
        <v>39</v>
      </c>
      <c r="B99" s="3436" t="s">
        <v>1580</v>
      </c>
      <c r="C99" s="1150" t="s">
        <v>1581</v>
      </c>
      <c r="D99" s="1064" t="s">
        <v>1582</v>
      </c>
      <c r="E99" s="1135">
        <v>0.3</v>
      </c>
      <c r="F99" s="1150">
        <v>50</v>
      </c>
    </row>
    <row r="100" spans="1:6" s="1101" customFormat="1" ht="30">
      <c r="A100" s="1150">
        <v>40</v>
      </c>
      <c r="B100" s="3436"/>
      <c r="C100" s="1150" t="s">
        <v>1583</v>
      </c>
      <c r="D100" s="1064" t="s">
        <v>1584</v>
      </c>
      <c r="E100" s="1135">
        <v>0.2</v>
      </c>
      <c r="F100" s="1150">
        <v>30</v>
      </c>
    </row>
    <row r="101" spans="1:6" s="1101" customFormat="1" ht="45">
      <c r="A101" s="1150">
        <v>41</v>
      </c>
      <c r="B101" s="3436"/>
      <c r="C101" s="1150" t="s">
        <v>1585</v>
      </c>
      <c r="D101" s="1064" t="s">
        <v>1582</v>
      </c>
      <c r="E101" s="1135">
        <v>0.2</v>
      </c>
      <c r="F101" s="1150">
        <v>30</v>
      </c>
    </row>
    <row r="102" spans="1:6" s="1101" customFormat="1" ht="60">
      <c r="A102" s="1150">
        <v>42</v>
      </c>
      <c r="B102" s="1150" t="s">
        <v>1586</v>
      </c>
      <c r="C102" s="1064" t="s">
        <v>1587</v>
      </c>
      <c r="D102" s="1064" t="s">
        <v>1588</v>
      </c>
      <c r="E102" s="1135">
        <v>0.2</v>
      </c>
      <c r="F102" s="1150">
        <v>30</v>
      </c>
    </row>
    <row r="103" spans="1:6" s="1101" customFormat="1" ht="30">
      <c r="A103" s="1150">
        <v>43</v>
      </c>
      <c r="B103" s="1150" t="s">
        <v>1589</v>
      </c>
      <c r="C103" s="1150" t="s">
        <v>1590</v>
      </c>
      <c r="D103" s="1064" t="s">
        <v>1591</v>
      </c>
      <c r="E103" s="1135">
        <v>0.2</v>
      </c>
      <c r="F103" s="1150">
        <v>30</v>
      </c>
    </row>
    <row r="104" spans="1:6" s="1101" customFormat="1" ht="45">
      <c r="A104" s="1150">
        <v>44</v>
      </c>
      <c r="B104" s="1150" t="s">
        <v>1592</v>
      </c>
      <c r="C104" s="1150" t="s">
        <v>1593</v>
      </c>
      <c r="D104" s="1064" t="s">
        <v>1594</v>
      </c>
      <c r="E104" s="1135">
        <v>0.2</v>
      </c>
      <c r="F104" s="1150">
        <v>30</v>
      </c>
    </row>
    <row r="105" spans="1:6" s="1101" customFormat="1" ht="45">
      <c r="A105" s="1150">
        <v>45</v>
      </c>
      <c r="B105" s="3436" t="s">
        <v>1595</v>
      </c>
      <c r="C105" s="1150" t="s">
        <v>1596</v>
      </c>
      <c r="D105" s="1064" t="s">
        <v>1597</v>
      </c>
      <c r="E105" s="1135">
        <v>0.2</v>
      </c>
      <c r="F105" s="1150">
        <v>30</v>
      </c>
    </row>
    <row r="106" spans="1:6" s="1101" customFormat="1" ht="45">
      <c r="A106" s="1150">
        <v>46</v>
      </c>
      <c r="B106" s="3436"/>
      <c r="C106" s="1150" t="s">
        <v>1598</v>
      </c>
      <c r="D106" s="1064" t="s">
        <v>1599</v>
      </c>
      <c r="E106" s="1135">
        <v>0.2</v>
      </c>
      <c r="F106" s="1150">
        <v>30</v>
      </c>
    </row>
    <row r="107" spans="1:6" s="1101" customFormat="1" ht="45">
      <c r="A107" s="1150">
        <v>47</v>
      </c>
      <c r="B107" s="3436" t="s">
        <v>1600</v>
      </c>
      <c r="C107" s="1150" t="s">
        <v>1601</v>
      </c>
      <c r="D107" s="1064" t="s">
        <v>1602</v>
      </c>
      <c r="E107" s="1135">
        <v>0.3</v>
      </c>
      <c r="F107" s="1150">
        <v>50</v>
      </c>
    </row>
    <row r="108" spans="1:6" s="1101" customFormat="1" ht="45">
      <c r="A108" s="1150">
        <v>48</v>
      </c>
      <c r="B108" s="3436"/>
      <c r="C108" s="1150" t="s">
        <v>1603</v>
      </c>
      <c r="D108" s="1064" t="s">
        <v>1604</v>
      </c>
      <c r="E108" s="1135">
        <v>0.2</v>
      </c>
      <c r="F108" s="1150">
        <v>30</v>
      </c>
    </row>
    <row r="109" spans="1:6" s="1101" customFormat="1" ht="45">
      <c r="A109" s="1150">
        <v>49</v>
      </c>
      <c r="B109" s="1150" t="s">
        <v>1605</v>
      </c>
      <c r="C109" s="1150" t="s">
        <v>1606</v>
      </c>
      <c r="D109" s="1064" t="s">
        <v>1607</v>
      </c>
      <c r="E109" s="1135">
        <v>0.2</v>
      </c>
      <c r="F109" s="1150">
        <v>30</v>
      </c>
    </row>
    <row r="110" spans="1:6" s="1101" customFormat="1" ht="45">
      <c r="A110" s="1150">
        <v>50</v>
      </c>
      <c r="B110" s="1150" t="s">
        <v>1608</v>
      </c>
      <c r="C110" s="1150" t="s">
        <v>1609</v>
      </c>
      <c r="D110" s="1064" t="s">
        <v>1610</v>
      </c>
      <c r="E110" s="1135">
        <v>0.2</v>
      </c>
      <c r="F110" s="1150">
        <v>30</v>
      </c>
    </row>
    <row r="111" spans="1:6" s="1101" customFormat="1" ht="45">
      <c r="A111" s="1150">
        <v>51</v>
      </c>
      <c r="B111" s="3436" t="s">
        <v>1611</v>
      </c>
      <c r="C111" s="1150" t="s">
        <v>1612</v>
      </c>
      <c r="D111" s="1064" t="s">
        <v>1613</v>
      </c>
      <c r="E111" s="1135">
        <v>0.2</v>
      </c>
      <c r="F111" s="1150">
        <v>30</v>
      </c>
    </row>
    <row r="112" spans="1:6" s="1101" customFormat="1" ht="30">
      <c r="A112" s="1150">
        <v>52</v>
      </c>
      <c r="B112" s="3436"/>
      <c r="C112" s="1150" t="s">
        <v>1614</v>
      </c>
      <c r="D112" s="1064" t="s">
        <v>1615</v>
      </c>
      <c r="E112" s="1135">
        <v>0.2</v>
      </c>
      <c r="F112" s="1150">
        <v>30</v>
      </c>
    </row>
    <row r="113" spans="1:14" s="1101" customFormat="1" ht="30">
      <c r="A113" s="1150">
        <v>53</v>
      </c>
      <c r="B113" s="3436"/>
      <c r="C113" s="1150" t="s">
        <v>1616</v>
      </c>
      <c r="D113" s="1064" t="s">
        <v>1617</v>
      </c>
      <c r="E113" s="1135">
        <v>0.2</v>
      </c>
      <c r="F113" s="1150">
        <v>30</v>
      </c>
    </row>
    <row r="114" spans="1:14" ht="45">
      <c r="A114" s="1150">
        <v>54</v>
      </c>
      <c r="B114" s="1150" t="s">
        <v>1618</v>
      </c>
      <c r="C114" s="1150" t="s">
        <v>1619</v>
      </c>
      <c r="D114" s="1064" t="s">
        <v>1620</v>
      </c>
      <c r="E114" s="1135">
        <v>0.2</v>
      </c>
      <c r="F114" s="1150">
        <v>30</v>
      </c>
    </row>
    <row r="115" spans="1:14" ht="30">
      <c r="A115" s="1150">
        <v>55</v>
      </c>
      <c r="B115" s="1150" t="s">
        <v>1621</v>
      </c>
      <c r="C115" s="1150" t="s">
        <v>1622</v>
      </c>
      <c r="D115" s="1064" t="s">
        <v>1623</v>
      </c>
      <c r="E115" s="1135">
        <v>0.2</v>
      </c>
      <c r="F115" s="1150">
        <v>30</v>
      </c>
    </row>
    <row r="116" spans="1:14" ht="30">
      <c r="A116" s="1150">
        <v>56</v>
      </c>
      <c r="B116" s="3436" t="s">
        <v>1624</v>
      </c>
      <c r="C116" s="1150" t="s">
        <v>1625</v>
      </c>
      <c r="D116" s="1064" t="s">
        <v>1626</v>
      </c>
      <c r="E116" s="1135">
        <v>0.2</v>
      </c>
      <c r="F116" s="1150">
        <v>30</v>
      </c>
    </row>
    <row r="117" spans="1:14" ht="45">
      <c r="A117" s="1150">
        <v>57</v>
      </c>
      <c r="B117" s="3436"/>
      <c r="C117" s="1150" t="s">
        <v>1627</v>
      </c>
      <c r="D117" s="1064" t="s">
        <v>1628</v>
      </c>
      <c r="E117" s="1135">
        <v>0.2</v>
      </c>
      <c r="F117" s="1150">
        <v>30</v>
      </c>
    </row>
    <row r="118" spans="1:14" ht="45">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35" t="s">
        <v>1633</v>
      </c>
      <c r="B121" s="3435"/>
      <c r="C121" s="3435"/>
      <c r="D121" s="3435"/>
      <c r="E121" s="3435"/>
      <c r="F121" s="3435"/>
      <c r="G121" s="3435"/>
      <c r="H121" s="3435"/>
      <c r="I121" s="3435"/>
      <c r="J121" s="343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101" customWidth="1"/>
    <col min="2" max="5" width="10.1640625" style="1062" customWidth="1"/>
    <col min="6" max="6" width="9" style="1062"/>
    <col min="7" max="7" width="9" style="1065"/>
    <col min="8" max="8" width="9" style="1062"/>
    <col min="9" max="9" width="9" style="1065"/>
    <col min="10" max="16384" width="9" style="1062"/>
  </cols>
  <sheetData>
    <row r="1" spans="1:20">
      <c r="A1" s="3450" t="s">
        <v>1039</v>
      </c>
      <c r="B1" s="3450"/>
      <c r="C1" s="3450"/>
      <c r="D1" s="3450"/>
      <c r="E1" s="3450"/>
      <c r="F1" s="345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51" t="s">
        <v>1052</v>
      </c>
      <c r="B2" s="3451"/>
      <c r="C2" s="3451"/>
      <c r="D2" s="3451"/>
      <c r="E2" s="3451"/>
      <c r="F2" s="345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865" customWidth="1"/>
    <col min="2" max="2" width="10.1640625" style="1866" customWidth="1"/>
  </cols>
  <sheetData>
    <row r="1" spans="1:6">
      <c r="A1" s="3454" t="s">
        <v>2077</v>
      </c>
      <c r="B1" s="3454"/>
    </row>
    <row r="2" spans="1:6" ht="15" thickBot="1">
      <c r="A2" s="1836"/>
      <c r="B2" s="1836"/>
    </row>
    <row r="3" spans="1:6" ht="15" thickBot="1">
      <c r="A3" s="1836"/>
      <c r="B3" s="1836"/>
      <c r="C3" s="1837" t="s">
        <v>2078</v>
      </c>
      <c r="D3" s="1837" t="s">
        <v>2079</v>
      </c>
      <c r="E3" s="1837" t="s">
        <v>2080</v>
      </c>
      <c r="F3" s="1837" t="s">
        <v>2081</v>
      </c>
    </row>
    <row r="4" spans="1:6" ht="16" thickBot="1">
      <c r="A4" s="1838" t="s">
        <v>2082</v>
      </c>
      <c r="B4" s="1839" t="s">
        <v>2083</v>
      </c>
      <c r="C4" s="1837"/>
      <c r="D4" s="1837"/>
      <c r="E4" s="1837"/>
      <c r="F4" s="1837"/>
    </row>
    <row r="5" spans="1:6" ht="15" thickBot="1">
      <c r="A5" s="1840" t="s">
        <v>2084</v>
      </c>
      <c r="B5" s="1841" t="s">
        <v>2085</v>
      </c>
      <c r="C5" s="1842">
        <v>8.8999999999999996E-2</v>
      </c>
      <c r="D5" s="1842">
        <v>7.3999999999999996E-2</v>
      </c>
      <c r="E5" s="1842">
        <v>7.4999999999999997E-2</v>
      </c>
      <c r="F5" s="1843">
        <v>0.1</v>
      </c>
    </row>
    <row r="6" spans="1:6" ht="15" thickBot="1">
      <c r="A6" s="1840" t="s">
        <v>1096</v>
      </c>
      <c r="B6" s="1844" t="s">
        <v>2086</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2087</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2088</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2089</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2090</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15" thickBot="1">
      <c r="A72" s="1840" t="s">
        <v>925</v>
      </c>
      <c r="B72" s="1844" t="s">
        <v>2091</v>
      </c>
      <c r="C72" s="1854"/>
      <c r="D72" s="1854"/>
      <c r="E72" s="1854"/>
      <c r="F72" s="1846">
        <v>0.05</v>
      </c>
    </row>
    <row r="73" spans="1:6" ht="15" thickBot="1">
      <c r="A73" s="1840" t="s">
        <v>925</v>
      </c>
      <c r="B73" s="1844" t="s">
        <v>2092</v>
      </c>
      <c r="C73" s="1854"/>
      <c r="D73" s="1854"/>
      <c r="E73" s="1854"/>
      <c r="F73" s="1846">
        <v>0.05</v>
      </c>
    </row>
    <row r="74" spans="1:6" ht="15" thickBot="1">
      <c r="A74" s="1840" t="s">
        <v>925</v>
      </c>
      <c r="B74" s="1844" t="s">
        <v>2093</v>
      </c>
      <c r="C74" s="1854"/>
      <c r="D74" s="1854"/>
      <c r="E74" s="1854"/>
      <c r="F74" s="1846">
        <v>0.05</v>
      </c>
    </row>
    <row r="75" spans="1:6" ht="15" thickBot="1">
      <c r="A75" s="1848" t="s">
        <v>925</v>
      </c>
      <c r="B75" s="1855" t="s">
        <v>2094</v>
      </c>
      <c r="C75" s="1851"/>
      <c r="D75" s="1851"/>
      <c r="E75" s="1851"/>
      <c r="F75" s="1856">
        <v>0.05</v>
      </c>
    </row>
    <row r="76" spans="1:6" ht="15" thickBot="1">
      <c r="A76" s="1840" t="s">
        <v>1407</v>
      </c>
      <c r="B76" s="1841" t="s">
        <v>2095</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15" thickBot="1">
      <c r="A102" s="1840" t="s">
        <v>1407</v>
      </c>
      <c r="B102" s="1844" t="s">
        <v>2096</v>
      </c>
      <c r="C102" s="1854"/>
      <c r="D102" s="1854"/>
      <c r="E102" s="1854"/>
      <c r="F102" s="1846">
        <v>0.05</v>
      </c>
    </row>
    <row r="103" spans="1:6" ht="29" thickBot="1">
      <c r="A103" s="1840" t="s">
        <v>1407</v>
      </c>
      <c r="B103" s="1844" t="s">
        <v>2097</v>
      </c>
      <c r="C103" s="1854"/>
      <c r="D103" s="1854"/>
      <c r="E103" s="1854"/>
      <c r="F103" s="1846">
        <v>0.05</v>
      </c>
    </row>
    <row r="104" spans="1:6" ht="15" thickBot="1">
      <c r="A104" s="1840" t="s">
        <v>1407</v>
      </c>
      <c r="B104" s="1844" t="s">
        <v>2098</v>
      </c>
      <c r="C104" s="1854"/>
      <c r="D104" s="1854"/>
      <c r="E104" s="1854"/>
      <c r="F104" s="1846">
        <v>0.05</v>
      </c>
    </row>
    <row r="105" spans="1:6" ht="16" thickBot="1">
      <c r="A105" s="1840" t="s">
        <v>1407</v>
      </c>
      <c r="B105" s="1844" t="s">
        <v>2099</v>
      </c>
      <c r="C105" s="1854"/>
      <c r="D105" s="1854"/>
      <c r="E105" s="1854"/>
      <c r="F105" s="1846">
        <v>0.05</v>
      </c>
    </row>
    <row r="106" spans="1:6" ht="16" thickBot="1">
      <c r="A106" s="1840" t="s">
        <v>1407</v>
      </c>
      <c r="B106" s="1844" t="s">
        <v>2100</v>
      </c>
      <c r="C106" s="1854"/>
      <c r="D106" s="1854"/>
      <c r="E106" s="1854"/>
      <c r="F106" s="1846">
        <v>0.05</v>
      </c>
    </row>
    <row r="107" spans="1:6" ht="29" thickBot="1">
      <c r="A107" s="1840" t="s">
        <v>1407</v>
      </c>
      <c r="B107" s="1844" t="s">
        <v>2101</v>
      </c>
      <c r="C107" s="1854"/>
      <c r="D107" s="1854"/>
      <c r="E107" s="1854"/>
      <c r="F107" s="1846">
        <v>0.05</v>
      </c>
    </row>
    <row r="108" spans="1:6" ht="30" thickBot="1">
      <c r="A108" s="1840" t="s">
        <v>1407</v>
      </c>
      <c r="B108" s="1844" t="s">
        <v>2102</v>
      </c>
      <c r="C108" s="1854"/>
      <c r="D108" s="1854"/>
      <c r="E108" s="1854"/>
      <c r="F108" s="1846">
        <v>0.05</v>
      </c>
    </row>
    <row r="109" spans="1:6" ht="30" thickBot="1">
      <c r="A109" s="1848" t="s">
        <v>1407</v>
      </c>
      <c r="B109" s="1855" t="s">
        <v>2103</v>
      </c>
      <c r="C109" s="1851"/>
      <c r="D109" s="1851"/>
      <c r="E109" s="1851"/>
      <c r="F109" s="1856">
        <v>0.05</v>
      </c>
    </row>
    <row r="110" spans="1:6" ht="15" thickBot="1">
      <c r="A110" s="1840" t="s">
        <v>1409</v>
      </c>
      <c r="B110" s="1841" t="s">
        <v>2104</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2105</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2106</v>
      </c>
      <c r="C138" s="1845">
        <v>0.105</v>
      </c>
      <c r="D138" s="1845">
        <v>0.125</v>
      </c>
      <c r="E138" s="1845">
        <v>0.112</v>
      </c>
      <c r="F138" s="1853"/>
    </row>
    <row r="139" spans="1:6" ht="15" thickBot="1">
      <c r="A139" s="1840" t="s">
        <v>1409</v>
      </c>
      <c r="B139" s="1844" t="s">
        <v>2107</v>
      </c>
      <c r="C139" s="1845">
        <v>0.127</v>
      </c>
      <c r="D139" s="1845">
        <v>0.127</v>
      </c>
      <c r="E139" s="1845">
        <v>0.122</v>
      </c>
      <c r="F139" s="1846">
        <v>0.13</v>
      </c>
    </row>
    <row r="140" spans="1:6" ht="15" thickBot="1">
      <c r="A140" s="1840" t="s">
        <v>1409</v>
      </c>
      <c r="B140" s="1844" t="s">
        <v>2108</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2109</v>
      </c>
      <c r="C144" s="1858">
        <v>0.126</v>
      </c>
      <c r="D144" s="1858">
        <v>0.126</v>
      </c>
      <c r="E144" s="1858">
        <v>0.121</v>
      </c>
      <c r="F144" s="1853"/>
    </row>
    <row r="145" spans="1:6" ht="15" thickBot="1">
      <c r="A145" s="1848" t="s">
        <v>1409</v>
      </c>
      <c r="B145" s="1859" t="s">
        <v>2110</v>
      </c>
      <c r="C145" s="1860"/>
      <c r="D145" s="1860"/>
      <c r="E145" s="1860"/>
      <c r="F145" s="1861">
        <v>0.05</v>
      </c>
    </row>
    <row r="146" spans="1:6" ht="29" thickBot="1">
      <c r="A146" s="1862" t="s">
        <v>1409</v>
      </c>
      <c r="B146" s="1847" t="s">
        <v>2111</v>
      </c>
      <c r="C146" s="1854"/>
      <c r="D146" s="1854"/>
      <c r="E146" s="1854"/>
      <c r="F146" s="1863">
        <v>0.05</v>
      </c>
    </row>
    <row r="147" spans="1:6" ht="30" thickBot="1">
      <c r="A147" s="1840" t="s">
        <v>1409</v>
      </c>
      <c r="B147" s="1844" t="s">
        <v>2112</v>
      </c>
      <c r="C147" s="1854"/>
      <c r="D147" s="1854"/>
      <c r="E147" s="1854"/>
      <c r="F147" s="1846">
        <v>0.05</v>
      </c>
    </row>
    <row r="148" spans="1:6" ht="30" thickBot="1">
      <c r="A148" s="1840" t="s">
        <v>1409</v>
      </c>
      <c r="B148" s="1844" t="s">
        <v>2113</v>
      </c>
      <c r="C148" s="1854"/>
      <c r="D148" s="1854"/>
      <c r="E148" s="1854"/>
      <c r="F148" s="1846">
        <v>0.05</v>
      </c>
    </row>
    <row r="149" spans="1:6" ht="30" thickBot="1">
      <c r="A149" s="1840" t="s">
        <v>1409</v>
      </c>
      <c r="B149" s="1844" t="s">
        <v>2114</v>
      </c>
      <c r="C149" s="1854"/>
      <c r="D149" s="1854"/>
      <c r="E149" s="1854"/>
      <c r="F149" s="1846">
        <v>0.05</v>
      </c>
    </row>
    <row r="150" spans="1:6" ht="29" thickBot="1">
      <c r="A150" s="1840" t="s">
        <v>1409</v>
      </c>
      <c r="B150" s="1844" t="s">
        <v>2115</v>
      </c>
      <c r="C150" s="1854"/>
      <c r="D150" s="1854"/>
      <c r="E150" s="1854"/>
      <c r="F150" s="1846">
        <v>0.05</v>
      </c>
    </row>
    <row r="151" spans="1:6" ht="29" thickBot="1">
      <c r="A151" s="1840" t="s">
        <v>1409</v>
      </c>
      <c r="B151" s="1844" t="s">
        <v>2116</v>
      </c>
      <c r="C151" s="1854"/>
      <c r="D151" s="1854"/>
      <c r="E151" s="1854"/>
      <c r="F151" s="1846">
        <v>0.05</v>
      </c>
    </row>
    <row r="152" spans="1:6" ht="29" thickBot="1">
      <c r="A152" s="1840" t="s">
        <v>1409</v>
      </c>
      <c r="B152" s="1844" t="s">
        <v>1391</v>
      </c>
      <c r="C152" s="1854"/>
      <c r="D152" s="1854"/>
      <c r="E152" s="1854"/>
      <c r="F152" s="1846">
        <v>0.05</v>
      </c>
    </row>
    <row r="153" spans="1:6" ht="15" thickBot="1">
      <c r="A153" s="1840" t="s">
        <v>1409</v>
      </c>
      <c r="B153" s="1844" t="s">
        <v>2117</v>
      </c>
      <c r="C153" s="1854"/>
      <c r="D153" s="1854"/>
      <c r="E153" s="1854"/>
      <c r="F153" s="1846">
        <v>0.05</v>
      </c>
    </row>
    <row r="154" spans="1:6" ht="15" thickBot="1">
      <c r="A154" s="1840" t="s">
        <v>1409</v>
      </c>
      <c r="B154" s="1844" t="s">
        <v>2118</v>
      </c>
      <c r="C154" s="1854"/>
      <c r="D154" s="1854"/>
      <c r="E154" s="1854"/>
      <c r="F154" s="1846">
        <v>0.05</v>
      </c>
    </row>
    <row r="155" spans="1:6" ht="29" thickBot="1">
      <c r="A155" s="1840" t="s">
        <v>1409</v>
      </c>
      <c r="B155" s="1844" t="s">
        <v>2119</v>
      </c>
      <c r="C155" s="1854"/>
      <c r="D155" s="1854"/>
      <c r="E155" s="1854"/>
      <c r="F155" s="1846">
        <v>0.05</v>
      </c>
    </row>
    <row r="156" spans="1:6" ht="29" thickBot="1">
      <c r="A156" s="1840" t="s">
        <v>1409</v>
      </c>
      <c r="B156" s="1844" t="s">
        <v>2120</v>
      </c>
      <c r="C156" s="1854"/>
      <c r="D156" s="1854"/>
      <c r="E156" s="1854"/>
      <c r="F156" s="1846">
        <v>0.05</v>
      </c>
    </row>
    <row r="157" spans="1:6" ht="15" thickBot="1">
      <c r="A157" s="1848" t="s">
        <v>1409</v>
      </c>
      <c r="B157" s="1855" t="s">
        <v>2121</v>
      </c>
      <c r="C157" s="1851"/>
      <c r="D157" s="1851"/>
      <c r="E157" s="1851"/>
      <c r="F157" s="1856">
        <v>0.05</v>
      </c>
    </row>
    <row r="158" spans="1:6" ht="15" thickBot="1">
      <c r="A158" s="1840" t="s">
        <v>1411</v>
      </c>
      <c r="B158" s="1841" t="s">
        <v>2122</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2123</v>
      </c>
      <c r="C171" s="1845">
        <v>0.127</v>
      </c>
      <c r="D171" s="1845">
        <v>0.126</v>
      </c>
      <c r="E171" s="1845">
        <v>0.126</v>
      </c>
      <c r="F171" s="1846">
        <v>0.11799999999999999</v>
      </c>
    </row>
    <row r="172" spans="1:6" ht="15" thickBot="1">
      <c r="A172" s="1840" t="s">
        <v>1411</v>
      </c>
      <c r="B172" s="1844" t="s">
        <v>2124</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2125</v>
      </c>
      <c r="C174" s="1845">
        <v>0.13</v>
      </c>
      <c r="D174" s="1845">
        <v>0.13</v>
      </c>
      <c r="E174" s="1845">
        <v>0.13</v>
      </c>
      <c r="F174" s="1846">
        <v>0.13</v>
      </c>
    </row>
    <row r="175" spans="1:6" ht="15" thickBot="1">
      <c r="A175" s="1840" t="s">
        <v>1411</v>
      </c>
      <c r="B175" s="1844" t="s">
        <v>2126</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2127</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2128</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2129</v>
      </c>
      <c r="C185" s="1845">
        <v>0.127</v>
      </c>
      <c r="D185" s="1845">
        <v>0.127</v>
      </c>
      <c r="E185" s="1845">
        <v>0.128</v>
      </c>
      <c r="F185" s="1846">
        <v>0.13</v>
      </c>
    </row>
    <row r="186" spans="1:6" ht="29" thickBot="1">
      <c r="A186" s="1840" t="s">
        <v>1411</v>
      </c>
      <c r="B186" s="1844" t="s">
        <v>2130</v>
      </c>
      <c r="C186" s="1854"/>
      <c r="D186" s="1854"/>
      <c r="E186" s="1854"/>
      <c r="F186" s="1846">
        <v>0.05</v>
      </c>
    </row>
    <row r="187" spans="1:6" ht="15" thickBot="1">
      <c r="A187" s="1840" t="s">
        <v>1411</v>
      </c>
      <c r="B187" s="1844" t="s">
        <v>2131</v>
      </c>
      <c r="C187" s="1854"/>
      <c r="D187" s="1854"/>
      <c r="E187" s="1854"/>
      <c r="F187" s="1846">
        <v>0.05</v>
      </c>
    </row>
    <row r="188" spans="1:6" ht="29" thickBot="1">
      <c r="A188" s="1840" t="s">
        <v>1411</v>
      </c>
      <c r="B188" s="1844" t="s">
        <v>2132</v>
      </c>
      <c r="C188" s="1854"/>
      <c r="D188" s="1854"/>
      <c r="E188" s="1854"/>
      <c r="F188" s="1846">
        <v>0.05</v>
      </c>
    </row>
    <row r="189" spans="1:6" ht="29" thickBot="1">
      <c r="A189" s="1840" t="s">
        <v>1411</v>
      </c>
      <c r="B189" s="1844" t="s">
        <v>2133</v>
      </c>
      <c r="C189" s="1854"/>
      <c r="D189" s="1854"/>
      <c r="E189" s="1854"/>
      <c r="F189" s="1846">
        <v>0.05</v>
      </c>
    </row>
    <row r="190" spans="1:6" ht="30" thickBot="1">
      <c r="A190" s="1840" t="s">
        <v>1411</v>
      </c>
      <c r="B190" s="1844" t="s">
        <v>2134</v>
      </c>
      <c r="C190" s="1854"/>
      <c r="D190" s="1854"/>
      <c r="E190" s="1854"/>
      <c r="F190" s="1846">
        <v>0.05</v>
      </c>
    </row>
    <row r="191" spans="1:6" ht="30" thickBot="1">
      <c r="A191" s="1840" t="s">
        <v>1411</v>
      </c>
      <c r="B191" s="1844" t="s">
        <v>2135</v>
      </c>
      <c r="C191" s="1854"/>
      <c r="D191" s="1854"/>
      <c r="E191" s="1854"/>
      <c r="F191" s="1846">
        <v>0.05</v>
      </c>
    </row>
    <row r="192" spans="1:6" ht="30" thickBot="1">
      <c r="A192" s="1840" t="s">
        <v>1411</v>
      </c>
      <c r="B192" s="1844" t="s">
        <v>2136</v>
      </c>
      <c r="C192" s="1854"/>
      <c r="D192" s="1854"/>
      <c r="E192" s="1854"/>
      <c r="F192" s="1846">
        <v>0.05</v>
      </c>
    </row>
    <row r="193" spans="1:6" ht="30" thickBot="1">
      <c r="A193" s="1840" t="s">
        <v>1411</v>
      </c>
      <c r="B193" s="1844" t="s">
        <v>2137</v>
      </c>
      <c r="C193" s="1854"/>
      <c r="D193" s="1854"/>
      <c r="E193" s="1854"/>
      <c r="F193" s="1846">
        <v>0.05</v>
      </c>
    </row>
    <row r="194" spans="1:6" ht="29" thickBot="1">
      <c r="A194" s="1840" t="s">
        <v>1411</v>
      </c>
      <c r="B194" s="1844" t="s">
        <v>2138</v>
      </c>
      <c r="C194" s="1854"/>
      <c r="D194" s="1854"/>
      <c r="E194" s="1854"/>
      <c r="F194" s="1846">
        <v>0.05</v>
      </c>
    </row>
    <row r="195" spans="1:6" ht="15" thickBot="1">
      <c r="A195" s="1840" t="s">
        <v>1411</v>
      </c>
      <c r="B195" s="1844" t="s">
        <v>2139</v>
      </c>
      <c r="C195" s="1854"/>
      <c r="D195" s="1854"/>
      <c r="E195" s="1854"/>
      <c r="F195" s="1846">
        <v>0.05</v>
      </c>
    </row>
    <row r="196" spans="1:6" ht="29" thickBot="1">
      <c r="A196" s="1840" t="s">
        <v>1411</v>
      </c>
      <c r="B196" s="1844" t="s">
        <v>2140</v>
      </c>
      <c r="C196" s="1854"/>
      <c r="D196" s="1854"/>
      <c r="E196" s="1854"/>
      <c r="F196" s="1846">
        <v>0.05</v>
      </c>
    </row>
    <row r="197" spans="1:6" ht="29" thickBot="1">
      <c r="A197" s="1840" t="s">
        <v>1411</v>
      </c>
      <c r="B197" s="1844" t="s">
        <v>2141</v>
      </c>
      <c r="C197" s="1854"/>
      <c r="D197" s="1854"/>
      <c r="E197" s="1854"/>
      <c r="F197" s="1846">
        <v>0.05</v>
      </c>
    </row>
    <row r="198" spans="1:6" ht="29" thickBot="1">
      <c r="A198" s="1840" t="s">
        <v>1411</v>
      </c>
      <c r="B198" s="1844" t="s">
        <v>2142</v>
      </c>
      <c r="C198" s="1854"/>
      <c r="D198" s="1854"/>
      <c r="E198" s="1854"/>
      <c r="F198" s="1846">
        <v>0.05</v>
      </c>
    </row>
    <row r="199" spans="1:6" ht="30" thickBot="1">
      <c r="A199" s="1840" t="s">
        <v>1411</v>
      </c>
      <c r="B199" s="1844" t="s">
        <v>2143</v>
      </c>
      <c r="C199" s="1854"/>
      <c r="D199" s="1854"/>
      <c r="E199" s="1854"/>
      <c r="F199" s="1846">
        <v>0.05</v>
      </c>
    </row>
    <row r="200" spans="1:6" ht="30" thickBot="1">
      <c r="A200" s="1840" t="s">
        <v>1411</v>
      </c>
      <c r="B200" s="1844" t="s">
        <v>2144</v>
      </c>
      <c r="C200" s="1854"/>
      <c r="D200" s="1854"/>
      <c r="E200" s="1854"/>
      <c r="F200" s="1846">
        <v>0.05</v>
      </c>
    </row>
    <row r="201" spans="1:6" ht="30" thickBot="1">
      <c r="A201" s="1840" t="s">
        <v>1411</v>
      </c>
      <c r="B201" s="1844" t="s">
        <v>2145</v>
      </c>
      <c r="C201" s="1854"/>
      <c r="D201" s="1854"/>
      <c r="E201" s="1854"/>
      <c r="F201" s="1846">
        <v>0.05</v>
      </c>
    </row>
    <row r="202" spans="1:6" ht="30" thickBot="1">
      <c r="A202" s="1840" t="s">
        <v>1411</v>
      </c>
      <c r="B202" s="1844" t="s">
        <v>2146</v>
      </c>
      <c r="C202" s="1854"/>
      <c r="D202" s="1854"/>
      <c r="E202" s="1854"/>
      <c r="F202" s="1846">
        <v>0.05</v>
      </c>
    </row>
    <row r="203" spans="1:6" ht="30" thickBot="1">
      <c r="A203" s="1840" t="s">
        <v>1411</v>
      </c>
      <c r="B203" s="1844" t="s">
        <v>2147</v>
      </c>
      <c r="C203" s="1854"/>
      <c r="D203" s="1854"/>
      <c r="E203" s="1854"/>
      <c r="F203" s="1846">
        <v>0.05</v>
      </c>
    </row>
    <row r="204" spans="1:6" ht="15" thickBot="1">
      <c r="A204" s="1840" t="s">
        <v>1411</v>
      </c>
      <c r="B204" s="1844" t="s">
        <v>2148</v>
      </c>
      <c r="C204" s="1854"/>
      <c r="D204" s="1854"/>
      <c r="E204" s="1854"/>
      <c r="F204" s="1846">
        <v>0.05</v>
      </c>
    </row>
    <row r="205" spans="1:6" ht="15" thickBot="1">
      <c r="A205" s="1848" t="s">
        <v>1411</v>
      </c>
      <c r="B205" s="1855" t="s">
        <v>2149</v>
      </c>
      <c r="C205" s="1851"/>
      <c r="D205" s="1851"/>
      <c r="E205" s="1851"/>
      <c r="F205" s="1856">
        <v>0.05</v>
      </c>
    </row>
    <row r="206" spans="1:6" ht="15" thickBot="1">
      <c r="A206" s="1840" t="s">
        <v>1413</v>
      </c>
      <c r="B206" s="1841" t="s">
        <v>2150</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2151</v>
      </c>
      <c r="C210" s="1845">
        <v>0.15</v>
      </c>
      <c r="D210" s="1845">
        <v>0.15</v>
      </c>
      <c r="E210" s="1845">
        <v>0.15</v>
      </c>
      <c r="F210" s="1846">
        <v>0.13800000000000001</v>
      </c>
    </row>
    <row r="211" spans="1:6" ht="15" thickBot="1">
      <c r="A211" s="1840" t="s">
        <v>1413</v>
      </c>
      <c r="B211" s="1844" t="s">
        <v>2152</v>
      </c>
      <c r="C211" s="1845">
        <v>0.13700000000000001</v>
      </c>
      <c r="D211" s="1845">
        <v>0.13500000000000001</v>
      </c>
      <c r="E211" s="1845">
        <v>0.13600000000000001</v>
      </c>
      <c r="F211" s="1846">
        <v>0.1</v>
      </c>
    </row>
    <row r="212" spans="1:6" ht="15" thickBot="1">
      <c r="A212" s="1840" t="s">
        <v>1413</v>
      </c>
      <c r="B212" s="1844" t="s">
        <v>2153</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2154</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2155</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2156</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2157</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2158</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2159</v>
      </c>
      <c r="C231" s="1845">
        <v>0.128</v>
      </c>
      <c r="D231" s="1845">
        <v>0.125</v>
      </c>
      <c r="E231" s="1845">
        <v>0.13200000000000001</v>
      </c>
      <c r="F231" s="1853"/>
    </row>
    <row r="232" spans="1:6" ht="15" thickBot="1">
      <c r="A232" s="1840" t="s">
        <v>1413</v>
      </c>
      <c r="B232" s="1844" t="s">
        <v>2160</v>
      </c>
      <c r="C232" s="1845">
        <v>0.14499999999999999</v>
      </c>
      <c r="D232" s="1845">
        <v>0.14399999999999999</v>
      </c>
      <c r="E232" s="1845">
        <v>0.14599999999999999</v>
      </c>
      <c r="F232" s="1846">
        <v>0.13800000000000001</v>
      </c>
    </row>
    <row r="233" spans="1:6" ht="15" thickBot="1">
      <c r="A233" s="1840" t="s">
        <v>1413</v>
      </c>
      <c r="B233" s="1844" t="s">
        <v>2161</v>
      </c>
      <c r="C233" s="1845">
        <v>0.14499999999999999</v>
      </c>
      <c r="D233" s="1845">
        <v>0.14299999999999999</v>
      </c>
      <c r="E233" s="1845">
        <v>0.14199999999999999</v>
      </c>
      <c r="F233" s="1853"/>
    </row>
    <row r="234" spans="1:6" ht="15" thickBot="1">
      <c r="A234" s="1840" t="s">
        <v>1413</v>
      </c>
      <c r="B234" s="1844" t="s">
        <v>2162</v>
      </c>
      <c r="C234" s="1845">
        <v>0.14000000000000001</v>
      </c>
      <c r="D234" s="1845">
        <v>0.14000000000000001</v>
      </c>
      <c r="E234" s="1845">
        <v>0.14399999999999999</v>
      </c>
      <c r="F234" s="1853"/>
    </row>
    <row r="235" spans="1:6" ht="15" thickBot="1">
      <c r="A235" s="1840" t="s">
        <v>1413</v>
      </c>
      <c r="B235" s="1844" t="s">
        <v>2163</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9" thickBot="1">
      <c r="A237" s="1840" t="s">
        <v>1413</v>
      </c>
      <c r="B237" s="1844" t="s">
        <v>2164</v>
      </c>
      <c r="C237" s="1854"/>
      <c r="D237" s="1854"/>
      <c r="E237" s="1854"/>
      <c r="F237" s="1846">
        <v>0.05</v>
      </c>
    </row>
    <row r="238" spans="1:6" ht="29" thickBot="1">
      <c r="A238" s="1840" t="s">
        <v>1413</v>
      </c>
      <c r="B238" s="1844" t="s">
        <v>2165</v>
      </c>
      <c r="C238" s="1854"/>
      <c r="D238" s="1854"/>
      <c r="E238" s="1854"/>
      <c r="F238" s="1846">
        <v>0.05</v>
      </c>
    </row>
    <row r="239" spans="1:6" ht="29" thickBot="1">
      <c r="A239" s="1840" t="s">
        <v>1413</v>
      </c>
      <c r="B239" s="1844" t="s">
        <v>2166</v>
      </c>
      <c r="C239" s="1854"/>
      <c r="D239" s="1854"/>
      <c r="E239" s="1854"/>
      <c r="F239" s="1846">
        <v>0.05</v>
      </c>
    </row>
    <row r="240" spans="1:6" ht="29" thickBot="1">
      <c r="A240" s="1840" t="s">
        <v>1413</v>
      </c>
      <c r="B240" s="1844" t="s">
        <v>2167</v>
      </c>
      <c r="C240" s="1854"/>
      <c r="D240" s="1854"/>
      <c r="E240" s="1854"/>
      <c r="F240" s="1846">
        <v>0.05</v>
      </c>
    </row>
    <row r="241" spans="1:6" ht="29" thickBot="1">
      <c r="A241" s="1840" t="s">
        <v>1413</v>
      </c>
      <c r="B241" s="1844" t="s">
        <v>2168</v>
      </c>
      <c r="C241" s="1854"/>
      <c r="D241" s="1854"/>
      <c r="E241" s="1854"/>
      <c r="F241" s="1846">
        <v>0.05</v>
      </c>
    </row>
    <row r="242" spans="1:6" ht="29" thickBot="1">
      <c r="A242" s="1840" t="s">
        <v>1413</v>
      </c>
      <c r="B242" s="1844" t="s">
        <v>2169</v>
      </c>
      <c r="C242" s="1854"/>
      <c r="D242" s="1854"/>
      <c r="E242" s="1854"/>
      <c r="F242" s="1846">
        <v>0.05</v>
      </c>
    </row>
    <row r="243" spans="1:6" ht="29" thickBot="1">
      <c r="A243" s="1840" t="s">
        <v>1413</v>
      </c>
      <c r="B243" s="1844" t="s">
        <v>2170</v>
      </c>
      <c r="C243" s="1854"/>
      <c r="D243" s="1854"/>
      <c r="E243" s="1854"/>
      <c r="F243" s="1846">
        <v>0.05</v>
      </c>
    </row>
    <row r="244" spans="1:6" ht="29" thickBot="1">
      <c r="A244" s="1848" t="s">
        <v>1413</v>
      </c>
      <c r="B244" s="1855" t="s">
        <v>2171</v>
      </c>
      <c r="C244" s="1851"/>
      <c r="D244" s="1851"/>
      <c r="E244" s="1851"/>
      <c r="F244" s="1856">
        <v>0.05</v>
      </c>
    </row>
    <row r="245" spans="1:6" ht="15" thickBot="1">
      <c r="A245" s="1840" t="s">
        <v>1415</v>
      </c>
      <c r="B245" s="1841" t="s">
        <v>2172</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2173</v>
      </c>
      <c r="C247" s="1845">
        <v>0.15</v>
      </c>
      <c r="D247" s="1845">
        <v>0.15</v>
      </c>
      <c r="E247" s="1845">
        <v>0.15</v>
      </c>
      <c r="F247" s="1846">
        <v>0.15</v>
      </c>
    </row>
    <row r="248" spans="1:6" ht="15" thickBot="1">
      <c r="A248" s="1840" t="s">
        <v>1415</v>
      </c>
      <c r="B248" s="1844" t="s">
        <v>2174</v>
      </c>
      <c r="C248" s="1845">
        <v>0.15</v>
      </c>
      <c r="D248" s="1845">
        <v>0.15</v>
      </c>
      <c r="E248" s="1845">
        <v>0.15</v>
      </c>
      <c r="F248" s="1846">
        <v>0.14000000000000001</v>
      </c>
    </row>
    <row r="249" spans="1:6" ht="15" thickBot="1">
      <c r="A249" s="1840" t="s">
        <v>1415</v>
      </c>
      <c r="B249" s="1844" t="s">
        <v>2175</v>
      </c>
      <c r="C249" s="1845">
        <v>0.15</v>
      </c>
      <c r="D249" s="1845">
        <v>0.14899999999999999</v>
      </c>
      <c r="E249" s="1845">
        <v>0.15</v>
      </c>
      <c r="F249" s="1846">
        <v>0.1</v>
      </c>
    </row>
    <row r="250" spans="1:6" ht="15" thickBot="1">
      <c r="A250" s="1840" t="s">
        <v>1415</v>
      </c>
      <c r="B250" s="1844" t="s">
        <v>2176</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2177</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2178</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2179</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2180</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2181</v>
      </c>
      <c r="C273" s="1845">
        <v>0.14199999999999999</v>
      </c>
      <c r="D273" s="1845">
        <v>0.14299999999999999</v>
      </c>
      <c r="E273" s="1845">
        <v>0.15</v>
      </c>
      <c r="F273" s="1846">
        <v>0.1</v>
      </c>
    </row>
    <row r="274" spans="1:6" ht="15" thickBot="1">
      <c r="A274" s="1840" t="s">
        <v>1415</v>
      </c>
      <c r="B274" s="1844" t="s">
        <v>2182</v>
      </c>
      <c r="C274" s="1845">
        <v>0.14799999999999999</v>
      </c>
      <c r="D274" s="1845">
        <v>0.14799999999999999</v>
      </c>
      <c r="E274" s="1845">
        <v>0.15</v>
      </c>
      <c r="F274" s="1846">
        <v>6.7000000000000004E-2</v>
      </c>
    </row>
    <row r="275" spans="1:6" ht="15" thickBot="1">
      <c r="A275" s="1840" t="s">
        <v>1415</v>
      </c>
      <c r="B275" s="1844" t="s">
        <v>2183</v>
      </c>
      <c r="C275" s="1845">
        <v>0.15</v>
      </c>
      <c r="D275" s="1845">
        <v>0.15</v>
      </c>
      <c r="E275" s="1845">
        <v>0.15</v>
      </c>
      <c r="F275" s="1846">
        <v>0.15</v>
      </c>
    </row>
    <row r="276" spans="1:6" ht="15" thickBot="1">
      <c r="A276" s="1840" t="s">
        <v>1415</v>
      </c>
      <c r="B276" s="1844" t="s">
        <v>2184</v>
      </c>
      <c r="C276" s="1845">
        <v>0.14499999999999999</v>
      </c>
      <c r="D276" s="1845">
        <v>0.14299999999999999</v>
      </c>
      <c r="E276" s="1845">
        <v>0.15</v>
      </c>
      <c r="F276" s="1846">
        <v>5.8999999999999997E-2</v>
      </c>
    </row>
    <row r="277" spans="1:6" ht="15" thickBot="1">
      <c r="A277" s="1840" t="s">
        <v>1415</v>
      </c>
      <c r="B277" s="1844" t="s">
        <v>2185</v>
      </c>
      <c r="C277" s="1845">
        <v>0.15</v>
      </c>
      <c r="D277" s="1845">
        <v>0.15</v>
      </c>
      <c r="E277" s="1845">
        <v>0.15</v>
      </c>
      <c r="F277" s="1846">
        <v>0.121</v>
      </c>
    </row>
    <row r="278" spans="1:6" ht="15" thickBot="1">
      <c r="A278" s="1840" t="s">
        <v>1415</v>
      </c>
      <c r="B278" s="1844" t="s">
        <v>2186</v>
      </c>
      <c r="C278" s="1845">
        <v>0.15</v>
      </c>
      <c r="D278" s="1845">
        <v>0.15</v>
      </c>
      <c r="E278" s="1845">
        <v>0.15</v>
      </c>
      <c r="F278" s="1846">
        <v>0.13800000000000001</v>
      </c>
    </row>
    <row r="279" spans="1:6" ht="29" thickBot="1">
      <c r="A279" s="1840" t="s">
        <v>1415</v>
      </c>
      <c r="B279" s="1844" t="s">
        <v>2187</v>
      </c>
      <c r="C279" s="1854"/>
      <c r="D279" s="1854"/>
      <c r="E279" s="1854"/>
      <c r="F279" s="1846">
        <v>0.05</v>
      </c>
    </row>
    <row r="280" spans="1:6" ht="29" thickBot="1">
      <c r="A280" s="1840" t="s">
        <v>1415</v>
      </c>
      <c r="B280" s="1844" t="s">
        <v>2188</v>
      </c>
      <c r="C280" s="1854"/>
      <c r="D280" s="1854"/>
      <c r="E280" s="1854"/>
      <c r="F280" s="1846">
        <v>0.05</v>
      </c>
    </row>
    <row r="281" spans="1:6" ht="29" thickBot="1">
      <c r="A281" s="1840" t="s">
        <v>1415</v>
      </c>
      <c r="B281" s="1844" t="s">
        <v>2189</v>
      </c>
      <c r="C281" s="1854"/>
      <c r="D281" s="1854"/>
      <c r="E281" s="1854"/>
      <c r="F281" s="1846">
        <v>0.05</v>
      </c>
    </row>
    <row r="282" spans="1:6" ht="29" thickBot="1">
      <c r="A282" s="1840" t="s">
        <v>1415</v>
      </c>
      <c r="B282" s="1844" t="s">
        <v>2190</v>
      </c>
      <c r="C282" s="1854"/>
      <c r="D282" s="1854"/>
      <c r="E282" s="1854"/>
      <c r="F282" s="1846">
        <v>0.05</v>
      </c>
    </row>
    <row r="283" spans="1:6" ht="29" thickBot="1">
      <c r="A283" s="1840" t="s">
        <v>1415</v>
      </c>
      <c r="B283" s="1844" t="s">
        <v>2191</v>
      </c>
      <c r="C283" s="1854"/>
      <c r="D283" s="1854"/>
      <c r="E283" s="1854"/>
      <c r="F283" s="1846">
        <v>0.05</v>
      </c>
    </row>
    <row r="284" spans="1:6" ht="29" thickBot="1">
      <c r="A284" s="1840" t="s">
        <v>1415</v>
      </c>
      <c r="B284" s="1844" t="s">
        <v>2192</v>
      </c>
      <c r="C284" s="1854"/>
      <c r="D284" s="1854"/>
      <c r="E284" s="1854"/>
      <c r="F284" s="1846">
        <v>0.05</v>
      </c>
    </row>
    <row r="285" spans="1:6" ht="29" thickBot="1">
      <c r="A285" s="1840" t="s">
        <v>1415</v>
      </c>
      <c r="B285" s="1844" t="s">
        <v>2193</v>
      </c>
      <c r="C285" s="1854"/>
      <c r="D285" s="1854"/>
      <c r="E285" s="1854"/>
      <c r="F285" s="1846">
        <v>0.05</v>
      </c>
    </row>
    <row r="286" spans="1:6" ht="29" thickBot="1">
      <c r="A286" s="1840" t="s">
        <v>1415</v>
      </c>
      <c r="B286" s="1844" t="s">
        <v>2194</v>
      </c>
      <c r="C286" s="1854"/>
      <c r="D286" s="1854"/>
      <c r="E286" s="1854"/>
      <c r="F286" s="1846">
        <v>0.05</v>
      </c>
    </row>
    <row r="287" spans="1:6" ht="29" thickBot="1">
      <c r="A287" s="1840" t="s">
        <v>1415</v>
      </c>
      <c r="B287" s="1844" t="s">
        <v>2195</v>
      </c>
      <c r="C287" s="1854"/>
      <c r="D287" s="1854"/>
      <c r="E287" s="1854"/>
      <c r="F287" s="1846">
        <v>0.05</v>
      </c>
    </row>
    <row r="288" spans="1:6" ht="29" thickBot="1">
      <c r="A288" s="1840" t="s">
        <v>1415</v>
      </c>
      <c r="B288" s="1844" t="s">
        <v>2196</v>
      </c>
      <c r="C288" s="1854"/>
      <c r="D288" s="1854"/>
      <c r="E288" s="1854"/>
      <c r="F288" s="1846">
        <v>0.05</v>
      </c>
    </row>
    <row r="289" spans="1:6" ht="29" thickBot="1">
      <c r="A289" s="1848" t="s">
        <v>1415</v>
      </c>
      <c r="B289" s="1855" t="s">
        <v>2197</v>
      </c>
      <c r="C289" s="1851"/>
      <c r="D289" s="1851"/>
      <c r="E289" s="1851"/>
      <c r="F289" s="1856">
        <v>0.05</v>
      </c>
    </row>
    <row r="290" spans="1:6" ht="15" thickBot="1">
      <c r="A290" s="1840" t="s">
        <v>1419</v>
      </c>
      <c r="B290" s="1841" t="s">
        <v>2198</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2199</v>
      </c>
      <c r="C292" s="1845">
        <v>0.15</v>
      </c>
      <c r="D292" s="1845">
        <v>0.15</v>
      </c>
      <c r="E292" s="1845">
        <v>0.15</v>
      </c>
      <c r="F292" s="1846">
        <v>0.14699999999999999</v>
      </c>
    </row>
    <row r="293" spans="1:6" ht="15" thickBot="1">
      <c r="A293" s="1840" t="s">
        <v>1419</v>
      </c>
      <c r="B293" s="1844" t="s">
        <v>2200</v>
      </c>
      <c r="C293" s="1854"/>
      <c r="D293" s="1854"/>
      <c r="E293" s="1854"/>
      <c r="F293" s="1846">
        <v>0.1</v>
      </c>
    </row>
    <row r="294" spans="1:6" ht="15" thickBot="1">
      <c r="A294" s="1840" t="s">
        <v>1419</v>
      </c>
      <c r="B294" s="1844" t="s">
        <v>2201</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2202</v>
      </c>
      <c r="C296" s="1845">
        <v>0.15</v>
      </c>
      <c r="D296" s="1845">
        <v>0.15</v>
      </c>
      <c r="E296" s="1845">
        <v>0.15</v>
      </c>
      <c r="F296" s="1846">
        <v>0.15</v>
      </c>
    </row>
    <row r="297" spans="1:6" ht="15" thickBot="1">
      <c r="A297" s="1840" t="s">
        <v>1419</v>
      </c>
      <c r="B297" s="1844" t="s">
        <v>2203</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2204</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2205</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2206</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2207</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2208</v>
      </c>
      <c r="C310" s="1845">
        <v>0.15</v>
      </c>
      <c r="D310" s="1845">
        <v>0.15</v>
      </c>
      <c r="E310" s="1845">
        <v>0.15</v>
      </c>
      <c r="F310" s="1846">
        <v>0.13700000000000001</v>
      </c>
    </row>
    <row r="311" spans="1:6" ht="15" thickBot="1">
      <c r="A311" s="1840" t="s">
        <v>1419</v>
      </c>
      <c r="B311" s="1844" t="s">
        <v>2209</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2210</v>
      </c>
      <c r="C313" s="1845">
        <v>0.15</v>
      </c>
      <c r="D313" s="1845">
        <v>0.15</v>
      </c>
      <c r="E313" s="1845">
        <v>0.15</v>
      </c>
      <c r="F313" s="1846">
        <v>0.15</v>
      </c>
    </row>
    <row r="314" spans="1:6" ht="29" thickBot="1">
      <c r="A314" s="1840" t="s">
        <v>1419</v>
      </c>
      <c r="B314" s="1844" t="s">
        <v>2211</v>
      </c>
      <c r="C314" s="1854"/>
      <c r="D314" s="1854"/>
      <c r="E314" s="1854"/>
      <c r="F314" s="1846">
        <v>0.05</v>
      </c>
    </row>
    <row r="315" spans="1:6" ht="29" thickBot="1">
      <c r="A315" s="1840" t="s">
        <v>1419</v>
      </c>
      <c r="B315" s="1844" t="s">
        <v>2212</v>
      </c>
      <c r="C315" s="1854"/>
      <c r="D315" s="1854"/>
      <c r="E315" s="1854"/>
      <c r="F315" s="1846">
        <v>0.05</v>
      </c>
    </row>
    <row r="316" spans="1:6" ht="29" thickBot="1">
      <c r="A316" s="1848" t="s">
        <v>1419</v>
      </c>
      <c r="B316" s="1855" t="s">
        <v>2213</v>
      </c>
      <c r="C316" s="1851"/>
      <c r="D316" s="1851"/>
      <c r="E316" s="1851"/>
      <c r="F316" s="1856">
        <v>0.05</v>
      </c>
    </row>
    <row r="317" spans="1:6" ht="15" thickBot="1">
      <c r="A317" s="1840" t="s">
        <v>2214</v>
      </c>
      <c r="B317" s="1841" t="s">
        <v>2215</v>
      </c>
      <c r="C317" s="1842">
        <v>0.15</v>
      </c>
      <c r="D317" s="1842">
        <v>0.15</v>
      </c>
      <c r="E317" s="1842">
        <v>0.15</v>
      </c>
      <c r="F317" s="1843">
        <v>0.15</v>
      </c>
    </row>
    <row r="318" spans="1:6" ht="15" thickBot="1">
      <c r="A318" s="1840" t="s">
        <v>2214</v>
      </c>
      <c r="B318" s="1844" t="s">
        <v>2216</v>
      </c>
      <c r="C318" s="1845">
        <v>0.107</v>
      </c>
      <c r="D318" s="1845">
        <v>0.11</v>
      </c>
      <c r="E318" s="1845">
        <v>0.112</v>
      </c>
      <c r="F318" s="1853"/>
    </row>
    <row r="319" spans="1:6" ht="15" thickBot="1">
      <c r="A319" s="1840" t="s">
        <v>2214</v>
      </c>
      <c r="B319" s="1844" t="s">
        <v>2217</v>
      </c>
      <c r="C319" s="1845">
        <v>0.15</v>
      </c>
      <c r="D319" s="1845">
        <v>0.15</v>
      </c>
      <c r="E319" s="1845">
        <v>0.15</v>
      </c>
      <c r="F319" s="1846">
        <v>0.15</v>
      </c>
    </row>
    <row r="320" spans="1:6" ht="15" thickBot="1">
      <c r="A320" s="1840" t="s">
        <v>2214</v>
      </c>
      <c r="B320" s="1844" t="s">
        <v>1107</v>
      </c>
      <c r="C320" s="1845">
        <v>0.15</v>
      </c>
      <c r="D320" s="1845">
        <v>0.15</v>
      </c>
      <c r="E320" s="1845">
        <v>0.15</v>
      </c>
      <c r="F320" s="1853"/>
    </row>
    <row r="321" spans="1:6" ht="15" thickBot="1">
      <c r="A321" s="1840" t="s">
        <v>2214</v>
      </c>
      <c r="B321" s="1844" t="s">
        <v>2218</v>
      </c>
      <c r="C321" s="1845">
        <v>0.15</v>
      </c>
      <c r="D321" s="1845">
        <v>0.15</v>
      </c>
      <c r="E321" s="1845">
        <v>0.15</v>
      </c>
      <c r="F321" s="1853"/>
    </row>
    <row r="322" spans="1:6" ht="15" thickBot="1">
      <c r="A322" s="1840" t="s">
        <v>2214</v>
      </c>
      <c r="B322" s="1844" t="s">
        <v>2219</v>
      </c>
      <c r="C322" s="1845">
        <v>0.15</v>
      </c>
      <c r="D322" s="1845">
        <v>0.15</v>
      </c>
      <c r="E322" s="1845">
        <v>0.15</v>
      </c>
      <c r="F322" s="1846">
        <v>0.15</v>
      </c>
    </row>
    <row r="323" spans="1:6" ht="15" thickBot="1">
      <c r="A323" s="1840" t="s">
        <v>2214</v>
      </c>
      <c r="B323" s="1844" t="s">
        <v>2220</v>
      </c>
      <c r="C323" s="1845">
        <v>0.15</v>
      </c>
      <c r="D323" s="1845">
        <v>0.15</v>
      </c>
      <c r="E323" s="1845">
        <v>0.15</v>
      </c>
      <c r="F323" s="1853"/>
    </row>
    <row r="324" spans="1:6" ht="15" thickBot="1">
      <c r="A324" s="1840" t="s">
        <v>2214</v>
      </c>
      <c r="B324" s="1844" t="s">
        <v>2221</v>
      </c>
      <c r="C324" s="1845">
        <v>0.15</v>
      </c>
      <c r="D324" s="1845">
        <v>0.15</v>
      </c>
      <c r="E324" s="1845">
        <v>0.15</v>
      </c>
      <c r="F324" s="1853"/>
    </row>
    <row r="325" spans="1:6" ht="15" thickBot="1">
      <c r="A325" s="1840" t="s">
        <v>2214</v>
      </c>
      <c r="B325" s="1844" t="s">
        <v>2222</v>
      </c>
      <c r="C325" s="1845">
        <v>0.15</v>
      </c>
      <c r="D325" s="1845">
        <v>0.15</v>
      </c>
      <c r="E325" s="1845">
        <v>0.15</v>
      </c>
      <c r="F325" s="1846">
        <v>0.14699999999999999</v>
      </c>
    </row>
    <row r="326" spans="1:6" ht="15" thickBot="1">
      <c r="A326" s="1840" t="s">
        <v>2214</v>
      </c>
      <c r="B326" s="1844" t="s">
        <v>1176</v>
      </c>
      <c r="C326" s="1845">
        <v>0.15</v>
      </c>
      <c r="D326" s="1845">
        <v>0.15</v>
      </c>
      <c r="E326" s="1845">
        <v>0.15</v>
      </c>
      <c r="F326" s="1853"/>
    </row>
    <row r="327" spans="1:6" ht="15" thickBot="1">
      <c r="A327" s="1840" t="s">
        <v>2214</v>
      </c>
      <c r="B327" s="1844" t="s">
        <v>2223</v>
      </c>
      <c r="C327" s="1845">
        <v>0.15</v>
      </c>
      <c r="D327" s="1845">
        <v>0.15</v>
      </c>
      <c r="E327" s="1845">
        <v>0.15</v>
      </c>
      <c r="F327" s="1846">
        <v>0.15</v>
      </c>
    </row>
    <row r="328" spans="1:6" ht="15" thickBot="1">
      <c r="A328" s="1840" t="s">
        <v>2214</v>
      </c>
      <c r="B328" s="1844" t="s">
        <v>1196</v>
      </c>
      <c r="C328" s="1845">
        <v>0.15</v>
      </c>
      <c r="D328" s="1845">
        <v>0.15</v>
      </c>
      <c r="E328" s="1845">
        <v>0.15</v>
      </c>
      <c r="F328" s="1846">
        <v>0.14099999999999999</v>
      </c>
    </row>
    <row r="329" spans="1:6" ht="15" thickBot="1">
      <c r="A329" s="1840" t="s">
        <v>2214</v>
      </c>
      <c r="B329" s="1844" t="s">
        <v>1206</v>
      </c>
      <c r="C329" s="1845">
        <v>0.15</v>
      </c>
      <c r="D329" s="1845">
        <v>0.15</v>
      </c>
      <c r="E329" s="1845">
        <v>0.15</v>
      </c>
      <c r="F329" s="1846">
        <v>0.15</v>
      </c>
    </row>
    <row r="330" spans="1:6" ht="15" thickBot="1">
      <c r="A330" s="1840" t="s">
        <v>2214</v>
      </c>
      <c r="B330" s="1844" t="s">
        <v>1216</v>
      </c>
      <c r="C330" s="1845">
        <v>0.15</v>
      </c>
      <c r="D330" s="1845">
        <v>0.15</v>
      </c>
      <c r="E330" s="1845">
        <v>0.15</v>
      </c>
      <c r="F330" s="1853"/>
    </row>
    <row r="331" spans="1:6" ht="15" thickBot="1">
      <c r="A331" s="1840" t="s">
        <v>2214</v>
      </c>
      <c r="B331" s="1844" t="s">
        <v>2224</v>
      </c>
      <c r="C331" s="1845">
        <v>0.15</v>
      </c>
      <c r="D331" s="1845">
        <v>0.15</v>
      </c>
      <c r="E331" s="1845">
        <v>0.15</v>
      </c>
      <c r="F331" s="1846">
        <v>0.15</v>
      </c>
    </row>
    <row r="332" spans="1:6" ht="15" thickBot="1">
      <c r="A332" s="1840" t="s">
        <v>2214</v>
      </c>
      <c r="B332" s="1844" t="s">
        <v>1236</v>
      </c>
      <c r="C332" s="1845">
        <v>0.15</v>
      </c>
      <c r="D332" s="1845">
        <v>0.15</v>
      </c>
      <c r="E332" s="1845">
        <v>0.15</v>
      </c>
      <c r="F332" s="1846">
        <v>0.15</v>
      </c>
    </row>
    <row r="333" spans="1:6" ht="15" thickBot="1">
      <c r="A333" s="1840" t="s">
        <v>2214</v>
      </c>
      <c r="B333" s="1844" t="s">
        <v>2225</v>
      </c>
      <c r="C333" s="1845">
        <v>0.15</v>
      </c>
      <c r="D333" s="1845">
        <v>0.15</v>
      </c>
      <c r="E333" s="1845">
        <v>0.15</v>
      </c>
      <c r="F333" s="1846">
        <v>0.14099999999999999</v>
      </c>
    </row>
    <row r="334" spans="1:6" ht="15" thickBot="1">
      <c r="A334" s="1840" t="s">
        <v>2214</v>
      </c>
      <c r="B334" s="1844" t="s">
        <v>1256</v>
      </c>
      <c r="C334" s="1845">
        <v>0.15</v>
      </c>
      <c r="D334" s="1845">
        <v>0.15</v>
      </c>
      <c r="E334" s="1845">
        <v>0.15</v>
      </c>
      <c r="F334" s="1846">
        <v>0.15</v>
      </c>
    </row>
    <row r="335" spans="1:6" ht="15" thickBot="1">
      <c r="A335" s="1840" t="s">
        <v>2214</v>
      </c>
      <c r="B335" s="1844" t="s">
        <v>1266</v>
      </c>
      <c r="C335" s="1845">
        <v>0.15</v>
      </c>
      <c r="D335" s="1845">
        <v>0.15</v>
      </c>
      <c r="E335" s="1845">
        <v>0.15</v>
      </c>
      <c r="F335" s="1853"/>
    </row>
    <row r="336" spans="1:6" ht="15" thickBot="1">
      <c r="A336" s="1840" t="s">
        <v>2214</v>
      </c>
      <c r="B336" s="1844" t="s">
        <v>2226</v>
      </c>
      <c r="C336" s="1845">
        <v>0.15</v>
      </c>
      <c r="D336" s="1845">
        <v>0.15</v>
      </c>
      <c r="E336" s="1845">
        <v>0.15</v>
      </c>
      <c r="F336" s="1846">
        <v>0.11799999999999999</v>
      </c>
    </row>
    <row r="337" spans="1:6" ht="15" thickBot="1">
      <c r="A337" s="1848" t="s">
        <v>2214</v>
      </c>
      <c r="B337" s="1855" t="s">
        <v>1284</v>
      </c>
      <c r="C337" s="1851"/>
      <c r="D337" s="1851"/>
      <c r="E337" s="1851"/>
      <c r="F337" s="1856">
        <v>0.14299999999999999</v>
      </c>
    </row>
    <row r="338" spans="1:6" ht="15" thickBot="1">
      <c r="A338" s="1840" t="s">
        <v>2227</v>
      </c>
      <c r="B338" s="1841" t="s">
        <v>2228</v>
      </c>
      <c r="C338" s="1842">
        <v>0.15</v>
      </c>
      <c r="D338" s="1842">
        <v>0.15</v>
      </c>
      <c r="E338" s="1842">
        <v>0.15</v>
      </c>
      <c r="F338" s="1864"/>
    </row>
    <row r="339" spans="1:6" ht="15" thickBot="1">
      <c r="A339" s="1840" t="s">
        <v>2227</v>
      </c>
      <c r="B339" s="1844" t="s">
        <v>2229</v>
      </c>
      <c r="C339" s="1845">
        <v>0.15</v>
      </c>
      <c r="D339" s="1845">
        <v>0.15</v>
      </c>
      <c r="E339" s="1845">
        <v>0.15</v>
      </c>
      <c r="F339" s="1853"/>
    </row>
    <row r="340" spans="1:6" ht="15" thickBot="1">
      <c r="A340" s="1840" t="s">
        <v>2227</v>
      </c>
      <c r="B340" s="1844" t="s">
        <v>2230</v>
      </c>
      <c r="C340" s="1845">
        <v>0.15</v>
      </c>
      <c r="D340" s="1845">
        <v>0.15</v>
      </c>
      <c r="E340" s="1845">
        <v>0.15</v>
      </c>
      <c r="F340" s="1853"/>
    </row>
    <row r="341" spans="1:6" ht="15" thickBot="1">
      <c r="A341" s="1840" t="s">
        <v>2231</v>
      </c>
      <c r="B341" s="1844" t="s">
        <v>2232</v>
      </c>
      <c r="C341" s="1845">
        <v>0.15</v>
      </c>
      <c r="D341" s="1845">
        <v>0.15</v>
      </c>
      <c r="E341" s="1845">
        <v>0.15</v>
      </c>
      <c r="F341" s="1846">
        <v>0.15</v>
      </c>
    </row>
    <row r="342" spans="1:6" ht="15" thickBot="1">
      <c r="A342" s="1840" t="s">
        <v>2227</v>
      </c>
      <c r="B342" s="1844" t="s">
        <v>2233</v>
      </c>
      <c r="C342" s="1845">
        <v>0.15</v>
      </c>
      <c r="D342" s="1845">
        <v>0.15</v>
      </c>
      <c r="E342" s="1845">
        <v>0.15</v>
      </c>
      <c r="F342" s="1846">
        <v>0.15</v>
      </c>
    </row>
    <row r="343" spans="1:6" ht="15" thickBot="1">
      <c r="A343" s="1840" t="s">
        <v>2227</v>
      </c>
      <c r="B343" s="1844" t="s">
        <v>2234</v>
      </c>
      <c r="C343" s="1845">
        <v>0.15</v>
      </c>
      <c r="D343" s="1845">
        <v>0.15</v>
      </c>
      <c r="E343" s="1845">
        <v>0.15</v>
      </c>
      <c r="F343" s="1846">
        <v>0.15</v>
      </c>
    </row>
    <row r="344" spans="1:6" ht="1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4">
      <c r="A1" s="1762" t="s">
        <v>1904</v>
      </c>
    </row>
    <row r="2" spans="1:4">
      <c r="A2" s="1764"/>
    </row>
    <row r="3" spans="1:4" ht="17">
      <c r="A3" s="1782" t="str">
        <f>项目基本情况!B5&amp;"："</f>
        <v>：</v>
      </c>
    </row>
    <row r="4" spans="1:4" ht="19">
      <c r="A4" s="1776" t="str">
        <f>"受贵公司委托，我公司对"&amp;项目基本情况!K2&amp;项目基本情况!B9&amp;"进行了预评估。"</f>
        <v>受贵公司委托，我公司对出让国有建设用地使用权进行了预评估。</v>
      </c>
    </row>
    <row r="5" spans="1:4" ht="17">
      <c r="A5" s="1779" t="s">
        <v>1905</v>
      </c>
    </row>
    <row r="6" spans="1:4" ht="76">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7" spans="1:4" ht="57">
      <c r="A7" s="1780" t="s">
        <v>2744</v>
      </c>
    </row>
    <row r="8" spans="1:4" ht="17">
      <c r="A8" s="1779" t="s">
        <v>1906</v>
      </c>
    </row>
    <row r="9" spans="1:4" ht="57">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2" t="s">
        <v>2024</v>
      </c>
    </row>
    <row r="11" spans="1:4" ht="18">
      <c r="A11" s="1765" t="str">
        <f>TEXT(项目基本情况!D3,"yyyy年m月d日;;")&amp;IF(项目基本情况!B3=项目基本情况!D3,"（评估专业人员勘察现场之日）","")</f>
        <v>2020年2月14日（评估专业人员勘察现场之日）</v>
      </c>
    </row>
    <row r="12" spans="1:4" ht="17">
      <c r="A12" s="1782" t="s">
        <v>2023</v>
      </c>
    </row>
    <row r="13" spans="1:4" ht="19">
      <c r="A13" s="1776" t="s">
        <v>2940</v>
      </c>
    </row>
    <row r="14" spans="1:4" ht="19">
      <c r="A14" s="1776" t="str">
        <f>"根据"&amp;项目基本情况!F12&amp;"，本次评估估价对象证载（地类）用途为"&amp;项目基本情况!B12&amp;"。"</f>
        <v>根据《国有土地使用证》[]，本次评估估价对象证载（地类）用途为。</v>
      </c>
      <c r="C14" s="1766"/>
      <c r="D14" s="1767"/>
    </row>
    <row r="15" spans="1:4" ht="1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9">
      <c r="A16" s="1776" t="s">
        <v>2070</v>
      </c>
    </row>
    <row r="17" spans="1:1" ht="57">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9">
      <c r="A19" s="1776" t="s">
        <v>2071</v>
      </c>
    </row>
    <row r="20" spans="1:1" ht="57">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根据《国有土地使用证》[]，估价对象（分摊）出让国有建设用地使用权面积为63650平方米。根据《建设工程规划许可证》[]、《出让合同》[]，估价对象规划建筑面积为237128平方米。</v>
      </c>
    </row>
    <row r="21" spans="1:1" ht="19">
      <c r="A21" s="1776" t="s">
        <v>2072</v>
      </c>
    </row>
    <row r="22" spans="1:1" ht="9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10日、商业2060年2月10日地下车库2070年2月10日。截至估价期日，出让国有建设用地使用权剩余土地使用年限为。</v>
      </c>
    </row>
    <row r="23" spans="1:1" ht="19">
      <c r="A23" s="1776" t="str">
        <f>IF(项目基本情况!B16="出让","本次评估设定估价对象剩余土地使用年限为"&amp;项目基本情况!D20&amp;"。","")</f>
        <v>本次评估设定估价对象剩余土地使用年限为。</v>
      </c>
    </row>
    <row r="24" spans="1:1" ht="19">
      <c r="A24" s="1776" t="s">
        <v>2073</v>
      </c>
    </row>
    <row r="25" spans="1:1" ht="76">
      <c r="A25" s="1776" t="str">
        <f>定义!C53</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26" spans="1:1" ht="9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2" t="s">
        <v>2025</v>
      </c>
    </row>
    <row r="30" spans="1:1" ht="76">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I43" sqref="I43"/>
    </sheetView>
  </sheetViews>
  <sheetFormatPr baseColWidth="10" defaultColWidth="9" defaultRowHeight="13"/>
  <cols>
    <col min="1" max="1" width="9" style="2626"/>
    <col min="2" max="6" width="9" style="2626" customWidth="1"/>
    <col min="7" max="7" width="9" style="2642" customWidth="1"/>
    <col min="8" max="12" width="9" style="2626" customWidth="1"/>
    <col min="13" max="13" width="2.1640625" style="2626" customWidth="1"/>
    <col min="14" max="14" width="9" style="2642" customWidth="1"/>
    <col min="15" max="17" width="9" style="2626" customWidth="1"/>
    <col min="18" max="18" width="2.33203125" style="2626" customWidth="1"/>
    <col min="19" max="19" width="7.1640625" style="2642" customWidth="1"/>
    <col min="20" max="22" width="7.164062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ht="14">
      <c r="B1" s="3457" t="s">
        <v>2573</v>
      </c>
      <c r="C1" s="3457"/>
      <c r="D1" s="3457"/>
      <c r="E1" s="3457"/>
      <c r="F1" s="3457"/>
      <c r="G1" s="3456" t="s">
        <v>2574</v>
      </c>
      <c r="H1" s="3456"/>
      <c r="I1" s="3456"/>
      <c r="J1" s="3456"/>
      <c r="K1" s="3456"/>
      <c r="L1" s="3456"/>
      <c r="N1" s="3456" t="s">
        <v>2575</v>
      </c>
      <c r="O1" s="3456"/>
      <c r="P1" s="3456"/>
      <c r="Q1" s="3456"/>
      <c r="R1" s="2618"/>
      <c r="S1" s="3456" t="s">
        <v>2576</v>
      </c>
      <c r="T1" s="3456"/>
      <c r="U1" s="3456"/>
      <c r="V1" s="3456"/>
      <c r="X1" s="3455" t="s">
        <v>2636</v>
      </c>
      <c r="Y1" s="3456"/>
      <c r="Z1" s="3456"/>
      <c r="AA1" s="3456"/>
      <c r="AB1" s="3456"/>
      <c r="AD1" s="3455" t="s">
        <v>2640</v>
      </c>
      <c r="AE1" s="3456"/>
      <c r="AF1" s="3456"/>
      <c r="AG1" s="3456"/>
      <c r="AH1" s="3456"/>
    </row>
    <row r="2" spans="1:34" s="2719" customFormat="1" ht="15" thickBot="1">
      <c r="B2" s="2727" t="s">
        <v>2577</v>
      </c>
      <c r="C2" s="2727" t="s">
        <v>2638</v>
      </c>
      <c r="D2" s="2720" t="s">
        <v>1644</v>
      </c>
      <c r="E2" s="2720" t="s">
        <v>1947</v>
      </c>
      <c r="F2" s="2727" t="s">
        <v>2639</v>
      </c>
      <c r="G2" s="2723"/>
      <c r="H2" s="2722"/>
      <c r="I2" s="2727" t="s">
        <v>2954</v>
      </c>
      <c r="J2" s="2720" t="s">
        <v>2956</v>
      </c>
      <c r="K2" s="2720" t="s">
        <v>2957</v>
      </c>
      <c r="L2" s="2727" t="s">
        <v>2958</v>
      </c>
      <c r="N2" s="2727" t="s">
        <v>2577</v>
      </c>
      <c r="O2" s="2720" t="s">
        <v>2955</v>
      </c>
      <c r="P2" s="2720" t="s">
        <v>1947</v>
      </c>
      <c r="Q2" s="2727" t="s">
        <v>2639</v>
      </c>
      <c r="R2" s="2721"/>
      <c r="S2" s="2727" t="s">
        <v>2577</v>
      </c>
      <c r="T2" s="2720" t="s">
        <v>2955</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2" customFormat="1" ht="14">
      <c r="A3" s="3094" t="s">
        <v>2967</v>
      </c>
      <c r="B3" s="3083"/>
      <c r="C3" s="3083"/>
      <c r="D3" s="3084"/>
      <c r="E3" s="3084"/>
      <c r="F3" s="3083"/>
      <c r="G3" s="3085"/>
      <c r="H3" s="3086"/>
      <c r="I3" s="3093">
        <f>ROUND(AVERAGE($I4:$I29),2)</f>
        <v>1.92</v>
      </c>
      <c r="J3" s="3093">
        <f>ROUND(AVERAGE($J4:$J29),2)</f>
        <v>1.34</v>
      </c>
      <c r="K3" s="3093">
        <f>ROUND(AVERAGE($K4:$K29),2)</f>
        <v>2.1</v>
      </c>
      <c r="L3" s="3093">
        <f>ROUND(AVERAGE($L4:$L29),2)</f>
        <v>1.35</v>
      </c>
      <c r="N3" s="3085"/>
      <c r="O3" s="3087"/>
      <c r="P3" s="3087"/>
      <c r="Q3" s="3087"/>
      <c r="R3" s="3087"/>
      <c r="S3" s="3085"/>
      <c r="T3" s="3087"/>
      <c r="U3" s="3087"/>
      <c r="V3" s="3087"/>
      <c r="W3" s="3090"/>
      <c r="X3" s="3088">
        <f>ROUND(SUMPRODUCT(PRODUCT(1+N3:N$28)),4)</f>
        <v>1.5586</v>
      </c>
      <c r="Y3" s="3088">
        <f>ROUND(SUMPRODUCT(PRODUCT(1+O3:O$28)),4)</f>
        <v>1.3633</v>
      </c>
      <c r="Z3" s="3088">
        <f t="shared" ref="Z3:Z26" si="0">Y3</f>
        <v>1.3633</v>
      </c>
      <c r="AA3" s="3088">
        <f>ROUND(SUMPRODUCT(PRODUCT(1+P3:P$28)),4)</f>
        <v>1.6221000000000001</v>
      </c>
      <c r="AB3" s="3088">
        <f>ROUND(SUMPRODUCT(PRODUCT(1+Q3:Q$28)),4)</f>
        <v>1.3777999999999999</v>
      </c>
      <c r="AD3" s="3089">
        <f>ROUND(AVERAGE(I3:I$29)/100,4)</f>
        <v>1.9199999999999998E-2</v>
      </c>
      <c r="AE3" s="3089">
        <f>ROUND(AVERAGE(J3:J$29)/100,4)</f>
        <v>1.34E-2</v>
      </c>
      <c r="AF3" s="3089">
        <f t="shared" ref="AF3:AF27" si="1">AE3</f>
        <v>1.34E-2</v>
      </c>
      <c r="AG3" s="3089">
        <f>ROUND(AVERAGE(K3:K$29)/100,4)</f>
        <v>2.1000000000000001E-2</v>
      </c>
      <c r="AH3" s="3089">
        <f>ROUND(AVERAGE(L3:L$29)/100,4)</f>
        <v>1.35E-2</v>
      </c>
    </row>
    <row r="4" spans="1:34" s="2712" customFormat="1" ht="1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4">
      <c r="A5" s="3064" t="s">
        <v>2996</v>
      </c>
      <c r="B5" s="2751">
        <f t="shared" ref="B5" si="2">B6*(1+N5)</f>
        <v>479.34737379023579</v>
      </c>
      <c r="C5" s="2751">
        <f t="shared" ref="C5" si="3">C6*(1+O5)</f>
        <v>351.4265287986122</v>
      </c>
      <c r="D5" s="2751">
        <f t="shared" ref="D5" si="4">C5</f>
        <v>351.4265287986122</v>
      </c>
      <c r="E5" s="2751">
        <f t="shared" ref="E5" si="5">E6*(1+P5)</f>
        <v>685.98209703803116</v>
      </c>
      <c r="F5" s="2751">
        <f t="shared" ref="F5" si="6">F6*(1+Q5)</f>
        <v>316.78315206651001</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2968</v>
      </c>
      <c r="X5" s="3069">
        <f>ROUND(IF(项目基本情况!B8="出让",SUMPRODUCT(PRODUCT(1+N5:N$29)),SUMPRODUCT(PRODUCT(1+N5:N$28))),4)</f>
        <v>1.5586</v>
      </c>
      <c r="Y5" s="3069">
        <f>ROUND(IF(项目基本情况!B8="出让",SUMPRODUCT(PRODUCT(1+O5:O$29)),SUMPRODUCT(PRODUCT(1+O5:O$28))),4)</f>
        <v>1.3633</v>
      </c>
      <c r="Z5" s="3069">
        <f t="shared" ref="Z5" si="11">Y5</f>
        <v>1.3633</v>
      </c>
      <c r="AA5" s="3069">
        <f>ROUND(IF(项目基本情况!B8="出让",SUMPRODUCT(PRODUCT(1+P5:P$29)),SUMPRODUCT(PRODUCT(1+P5:P$28))),4)</f>
        <v>1.6221000000000001</v>
      </c>
      <c r="AB5" s="3069">
        <f>ROUND(IF(项目基本情况!B8="出让",SUMPRODUCT(PRODUCT(1+Q5:Q$29)),SUMPRODUCT(PRODUCT(1+Q5:Q$28))),4)</f>
        <v>1.3777999999999999</v>
      </c>
      <c r="AD5" s="3070">
        <f>ROUND(AVERAGE(I5:I$29)/100,4)</f>
        <v>1.9199999999999998E-2</v>
      </c>
      <c r="AE5" s="3070">
        <f>ROUND(AVERAGE(J5:J$29)/100,4)</f>
        <v>1.34E-2</v>
      </c>
      <c r="AF5" s="3070">
        <f t="shared" ref="AF5" si="12">AE5</f>
        <v>1.34E-2</v>
      </c>
      <c r="AG5" s="3070">
        <f>ROUND(AVERAGE(K5:K$29)/100,4)</f>
        <v>2.1000000000000001E-2</v>
      </c>
      <c r="AH5" s="3070">
        <f>ROUND(AVERAGE(L5:L$29)/100,4)</f>
        <v>1.35E-2</v>
      </c>
    </row>
    <row r="6" spans="1:34" s="2724" customFormat="1" ht="14">
      <c r="A6" s="2619" t="s">
        <v>2992</v>
      </c>
      <c r="B6" s="2632">
        <f t="shared" ref="B6" si="13">B7*(1+N6)</f>
        <v>479.34737379023579</v>
      </c>
      <c r="C6" s="2632">
        <f t="shared" ref="C6" si="14">C7*(1+O6)</f>
        <v>351.4265287986122</v>
      </c>
      <c r="D6" s="2632">
        <f t="shared" ref="D6" si="15">C6</f>
        <v>351.4265287986122</v>
      </c>
      <c r="E6" s="2632">
        <f t="shared" ref="E6" si="16">E7*(1+P6)</f>
        <v>685.98209703803116</v>
      </c>
      <c r="F6" s="2632">
        <f t="shared" ref="F6" si="17">F7*(1+Q6)</f>
        <v>316.78315206651001</v>
      </c>
      <c r="G6" s="2718">
        <v>2019</v>
      </c>
      <c r="H6" s="2622">
        <v>4</v>
      </c>
      <c r="I6" s="2622">
        <v>0.45</v>
      </c>
      <c r="J6" s="2622">
        <v>-0.12</v>
      </c>
      <c r="K6" s="2622">
        <v>0.54</v>
      </c>
      <c r="L6" s="2633">
        <v>0.48</v>
      </c>
      <c r="M6" s="2626"/>
      <c r="N6" s="2627">
        <f t="shared" ref="N6" si="18">I6/100</f>
        <v>4.5000000000000005E-3</v>
      </c>
      <c r="O6" s="2628">
        <f t="shared" ref="O6" si="19">J6/100</f>
        <v>-1.1999999999999999E-3</v>
      </c>
      <c r="P6" s="2628">
        <f t="shared" ref="P6" si="20">K6/100</f>
        <v>5.4000000000000003E-3</v>
      </c>
      <c r="Q6" s="2628">
        <f t="shared" ref="Q6" si="21">L6/100</f>
        <v>4.7999999999999996E-3</v>
      </c>
      <c r="R6" s="2629"/>
      <c r="S6" s="2635"/>
      <c r="T6" s="2636"/>
      <c r="U6" s="2636"/>
      <c r="V6" s="2636"/>
      <c r="W6" s="2626"/>
      <c r="X6" s="2717">
        <f>ROUND(IF(项目基本情况!B8="出让",SUMPRODUCT(PRODUCT(1+N6:N$29)),SUMPRODUCT(PRODUCT(1+N6:N$28))),4)</f>
        <v>1.5586</v>
      </c>
      <c r="Y6" s="2717">
        <f>ROUND(IF(项目基本情况!B8="出让",SUMPRODUCT(PRODUCT(1+O6:O$29)),SUMPRODUCT(PRODUCT(1+O6:O$28))),4)</f>
        <v>1.3633</v>
      </c>
      <c r="Z6" s="2717">
        <f t="shared" ref="Z6" si="22">Y6</f>
        <v>1.3633</v>
      </c>
      <c r="AA6" s="2717">
        <f>ROUND(IF(项目基本情况!B8="出让",SUMPRODUCT(PRODUCT(1+P6:P$29)),SUMPRODUCT(PRODUCT(1+P6:P$28))),4)</f>
        <v>1.6221000000000001</v>
      </c>
      <c r="AB6" s="2717">
        <f>ROUND(IF(项目基本情况!B8="出让",SUMPRODUCT(PRODUCT(1+Q6:Q$29)),SUMPRODUCT(PRODUCT(1+Q6:Q$28))),4)</f>
        <v>1.3777999999999999</v>
      </c>
      <c r="AC6" s="2626"/>
      <c r="AD6" s="2637">
        <f>ROUND(AVERAGE(I6:I$29)/100,4)</f>
        <v>0.02</v>
      </c>
      <c r="AE6" s="2637">
        <f>ROUND(AVERAGE(J6:J$29)/100,4)</f>
        <v>1.4E-2</v>
      </c>
      <c r="AF6" s="2637">
        <f t="shared" ref="AF6" si="23">AE6</f>
        <v>1.4E-2</v>
      </c>
      <c r="AG6" s="2637">
        <f>ROUND(AVERAGE(K6:K$29)/100,4)</f>
        <v>2.1899999999999999E-2</v>
      </c>
      <c r="AH6" s="2637">
        <f>ROUND(AVERAGE(L6:L$29)/100,4)</f>
        <v>1.4E-2</v>
      </c>
    </row>
    <row r="7" spans="1:34" s="2724" customFormat="1" ht="15" thickBot="1">
      <c r="A7" s="2619" t="s">
        <v>2991</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ht="14">
      <c r="A8" s="2619" t="s">
        <v>2988</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5" thickBot="1">
      <c r="A9" s="2619" t="s">
        <v>2987</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ht="14">
      <c r="A10" s="2619" t="s">
        <v>2984</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59">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5" customHeight="1">
      <c r="A11" s="2619" t="s">
        <v>2977</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59"/>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5" customHeight="1">
      <c r="A12" s="2619" t="s">
        <v>2978</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59"/>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2974</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65"/>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ht="14">
      <c r="A14" s="2619" t="s">
        <v>2965</v>
      </c>
      <c r="B14" s="3096">
        <v>439</v>
      </c>
      <c r="C14" s="3096">
        <v>327</v>
      </c>
      <c r="D14" s="3096">
        <f t="shared" si="87"/>
        <v>327</v>
      </c>
      <c r="E14" s="3096">
        <v>627</v>
      </c>
      <c r="F14" s="3097">
        <v>283</v>
      </c>
      <c r="G14" s="3464">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5" customHeight="1">
      <c r="A15" s="2619" t="s">
        <v>2969</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59"/>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59"/>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65"/>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ht="14">
      <c r="A18" s="2619" t="s">
        <v>970</v>
      </c>
      <c r="B18" s="2624">
        <v>392</v>
      </c>
      <c r="C18" s="2624">
        <v>302</v>
      </c>
      <c r="D18" s="2624">
        <f t="shared" si="87"/>
        <v>302</v>
      </c>
      <c r="E18" s="2624">
        <v>553</v>
      </c>
      <c r="F18" s="2625">
        <v>266</v>
      </c>
      <c r="G18" s="3464">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ht="1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59"/>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ht="1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59"/>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60"/>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5" thickBot="1">
      <c r="A22" s="2619" t="s">
        <v>967</v>
      </c>
      <c r="B22" s="2624">
        <v>333</v>
      </c>
      <c r="C22" s="2624">
        <v>277</v>
      </c>
      <c r="D22" s="2624">
        <f t="shared" si="109"/>
        <v>277</v>
      </c>
      <c r="E22" s="2624">
        <v>459</v>
      </c>
      <c r="F22" s="2625">
        <v>249</v>
      </c>
      <c r="G22" s="3458">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ht="1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59"/>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ht="1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59"/>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ht="1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60"/>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5" thickBot="1">
      <c r="A26" s="2619" t="s">
        <v>963</v>
      </c>
      <c r="B26" s="2646">
        <v>318</v>
      </c>
      <c r="C26" s="2646">
        <v>268</v>
      </c>
      <c r="D26" s="2646">
        <f t="shared" si="109"/>
        <v>268</v>
      </c>
      <c r="E26" s="2646">
        <v>437</v>
      </c>
      <c r="F26" s="2647">
        <v>237</v>
      </c>
      <c r="G26" s="3458">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ht="1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59"/>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59"/>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60"/>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5" thickBot="1">
      <c r="A30" s="2619" t="s">
        <v>2580</v>
      </c>
      <c r="B30" s="2624">
        <v>299</v>
      </c>
      <c r="C30" s="2624">
        <v>252</v>
      </c>
      <c r="D30" s="2624">
        <f t="shared" si="109"/>
        <v>252</v>
      </c>
      <c r="E30" s="2624">
        <v>409</v>
      </c>
      <c r="F30" s="2625">
        <v>227</v>
      </c>
      <c r="G30" s="3461">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ht="1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62"/>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ht="1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62"/>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ht="14">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63"/>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5" thickBot="1">
      <c r="A34" s="2619" t="s">
        <v>2584</v>
      </c>
      <c r="B34" s="2662">
        <v>278</v>
      </c>
      <c r="C34" s="2662">
        <v>234</v>
      </c>
      <c r="D34" s="2662">
        <f t="shared" si="109"/>
        <v>234</v>
      </c>
      <c r="E34" s="2662">
        <v>379</v>
      </c>
      <c r="F34" s="2663">
        <v>220</v>
      </c>
      <c r="G34" s="3458">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ht="14">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59"/>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ht="14">
      <c r="A36" s="2619" t="s">
        <v>2586</v>
      </c>
      <c r="B36" s="2632">
        <f>B35/(1+N35)</f>
        <v>275.24529281292263</v>
      </c>
      <c r="C36" s="2632">
        <f>C35/(1+O35)</f>
        <v>231.74747938962707</v>
      </c>
      <c r="D36" s="2632">
        <f t="shared" si="109"/>
        <v>231.74747938962707</v>
      </c>
      <c r="E36" s="2632">
        <f t="shared" si="120"/>
        <v>375.35938184826603</v>
      </c>
      <c r="F36" s="2632">
        <f t="shared" si="120"/>
        <v>216.78033510692495</v>
      </c>
      <c r="G36" s="3459"/>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5" thickBot="1">
      <c r="A37" s="2619" t="s">
        <v>2587</v>
      </c>
      <c r="B37" s="2632">
        <f>B36/(1+N36)</f>
        <v>275.19025476197027</v>
      </c>
      <c r="C37" s="2664">
        <v>232</v>
      </c>
      <c r="D37" s="2664">
        <f t="shared" si="109"/>
        <v>232</v>
      </c>
      <c r="E37" s="2632">
        <f t="shared" si="120"/>
        <v>375.65990977608692</v>
      </c>
      <c r="F37" s="2632">
        <f t="shared" si="120"/>
        <v>214.12518283971252</v>
      </c>
      <c r="G37" s="3460"/>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5" thickBot="1">
      <c r="A38" s="2619" t="s">
        <v>2588</v>
      </c>
      <c r="B38" s="2624">
        <v>275</v>
      </c>
      <c r="C38" s="2624">
        <v>232</v>
      </c>
      <c r="D38" s="2624">
        <f t="shared" si="109"/>
        <v>232</v>
      </c>
      <c r="E38" s="2624">
        <v>376</v>
      </c>
      <c r="F38" s="2625">
        <v>213</v>
      </c>
      <c r="G38" s="3458">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ht="14">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59">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ht="14">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59">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60">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5" thickBot="1">
      <c r="A42" s="2619" t="s">
        <v>2592</v>
      </c>
      <c r="B42" s="2624">
        <v>269</v>
      </c>
      <c r="C42" s="2624">
        <v>221</v>
      </c>
      <c r="D42" s="2624">
        <f t="shared" si="109"/>
        <v>221</v>
      </c>
      <c r="E42" s="2624">
        <v>373</v>
      </c>
      <c r="F42" s="2625">
        <v>196</v>
      </c>
      <c r="G42" s="3458">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ht="14">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59">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ht="14">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59">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60">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5" thickBot="1">
      <c r="A46" s="2619" t="s">
        <v>2596</v>
      </c>
      <c r="B46" s="2624">
        <v>220</v>
      </c>
      <c r="C46" s="2624">
        <v>187</v>
      </c>
      <c r="D46" s="2624">
        <f t="shared" si="109"/>
        <v>187</v>
      </c>
      <c r="E46" s="2624">
        <v>301</v>
      </c>
      <c r="F46" s="2625">
        <v>168</v>
      </c>
      <c r="G46" s="3458">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ht="14">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59">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ht="14">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59">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ht="14">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60">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5" thickBot="1">
      <c r="A50" s="2619" t="s">
        <v>2600</v>
      </c>
      <c r="B50" s="2662">
        <v>214</v>
      </c>
      <c r="C50" s="2662">
        <v>188</v>
      </c>
      <c r="D50" s="2662">
        <f t="shared" si="109"/>
        <v>188</v>
      </c>
      <c r="E50" s="2662">
        <v>289</v>
      </c>
      <c r="F50" s="2663">
        <v>166</v>
      </c>
      <c r="G50" s="3458">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ht="14">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59">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ht="14">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59">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60">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5" thickBot="1">
      <c r="A54" s="2619" t="s">
        <v>2604</v>
      </c>
      <c r="B54" s="2624">
        <v>188</v>
      </c>
      <c r="C54" s="2624">
        <v>165</v>
      </c>
      <c r="D54" s="2624">
        <f t="shared" si="109"/>
        <v>165</v>
      </c>
      <c r="E54" s="2624">
        <v>254</v>
      </c>
      <c r="F54" s="2625">
        <v>148</v>
      </c>
      <c r="G54" s="3458">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ht="14">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59">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ht="14">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59">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ht="14">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60">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5" thickBot="1">
      <c r="A58" s="2619" t="s">
        <v>2608</v>
      </c>
      <c r="B58" s="2646">
        <v>159</v>
      </c>
      <c r="C58" s="2646">
        <v>141</v>
      </c>
      <c r="D58" s="2646">
        <f t="shared" si="109"/>
        <v>141</v>
      </c>
      <c r="E58" s="2646">
        <v>195</v>
      </c>
      <c r="F58" s="2647">
        <v>122</v>
      </c>
      <c r="G58" s="3458">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ht="14">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59">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ht="14">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59">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ht="14">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60">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5" thickBot="1">
      <c r="A62" s="2619" t="s">
        <v>2612</v>
      </c>
      <c r="B62" s="2646">
        <v>138</v>
      </c>
      <c r="C62" s="2646">
        <v>131</v>
      </c>
      <c r="D62" s="2646">
        <f t="shared" si="109"/>
        <v>131</v>
      </c>
      <c r="E62" s="2646">
        <v>155</v>
      </c>
      <c r="F62" s="2647">
        <v>114</v>
      </c>
      <c r="G62" s="3458">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ht="14">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59">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ht="14">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59">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ht="14">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60">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5" thickBot="1">
      <c r="A66" s="2619" t="s">
        <v>2616</v>
      </c>
      <c r="B66" s="2662">
        <v>121</v>
      </c>
      <c r="C66" s="2662">
        <v>122</v>
      </c>
      <c r="D66" s="2662">
        <f t="shared" si="109"/>
        <v>122</v>
      </c>
      <c r="E66" s="2662">
        <v>124</v>
      </c>
      <c r="F66" s="2663">
        <v>107</v>
      </c>
      <c r="G66" s="3458">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ht="14">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59">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ht="14">
      <c r="A68" s="2619" t="s">
        <v>2618</v>
      </c>
      <c r="B68" s="2632">
        <f t="shared" si="143"/>
        <v>116.99099099099099</v>
      </c>
      <c r="C68" s="2632">
        <f t="shared" si="143"/>
        <v>118.84848484848486</v>
      </c>
      <c r="D68" s="2632">
        <f t="shared" si="109"/>
        <v>118.84848484848486</v>
      </c>
      <c r="E68" s="2632">
        <f t="shared" si="144"/>
        <v>117.60960960960961</v>
      </c>
      <c r="F68" s="2632">
        <f t="shared" si="144"/>
        <v>104</v>
      </c>
      <c r="G68" s="3459">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60">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5" thickBot="1">
      <c r="A70" s="2619" t="s">
        <v>2620</v>
      </c>
      <c r="B70" s="2683">
        <v>111</v>
      </c>
      <c r="C70" s="2683">
        <v>114</v>
      </c>
      <c r="D70" s="2683">
        <f t="shared" si="109"/>
        <v>114</v>
      </c>
      <c r="E70" s="2683">
        <v>108</v>
      </c>
      <c r="F70" s="2684">
        <v>104</v>
      </c>
      <c r="G70" s="3458">
        <v>2003</v>
      </c>
      <c r="H70" s="2673">
        <v>4</v>
      </c>
      <c r="I70" s="2685"/>
      <c r="J70" s="2685"/>
      <c r="K70" s="2685"/>
      <c r="L70" s="2685"/>
      <c r="N70" s="2686"/>
      <c r="O70" s="2685"/>
      <c r="P70" s="2685"/>
      <c r="Q70" s="2685"/>
      <c r="S70" s="2686"/>
      <c r="T70" s="2685"/>
      <c r="U70" s="2685"/>
      <c r="V70" s="2685"/>
      <c r="X70" s="2677"/>
      <c r="Y70" s="2677"/>
      <c r="Z70" s="2677"/>
    </row>
    <row r="71" spans="1:26" ht="14">
      <c r="A71" s="2619" t="s">
        <v>2621</v>
      </c>
      <c r="B71" s="2687">
        <f t="shared" ref="B71:C73" si="145">B72+(B$70-B$74)/4</f>
        <v>109.75</v>
      </c>
      <c r="C71" s="2687">
        <f t="shared" si="145"/>
        <v>112.25</v>
      </c>
      <c r="D71" s="2687">
        <f t="shared" si="109"/>
        <v>112.25</v>
      </c>
      <c r="E71" s="2687">
        <f t="shared" ref="E71:F73" si="146">E72+(E$70-E$74)/4</f>
        <v>107.25</v>
      </c>
      <c r="F71" s="2687">
        <f t="shared" si="146"/>
        <v>103.5</v>
      </c>
      <c r="G71" s="3459">
        <v>2003</v>
      </c>
      <c r="H71" s="2643">
        <v>3</v>
      </c>
      <c r="I71" s="2685"/>
      <c r="J71" s="2685"/>
      <c r="K71" s="2685"/>
      <c r="L71" s="2685"/>
      <c r="X71" s="2677"/>
      <c r="Y71" s="2677"/>
      <c r="Z71" s="2677"/>
    </row>
    <row r="72" spans="1:26" ht="14">
      <c r="A72" s="2619" t="s">
        <v>2622</v>
      </c>
      <c r="B72" s="2687">
        <f t="shared" si="145"/>
        <v>108.5</v>
      </c>
      <c r="C72" s="2687">
        <f t="shared" si="145"/>
        <v>110.5</v>
      </c>
      <c r="D72" s="2687">
        <f t="shared" si="109"/>
        <v>110.5</v>
      </c>
      <c r="E72" s="2687">
        <f t="shared" si="146"/>
        <v>106.5</v>
      </c>
      <c r="F72" s="2687">
        <f t="shared" si="146"/>
        <v>103</v>
      </c>
      <c r="G72" s="3459">
        <v>2003</v>
      </c>
      <c r="H72" s="2623">
        <v>2</v>
      </c>
      <c r="I72" s="2685"/>
      <c r="J72" s="2685"/>
      <c r="K72" s="2685"/>
      <c r="L72" s="2685"/>
      <c r="X72" s="2677"/>
      <c r="Y72" s="2677"/>
      <c r="Z72" s="2677"/>
    </row>
    <row r="73" spans="1:26" ht="15" thickBot="1">
      <c r="A73" s="2619" t="s">
        <v>2623</v>
      </c>
      <c r="B73" s="2687">
        <f t="shared" si="145"/>
        <v>107.25</v>
      </c>
      <c r="C73" s="2687">
        <f t="shared" si="145"/>
        <v>108.75</v>
      </c>
      <c r="D73" s="2687">
        <f t="shared" si="109"/>
        <v>108.75</v>
      </c>
      <c r="E73" s="2687">
        <f t="shared" si="146"/>
        <v>105.75</v>
      </c>
      <c r="F73" s="2687">
        <f t="shared" si="146"/>
        <v>102.5</v>
      </c>
      <c r="G73" s="3460">
        <v>2003</v>
      </c>
      <c r="H73" s="2688">
        <v>1</v>
      </c>
      <c r="I73" s="2685"/>
      <c r="J73" s="2685"/>
      <c r="K73" s="2685"/>
      <c r="L73" s="2685"/>
      <c r="S73" s="2627"/>
      <c r="T73" s="2628"/>
      <c r="U73" s="2628"/>
      <c r="X73" s="2677"/>
      <c r="Y73" s="2677"/>
      <c r="Z73" s="2677"/>
    </row>
    <row r="74" spans="1:26" ht="15" thickBot="1">
      <c r="A74" s="2619" t="s">
        <v>2624</v>
      </c>
      <c r="B74" s="2689">
        <v>106</v>
      </c>
      <c r="C74" s="2689">
        <v>107</v>
      </c>
      <c r="D74" s="2689">
        <f t="shared" si="109"/>
        <v>107</v>
      </c>
      <c r="E74" s="2689">
        <v>105</v>
      </c>
      <c r="F74" s="2690">
        <v>102</v>
      </c>
      <c r="G74" s="3458">
        <v>2002</v>
      </c>
      <c r="H74" s="2638">
        <v>4</v>
      </c>
      <c r="I74" s="2685"/>
      <c r="J74" s="2685"/>
      <c r="K74" s="2685"/>
      <c r="L74" s="2685"/>
      <c r="N74" s="2686"/>
      <c r="O74" s="2685"/>
      <c r="P74" s="2685"/>
      <c r="Q74" s="2685"/>
      <c r="S74" s="2686"/>
      <c r="T74" s="2685"/>
      <c r="U74" s="2685"/>
      <c r="V74" s="2685"/>
      <c r="X74" s="2677"/>
      <c r="Y74" s="2677"/>
      <c r="Z74" s="2677"/>
    </row>
    <row r="75" spans="1:26" ht="14">
      <c r="A75" s="2619" t="s">
        <v>2625</v>
      </c>
      <c r="B75" s="2687">
        <f t="shared" ref="B75:C77" si="147">B76+(B$74-B$78)/4</f>
        <v>105</v>
      </c>
      <c r="C75" s="2687">
        <f t="shared" si="147"/>
        <v>106</v>
      </c>
      <c r="D75" s="2687">
        <f t="shared" si="109"/>
        <v>106</v>
      </c>
      <c r="E75" s="2687">
        <f t="shared" ref="E75:F77" si="148">E76+(E$74-E$78)/4</f>
        <v>104.5</v>
      </c>
      <c r="F75" s="2687">
        <f t="shared" si="148"/>
        <v>101.5</v>
      </c>
      <c r="G75" s="3459">
        <v>2002</v>
      </c>
      <c r="H75" s="2643">
        <v>3</v>
      </c>
      <c r="I75" s="2685"/>
      <c r="J75" s="2685"/>
      <c r="K75" s="2685"/>
      <c r="L75" s="2685"/>
      <c r="X75" s="2677"/>
      <c r="Y75" s="2677"/>
      <c r="Z75" s="2677"/>
    </row>
    <row r="76" spans="1:26" ht="14">
      <c r="A76" s="2619" t="s">
        <v>2626</v>
      </c>
      <c r="B76" s="2687">
        <f t="shared" si="147"/>
        <v>104</v>
      </c>
      <c r="C76" s="2687">
        <f t="shared" si="147"/>
        <v>105</v>
      </c>
      <c r="D76" s="2687">
        <f t="shared" si="109"/>
        <v>105</v>
      </c>
      <c r="E76" s="2687">
        <f t="shared" si="148"/>
        <v>104</v>
      </c>
      <c r="F76" s="2687">
        <f t="shared" si="148"/>
        <v>101</v>
      </c>
      <c r="G76" s="3459">
        <v>2002</v>
      </c>
      <c r="H76" s="2623">
        <v>2</v>
      </c>
      <c r="I76" s="2685"/>
      <c r="J76" s="2685"/>
      <c r="K76" s="2685"/>
      <c r="L76" s="2685"/>
      <c r="X76" s="2677"/>
      <c r="Y76" s="2677"/>
      <c r="Z76" s="2677"/>
    </row>
    <row r="77" spans="1:26" s="2654" customFormat="1" ht="15" thickBot="1">
      <c r="A77" s="2650" t="s">
        <v>2627</v>
      </c>
      <c r="B77" s="2691">
        <f t="shared" si="147"/>
        <v>103</v>
      </c>
      <c r="C77" s="2691">
        <f t="shared" si="147"/>
        <v>104</v>
      </c>
      <c r="D77" s="2691">
        <f t="shared" si="109"/>
        <v>104</v>
      </c>
      <c r="E77" s="2691">
        <f t="shared" si="148"/>
        <v>103.5</v>
      </c>
      <c r="F77" s="2691">
        <f t="shared" si="148"/>
        <v>100.5</v>
      </c>
      <c r="G77" s="3460">
        <v>2002</v>
      </c>
      <c r="H77" s="2692">
        <v>1</v>
      </c>
      <c r="I77" s="2693"/>
      <c r="J77" s="2693"/>
      <c r="K77" s="2693"/>
      <c r="L77" s="2693"/>
      <c r="N77" s="2694"/>
      <c r="S77" s="2694"/>
      <c r="X77" s="2695"/>
      <c r="Y77" s="2695"/>
      <c r="Z77" s="2695"/>
    </row>
    <row r="78" spans="1:26" ht="14"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ht="14">
      <c r="A80" s="2699" t="s">
        <v>2628</v>
      </c>
      <c r="G80" s="2701"/>
      <c r="N80" s="2701"/>
      <c r="S80" s="2701"/>
    </row>
    <row r="81" spans="1:22" s="2700" customFormat="1" ht="14">
      <c r="A81" s="2700" t="s">
        <v>2629</v>
      </c>
      <c r="G81" s="2701"/>
      <c r="N81" s="2701"/>
      <c r="S81" s="2701"/>
    </row>
    <row r="82" spans="1:22" s="2700" customFormat="1" ht="14">
      <c r="A82" s="2700" t="s">
        <v>2630</v>
      </c>
      <c r="G82" s="2701"/>
      <c r="I82" s="2702"/>
      <c r="J82" s="2702"/>
      <c r="K82" s="2702"/>
      <c r="L82" s="2702"/>
      <c r="N82" s="2703"/>
      <c r="O82" s="2702"/>
      <c r="P82" s="2702"/>
      <c r="Q82" s="2702"/>
      <c r="S82" s="2703"/>
      <c r="T82" s="2702"/>
      <c r="U82" s="2702"/>
      <c r="V82" s="2702"/>
    </row>
    <row r="83" spans="1:22" s="2700" customFormat="1" ht="14">
      <c r="A83" s="2700" t="s">
        <v>2631</v>
      </c>
      <c r="G83" s="2701"/>
      <c r="N83" s="2701"/>
      <c r="S83" s="2701"/>
    </row>
    <row r="90" spans="1:22" ht="14" thickBot="1"/>
    <row r="91" spans="1:22" ht="15">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4"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I43" sqref="I43"/>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20">
      <c r="A1" s="3054" t="s">
        <v>2947</v>
      </c>
      <c r="B1" s="3056"/>
      <c r="C1" s="3056"/>
      <c r="D1" s="3056"/>
      <c r="E1" s="3056"/>
      <c r="F1" s="3056"/>
    </row>
    <row r="2" spans="1:6" ht="16">
      <c r="A2" s="3057" t="s">
        <v>2942</v>
      </c>
      <c r="B2" s="3058" t="e">
        <f ca="1">SUMIF(B7:B14,"&lt;&gt;#ref!",B7:B14)</f>
        <v>#DIV/0!</v>
      </c>
      <c r="C2" s="3057" t="s">
        <v>2943</v>
      </c>
      <c r="D2" s="3056"/>
      <c r="E2" s="3056"/>
      <c r="F2" s="3056"/>
    </row>
    <row r="3" spans="1:6" ht="16">
      <c r="A3" s="3057" t="s">
        <v>2975</v>
      </c>
      <c r="B3" s="3058" t="e">
        <f ca="1">ROUND(B2*10000/E3,0)</f>
        <v>#DIV/0!</v>
      </c>
      <c r="C3" s="3057" t="s">
        <v>2076</v>
      </c>
      <c r="D3" s="3057" t="s">
        <v>2944</v>
      </c>
      <c r="E3" s="3058">
        <f ca="1">SUMIF(E7:E14,"&lt;&gt;#ref!",E7:E14)</f>
        <v>0</v>
      </c>
      <c r="F3" s="3056"/>
    </row>
    <row r="4" spans="1:6" ht="16">
      <c r="A4" s="3057" t="s">
        <v>2951</v>
      </c>
      <c r="B4" s="3058" t="e">
        <f ca="1">ROUND(B2*10000/E4,0)</f>
        <v>#DIV/0!</v>
      </c>
      <c r="C4" s="3057" t="s">
        <v>2076</v>
      </c>
      <c r="D4" s="3057" t="s">
        <v>2952</v>
      </c>
      <c r="E4" s="3058">
        <f ca="1">SUMIF(F7:F14,"&lt;&gt;#ref!",F7:F14)</f>
        <v>0</v>
      </c>
      <c r="F4" s="3056"/>
    </row>
    <row r="5" spans="1:6" ht="16">
      <c r="A5" s="3059"/>
      <c r="B5" s="1866"/>
      <c r="C5" s="1866"/>
      <c r="D5" s="1866"/>
      <c r="E5" s="1866"/>
      <c r="F5" s="3056"/>
    </row>
    <row r="6" spans="1:6" ht="34">
      <c r="A6" s="3060" t="s">
        <v>2948</v>
      </c>
      <c r="B6" s="3057" t="s">
        <v>2945</v>
      </c>
      <c r="C6" s="3058"/>
      <c r="D6" s="1866"/>
      <c r="E6" s="3057" t="s">
        <v>2946</v>
      </c>
      <c r="F6" s="3057" t="s">
        <v>2950</v>
      </c>
    </row>
    <row r="7" spans="1:6" ht="16">
      <c r="A7" s="260" t="s">
        <v>2949</v>
      </c>
      <c r="B7" s="3061" t="e">
        <f ca="1">SUMIF(INDIRECT("'"&amp;A7&amp;"'"&amp;"!A:A"),"总价",INDIRECT("'"&amp;A7&amp;"'"&amp;"!B:B"))</f>
        <v>#DIV/0!</v>
      </c>
      <c r="C7" s="3057" t="s">
        <v>2943</v>
      </c>
      <c r="D7" s="1866"/>
      <c r="E7" s="3062">
        <f ca="1">SUMIF(INDIRECT("'"&amp;A7&amp;"'"&amp;"!C:C"),"建筑面积",INDIRECT("'"&amp;A7&amp;"'"&amp;"!D:D"))</f>
        <v>0</v>
      </c>
      <c r="F7" s="3062">
        <f ca="1">SUMIF(INDIRECT("'"&amp;A7&amp;"'"&amp;"!E:E"),"土地面积",INDIRECT("'"&amp;A7&amp;"'"&amp;"!F:F"))</f>
        <v>0</v>
      </c>
    </row>
    <row r="8" spans="1:6" ht="16">
      <c r="A8" s="260"/>
      <c r="B8" s="3061" t="e">
        <f t="shared" ref="B8:B14" ca="1" si="0">SUMIF(INDIRECT("'"&amp;A8&amp;"'"&amp;"!A:A"),"总价",INDIRECT("'"&amp;A8&amp;"'"&amp;"!B:B"))</f>
        <v>#REF!</v>
      </c>
      <c r="C8" s="3057" t="s">
        <v>2943</v>
      </c>
      <c r="D8" s="1866"/>
      <c r="E8" s="3062" t="e">
        <f t="shared" ref="E8:E14" ca="1" si="1">SUMIF(INDIRECT("'"&amp;A8&amp;"'"&amp;"!C:C"),"建筑面积",INDIRECT("'"&amp;A8&amp;"'"&amp;"!D:D"))</f>
        <v>#REF!</v>
      </c>
      <c r="F8" s="3062" t="e">
        <f t="shared" ref="F8:F14" ca="1" si="2">SUMIF(INDIRECT("'"&amp;A8&amp;"'"&amp;"!E:E"),"土地面积",INDIRECT("'"&amp;A8&amp;"'"&amp;"!F:F"))</f>
        <v>#REF!</v>
      </c>
    </row>
    <row r="9" spans="1:6" ht="16">
      <c r="A9" s="260"/>
      <c r="B9" s="3061" t="e">
        <f t="shared" ca="1" si="0"/>
        <v>#REF!</v>
      </c>
      <c r="C9" s="3057" t="s">
        <v>2943</v>
      </c>
      <c r="D9" s="1866"/>
      <c r="E9" s="3062" t="e">
        <f t="shared" ca="1" si="1"/>
        <v>#REF!</v>
      </c>
      <c r="F9" s="3062" t="e">
        <f t="shared" ca="1" si="2"/>
        <v>#REF!</v>
      </c>
    </row>
    <row r="10" spans="1:6" ht="16">
      <c r="A10" s="260"/>
      <c r="B10" s="3061" t="e">
        <f t="shared" ca="1" si="0"/>
        <v>#REF!</v>
      </c>
      <c r="C10" s="3057" t="s">
        <v>2943</v>
      </c>
      <c r="D10" s="1866"/>
      <c r="E10" s="3062" t="e">
        <f t="shared" ca="1" si="1"/>
        <v>#REF!</v>
      </c>
      <c r="F10" s="3062" t="e">
        <f t="shared" ca="1" si="2"/>
        <v>#REF!</v>
      </c>
    </row>
    <row r="11" spans="1:6" ht="16">
      <c r="A11" s="260"/>
      <c r="B11" s="3061" t="e">
        <f t="shared" ca="1" si="0"/>
        <v>#REF!</v>
      </c>
      <c r="C11" s="3057" t="s">
        <v>2943</v>
      </c>
      <c r="D11" s="1866"/>
      <c r="E11" s="3062" t="e">
        <f t="shared" ca="1" si="1"/>
        <v>#REF!</v>
      </c>
      <c r="F11" s="3062" t="e">
        <f t="shared" ca="1" si="2"/>
        <v>#REF!</v>
      </c>
    </row>
    <row r="12" spans="1:6" ht="16">
      <c r="A12" s="260"/>
      <c r="B12" s="3061" t="e">
        <f t="shared" ca="1" si="0"/>
        <v>#REF!</v>
      </c>
      <c r="C12" s="3057" t="s">
        <v>2943</v>
      </c>
      <c r="D12" s="1866"/>
      <c r="E12" s="3062" t="e">
        <f t="shared" ca="1" si="1"/>
        <v>#REF!</v>
      </c>
      <c r="F12" s="3062" t="e">
        <f t="shared" ca="1" si="2"/>
        <v>#REF!</v>
      </c>
    </row>
    <row r="13" spans="1:6" ht="16">
      <c r="A13" s="260"/>
      <c r="B13" s="3061" t="e">
        <f t="shared" ca="1" si="0"/>
        <v>#REF!</v>
      </c>
      <c r="C13" s="3057" t="s">
        <v>2943</v>
      </c>
      <c r="D13" s="1866"/>
      <c r="E13" s="3062" t="e">
        <f t="shared" ca="1" si="1"/>
        <v>#REF!</v>
      </c>
      <c r="F13" s="3062" t="e">
        <f t="shared" ca="1" si="2"/>
        <v>#REF!</v>
      </c>
    </row>
    <row r="14" spans="1:6" ht="16">
      <c r="A14" s="3055"/>
      <c r="B14" s="3061" t="e">
        <f t="shared" ca="1" si="0"/>
        <v>#REF!</v>
      </c>
      <c r="C14" s="3057" t="s">
        <v>2943</v>
      </c>
      <c r="D14" s="1866"/>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I43" sqref="I43"/>
    </sheetView>
  </sheetViews>
  <sheetFormatPr baseColWidth="10" defaultColWidth="9" defaultRowHeight="16"/>
  <cols>
    <col min="1" max="1" width="9" style="2083"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8.33203125" style="2044" customWidth="1"/>
    <col min="16" max="16" width="30.1640625" style="2044" customWidth="1"/>
    <col min="17" max="17" width="13.83203125" style="2044" customWidth="1"/>
    <col min="18" max="18" width="22.1640625" style="2044" customWidth="1"/>
    <col min="19" max="19" width="1.5" style="2044" customWidth="1"/>
    <col min="20" max="25" width="9" style="2044"/>
    <col min="26" max="16384" width="9" style="2045"/>
  </cols>
  <sheetData>
    <row r="1" spans="1:25" s="2039" customFormat="1" ht="20">
      <c r="A1" s="772" t="s">
        <v>628</v>
      </c>
      <c r="B1" s="738"/>
      <c r="C1" s="773"/>
      <c r="D1" s="2035"/>
      <c r="E1" s="2351" t="s">
        <v>2372</v>
      </c>
      <c r="F1" s="2352">
        <f ca="1">J54</f>
        <v>-2.5</v>
      </c>
      <c r="G1" s="774">
        <f>MATCH(C1,'数据-取费表'!A6:A16,0)+5</f>
        <v>13</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67" t="s">
        <v>2461</v>
      </c>
      <c r="C8" s="1810">
        <f ca="1">ROUND(F8*F10*F9*(1-F11)/10000,0)</f>
        <v>0</v>
      </c>
      <c r="D8" s="1807" t="s">
        <v>2532</v>
      </c>
      <c r="E8" s="61" t="s">
        <v>637</v>
      </c>
      <c r="F8" s="785">
        <f ca="1">INDIRECT("'数据-取费表'!u"&amp;$G$1)</f>
        <v>0</v>
      </c>
      <c r="G8" s="1578"/>
      <c r="H8" s="2468" t="s">
        <v>1824</v>
      </c>
      <c r="I8" s="3467" t="s">
        <v>2461</v>
      </c>
      <c r="J8" s="783">
        <f ca="1">ROUND(M8*M10*M9*(1-M11)/10000,0)</f>
        <v>0</v>
      </c>
      <c r="K8" s="341" t="s">
        <v>2532</v>
      </c>
      <c r="L8" s="784" t="s">
        <v>1738</v>
      </c>
      <c r="M8" s="785">
        <f ca="1">INDIRECT("'数据-取费表'!z"&amp;$G$1)</f>
        <v>0</v>
      </c>
    </row>
    <row r="9" spans="1:25" ht="18" customHeight="1">
      <c r="A9" s="2464"/>
      <c r="B9" s="3468"/>
      <c r="C9" s="1811"/>
      <c r="D9" s="1808"/>
      <c r="E9" s="61" t="s">
        <v>638</v>
      </c>
      <c r="F9" s="785">
        <f ca="1">IF(INDIRECT("'数据-取费表'!ah"&amp;$G$1)="",INDIRECT("'数据-取费表'!k"&amp;$G$1),INDIRECT("'数据-取费表'!ah"&amp;$G$1))</f>
        <v>0</v>
      </c>
      <c r="G9" s="1578"/>
      <c r="H9" s="2453"/>
      <c r="I9" s="3468"/>
      <c r="J9" s="788"/>
      <c r="K9" s="789"/>
      <c r="L9" s="784" t="s">
        <v>1739</v>
      </c>
      <c r="M9" s="785">
        <f ca="1">F9</f>
        <v>0</v>
      </c>
    </row>
    <row r="10" spans="1:25" ht="18" customHeight="1">
      <c r="A10" s="2457"/>
      <c r="B10" s="3469"/>
      <c r="C10" s="1811"/>
      <c r="D10" s="1808"/>
      <c r="E10" s="61" t="s">
        <v>639</v>
      </c>
      <c r="F10" s="785">
        <f ca="1">INDIRECT("'数据-取费表'!ai"&amp;$G$1)</f>
        <v>0</v>
      </c>
      <c r="G10" s="1578"/>
      <c r="H10" s="2453"/>
      <c r="I10" s="3469"/>
      <c r="J10" s="788"/>
      <c r="K10" s="789"/>
      <c r="L10" s="784" t="s">
        <v>1740</v>
      </c>
      <c r="M10" s="785">
        <f ca="1">INDIRECT("'数据-取费表'!ai"&amp;$G$1)</f>
        <v>0</v>
      </c>
    </row>
    <row r="11" spans="1:25" ht="18" customHeight="1">
      <c r="A11" s="786"/>
      <c r="B11" s="3470"/>
      <c r="C11" s="1811"/>
      <c r="D11" s="1808"/>
      <c r="E11" s="61" t="s">
        <v>640</v>
      </c>
      <c r="F11" s="794">
        <f ca="1">INDIRECT("'数据-取费表'!w"&amp;$G$1)</f>
        <v>0</v>
      </c>
      <c r="G11" s="1578"/>
      <c r="H11" s="2469"/>
      <c r="I11" s="3469"/>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2972</v>
      </c>
      <c r="E12" s="2462" t="s">
        <v>2462</v>
      </c>
      <c r="F12" s="2585"/>
      <c r="G12" s="1578"/>
      <c r="H12" s="2525" t="s">
        <v>1825</v>
      </c>
      <c r="I12" s="2530" t="s">
        <v>2457</v>
      </c>
      <c r="J12" s="783">
        <f ca="1">ROUND(IF(M12="押一",J8/12*M13,IF(M12="押二",J8/12*2*M13,IF(M12="押三",J8/12*3*M13,J13*M13))),0)</f>
        <v>0</v>
      </c>
      <c r="K12" s="2465" t="s">
        <v>2972</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2.5000000000000001E-2</v>
      </c>
      <c r="G22" s="1579"/>
      <c r="H22" s="1817" t="s">
        <v>1850</v>
      </c>
      <c r="I22" s="1807" t="s">
        <v>668</v>
      </c>
      <c r="J22" s="54">
        <f ca="1">ROUND(M22*M23/10000,0)</f>
        <v>0</v>
      </c>
      <c r="K22" s="814" t="s">
        <v>669</v>
      </c>
      <c r="L22" s="784" t="s">
        <v>670</v>
      </c>
      <c r="M22" s="640">
        <f>'数据-取费表'!B52</f>
        <v>6</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1.8E-3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6</v>
      </c>
      <c r="G36" s="2047"/>
      <c r="H36" s="2050"/>
      <c r="I36" s="3466"/>
      <c r="J36" s="2064"/>
      <c r="K36" s="2065"/>
      <c r="L36" s="2064"/>
      <c r="M36" s="2064"/>
    </row>
    <row r="37" spans="1:18" ht="18" customHeight="1">
      <c r="A37" s="815"/>
      <c r="B37" s="793"/>
      <c r="C37" s="69"/>
      <c r="D37" s="816"/>
      <c r="E37" s="784" t="s">
        <v>674</v>
      </c>
      <c r="F37" s="785">
        <f ca="1">INDIRECT("'数据-取费表'!r"&amp;$G$1)</f>
        <v>0</v>
      </c>
      <c r="G37" s="2047"/>
      <c r="H37" s="2050"/>
      <c r="I37" s="346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2960</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7" t="str">
        <f ca="1">IF(M48="住宅",0,IF(L49&gt;J52,L61,J61))</f>
        <v>0</v>
      </c>
      <c r="O47" s="2358" t="s">
        <v>2408</v>
      </c>
      <c r="P47" s="1578"/>
      <c r="Q47" s="1589"/>
      <c r="R47" s="1578"/>
    </row>
    <row r="48" spans="1:18" s="2044" customFormat="1" ht="18" customHeight="1" thickBot="1">
      <c r="A48" s="2069"/>
      <c r="C48" s="2072"/>
      <c r="D48" s="2073"/>
      <c r="E48" s="2073"/>
      <c r="F48" s="2074"/>
      <c r="G48" s="2075"/>
      <c r="I48" s="3098" t="s">
        <v>2342</v>
      </c>
      <c r="J48" s="2345"/>
      <c r="K48" s="3104" t="s">
        <v>2347</v>
      </c>
      <c r="L48" s="3108">
        <f ca="1">INDIRECT("'数据-取费表'!d"&amp;$G$1)</f>
        <v>0</v>
      </c>
      <c r="M48" s="3072"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7" t="s">
        <v>2343</v>
      </c>
      <c r="J49" s="2346"/>
      <c r="K49" s="3105"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7" t="s">
        <v>2344</v>
      </c>
      <c r="J50" s="2347"/>
      <c r="K50" s="3106"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7" t="s">
        <v>2345</v>
      </c>
      <c r="J51" s="3102">
        <f>SUMPRODUCT((I64:I66=J48)*(J63:L63=J49)*(J64:L66))</f>
        <v>0</v>
      </c>
      <c r="K51" s="3106" t="s">
        <v>2351</v>
      </c>
      <c r="L51" s="2348"/>
      <c r="O51" s="2365" t="s">
        <v>2381</v>
      </c>
      <c r="P51" s="2363" t="s">
        <v>2405</v>
      </c>
      <c r="Q51" s="2364">
        <f ca="1">C31</f>
        <v>0</v>
      </c>
      <c r="R51" s="2363" t="s">
        <v>2378</v>
      </c>
    </row>
    <row r="52" spans="1:18" s="2044" customFormat="1" ht="18" customHeight="1" thickBot="1">
      <c r="A52" s="2081"/>
      <c r="F52" s="2070"/>
      <c r="I52" s="3099" t="s">
        <v>2346</v>
      </c>
      <c r="J52" s="3103">
        <f>IF(J50="",J51,J50+J51-YEAR('数据-取费表'!B3))</f>
        <v>0</v>
      </c>
      <c r="K52" s="3077" t="s">
        <v>2352</v>
      </c>
      <c r="L52" s="3109">
        <f ca="1">ROUND(-PV(INDIRECT("'数据-取费表'!h"&amp;$G$1),L49,(C40-C14*J36),0),0)</f>
        <v>0</v>
      </c>
      <c r="O52" s="2365" t="s">
        <v>2382</v>
      </c>
      <c r="P52" s="2363" t="s">
        <v>2383</v>
      </c>
      <c r="Q52" s="2366" t="e">
        <f ca="1">J59</f>
        <v>#VALUE!</v>
      </c>
      <c r="R52" s="2367"/>
    </row>
    <row r="53" spans="1:18" s="2044" customFormat="1" ht="18" customHeight="1" thickBot="1">
      <c r="A53" s="2081"/>
      <c r="F53" s="2070"/>
      <c r="I53" s="3100" t="s">
        <v>2419</v>
      </c>
      <c r="J53" s="2349"/>
      <c r="K53" s="3100" t="s">
        <v>2418</v>
      </c>
      <c r="L53" s="2349"/>
      <c r="O53" s="2365" t="s">
        <v>2384</v>
      </c>
      <c r="P53" s="2363" t="s">
        <v>2385</v>
      </c>
      <c r="Q53" s="2366">
        <f>J53</f>
        <v>0</v>
      </c>
      <c r="R53" s="2367"/>
    </row>
    <row r="54" spans="1:18" s="2044" customFormat="1" ht="35" thickBot="1">
      <c r="A54" s="2081"/>
      <c r="I54" s="3101" t="s">
        <v>2976</v>
      </c>
      <c r="J54" s="3180">
        <f ca="1">IF(M48="住宅",MAX(J52,L49-'数据-取费表'!B20),MIN(J52,L49-'数据-取费表'!B20))</f>
        <v>-2.5</v>
      </c>
      <c r="K54" s="3471"/>
      <c r="L54" s="3472"/>
      <c r="O54" s="2365" t="s">
        <v>2386</v>
      </c>
      <c r="P54" s="2363" t="s">
        <v>2387</v>
      </c>
      <c r="Q54" s="2364">
        <f ca="1">J54</f>
        <v>-2.5</v>
      </c>
      <c r="R54" s="2363" t="s">
        <v>2388</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2389</v>
      </c>
      <c r="P55" s="2363" t="s">
        <v>2406</v>
      </c>
      <c r="Q55" s="2364">
        <f ca="1">Q49+Q50</f>
        <v>0</v>
      </c>
      <c r="R55" s="2367" t="s">
        <v>2390</v>
      </c>
    </row>
    <row r="56" spans="1:18" s="2044" customFormat="1" ht="18" thickBot="1">
      <c r="A56" s="2081"/>
      <c r="B56" s="2082"/>
      <c r="C56" s="2082"/>
      <c r="I56" s="3112" t="s">
        <v>2353</v>
      </c>
      <c r="J56" s="3052" t="e">
        <f ca="1">ROUND(IF(J48="钢混",J58/J51,1-(1-2%)*(J51-J58)/J51),3)</f>
        <v>#VALUE!</v>
      </c>
      <c r="K56" s="3113" t="s">
        <v>2354</v>
      </c>
      <c r="L56" s="2350"/>
      <c r="O56" s="2368" t="s">
        <v>2409</v>
      </c>
      <c r="P56" s="1578"/>
      <c r="Q56" s="1589"/>
      <c r="R56" s="1578"/>
    </row>
    <row r="57" spans="1:18" s="2044" customFormat="1" ht="52" thickBot="1">
      <c r="A57" s="2081"/>
      <c r="B57" s="2082"/>
      <c r="C57" s="2082"/>
      <c r="I57" s="3114" t="s">
        <v>2355</v>
      </c>
      <c r="J57" s="3124" t="s">
        <v>1678</v>
      </c>
      <c r="K57" s="3077" t="s">
        <v>2360</v>
      </c>
      <c r="L57" s="1893">
        <f ca="1">IF(L49&lt;J52,"——",L49-J52)</f>
        <v>0</v>
      </c>
      <c r="O57" s="2359" t="s">
        <v>2373</v>
      </c>
      <c r="P57" s="2360" t="s">
        <v>2374</v>
      </c>
      <c r="Q57" s="2361" t="s">
        <v>2375</v>
      </c>
      <c r="R57" s="2360" t="s">
        <v>2376</v>
      </c>
    </row>
    <row r="58" spans="1:18" s="2044" customFormat="1" ht="35" thickBot="1">
      <c r="A58" s="2081"/>
      <c r="B58" s="2082"/>
      <c r="C58" s="2082"/>
      <c r="I58" s="3115" t="s">
        <v>2356</v>
      </c>
      <c r="J58" s="3116" t="str">
        <f ca="1">IF(OR(M48="住宅",J52&lt;L49,J57="是"),"——",J52-L49)</f>
        <v>——</v>
      </c>
      <c r="K58" s="3077" t="s">
        <v>2361</v>
      </c>
      <c r="L58" s="1893">
        <f ca="1">IF(L49&lt;J52,"——",IF(L56="比较法",L50,IF(L56="基准地价",L51,L52)))</f>
        <v>0</v>
      </c>
      <c r="O58" s="2362" t="s">
        <v>2377</v>
      </c>
      <c r="P58" s="2363" t="s">
        <v>2403</v>
      </c>
      <c r="Q58" s="2364">
        <f ca="1">C41+J31</f>
        <v>0</v>
      </c>
      <c r="R58" s="2363" t="s">
        <v>2378</v>
      </c>
    </row>
    <row r="59" spans="1:18" s="2044" customFormat="1" ht="35" thickBot="1">
      <c r="A59" s="2081"/>
      <c r="B59" s="2082"/>
      <c r="C59" s="2082"/>
      <c r="I59" s="3115" t="s">
        <v>2357</v>
      </c>
      <c r="J59" s="3053" t="e">
        <f ca="1">IF(J56&lt;0.4,0.4,J56)</f>
        <v>#VALUE!</v>
      </c>
      <c r="K59" s="3077"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35" thickBot="1">
      <c r="A60" s="2081"/>
      <c r="B60" s="2082"/>
      <c r="C60" s="2082"/>
      <c r="I60" s="3115" t="s">
        <v>2358</v>
      </c>
      <c r="J60" s="3116" t="str">
        <f ca="1">IF(OR(M48="住宅",J52&lt;L49,J57="是"),"——",ROUND(C30*J59,0))</f>
        <v>——</v>
      </c>
      <c r="K60" s="3077"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8" thickBot="1">
      <c r="A61" s="2081"/>
      <c r="B61" s="2082"/>
      <c r="C61" s="2082"/>
      <c r="I61" s="3117" t="s">
        <v>2359</v>
      </c>
      <c r="J61" s="3118" t="str">
        <f ca="1">IF(OR(M48="住宅",J52&lt;L49,J57="是"),"0",ROUND(J60/(1+J53)^J54,0))</f>
        <v>0</v>
      </c>
      <c r="K61" s="3119" t="s">
        <v>2364</v>
      </c>
      <c r="L61" s="3118" t="e">
        <f ca="1">IF(OR(M48="住宅",L49&lt;J52),0,ROUND(L58*(L59/L60-1),0))</f>
        <v>#DIV/0!</v>
      </c>
      <c r="O61" s="2365" t="s">
        <v>2382</v>
      </c>
      <c r="P61" s="2363" t="s">
        <v>2391</v>
      </c>
      <c r="Q61" s="2366">
        <f>L53</f>
        <v>0</v>
      </c>
      <c r="R61" s="2367"/>
    </row>
    <row r="62" spans="1:18" s="2044" customFormat="1" ht="19" thickBot="1">
      <c r="A62" s="2081"/>
      <c r="B62" s="2082"/>
      <c r="C62" s="2082"/>
      <c r="K62" s="2071"/>
      <c r="O62" s="2365" t="s">
        <v>2384</v>
      </c>
      <c r="P62" s="2363" t="s">
        <v>2392</v>
      </c>
      <c r="Q62" s="2364">
        <f ca="1">L59</f>
        <v>0</v>
      </c>
      <c r="R62" s="2367" t="s">
        <v>2393</v>
      </c>
    </row>
    <row r="63" spans="1:18" s="2044" customFormat="1" ht="19" thickBot="1">
      <c r="A63" s="2081"/>
      <c r="B63" s="2082"/>
      <c r="C63" s="2082"/>
      <c r="I63" s="3120" t="s">
        <v>2365</v>
      </c>
      <c r="J63" s="3121" t="s">
        <v>2366</v>
      </c>
      <c r="K63" s="3121" t="s">
        <v>2367</v>
      </c>
      <c r="L63" s="3121" t="s">
        <v>2348</v>
      </c>
      <c r="M63" s="3122" t="s">
        <v>2941</v>
      </c>
      <c r="O63" s="2365" t="s">
        <v>2386</v>
      </c>
      <c r="P63" s="2363" t="s">
        <v>2394</v>
      </c>
      <c r="Q63" s="2364">
        <f ca="1">L60</f>
        <v>0</v>
      </c>
      <c r="R63" s="2367" t="s">
        <v>2395</v>
      </c>
    </row>
    <row r="64" spans="1:18" s="2044" customFormat="1" ht="18" thickBot="1">
      <c r="A64" s="2081"/>
      <c r="B64" s="2082"/>
      <c r="C64" s="2082"/>
      <c r="I64" s="3120" t="s">
        <v>2368</v>
      </c>
      <c r="J64" s="3121">
        <v>70</v>
      </c>
      <c r="K64" s="3121">
        <v>50</v>
      </c>
      <c r="L64" s="3121">
        <v>80</v>
      </c>
      <c r="M64" s="3123">
        <v>0.02</v>
      </c>
      <c r="O64" s="2362" t="s">
        <v>2389</v>
      </c>
      <c r="P64" s="2363" t="s">
        <v>2406</v>
      </c>
      <c r="Q64" s="2364" t="e">
        <f ca="1">Q58+Q59</f>
        <v>#DIV/0!</v>
      </c>
      <c r="R64" s="2367" t="s">
        <v>2390</v>
      </c>
    </row>
    <row r="65" spans="1:18" s="2044" customFormat="1" ht="17" thickBot="1">
      <c r="A65" s="2081"/>
      <c r="B65" s="2082"/>
      <c r="C65" s="2082"/>
      <c r="I65" s="3120" t="s">
        <v>2369</v>
      </c>
      <c r="J65" s="3121">
        <v>50</v>
      </c>
      <c r="K65" s="3121">
        <v>35</v>
      </c>
      <c r="L65" s="3121">
        <v>60</v>
      </c>
      <c r="M65" s="846">
        <v>0</v>
      </c>
      <c r="O65" s="2368" t="s">
        <v>2413</v>
      </c>
      <c r="P65" s="1578"/>
      <c r="Q65" s="1589"/>
      <c r="R65" s="1578"/>
    </row>
    <row r="66" spans="1:18" s="2044" customFormat="1" ht="18" thickBot="1">
      <c r="A66" s="2081"/>
      <c r="B66" s="2082"/>
      <c r="C66" s="2082"/>
      <c r="I66" s="3120" t="s">
        <v>2370</v>
      </c>
      <c r="J66" s="3121">
        <v>40</v>
      </c>
      <c r="K66" s="3121">
        <v>30</v>
      </c>
      <c r="L66" s="3121">
        <v>50</v>
      </c>
      <c r="M66" s="3123">
        <v>0.02</v>
      </c>
      <c r="O66" s="2359" t="s">
        <v>2373</v>
      </c>
      <c r="P66" s="2360" t="s">
        <v>2374</v>
      </c>
      <c r="Q66" s="2361" t="s">
        <v>2375</v>
      </c>
      <c r="R66" s="2360" t="s">
        <v>2376</v>
      </c>
    </row>
    <row r="67" spans="1:18" s="2044" customFormat="1" ht="18" thickBot="1">
      <c r="A67" s="2081"/>
      <c r="B67" s="2082"/>
      <c r="C67" s="2082"/>
      <c r="K67" s="2071"/>
      <c r="O67" s="2362" t="s">
        <v>2377</v>
      </c>
      <c r="P67" s="2363" t="s">
        <v>2403</v>
      </c>
      <c r="Q67" s="2364">
        <f ca="1">C41+J31</f>
        <v>0</v>
      </c>
      <c r="R67" s="2363" t="s">
        <v>2378</v>
      </c>
    </row>
    <row r="68" spans="1:18" s="2044" customFormat="1" ht="19" thickBot="1">
      <c r="A68" s="2081"/>
      <c r="B68" s="2082"/>
      <c r="C68" s="2082"/>
      <c r="K68" s="2071"/>
      <c r="O68" s="2362" t="s">
        <v>2379</v>
      </c>
      <c r="P68" s="2363" t="s">
        <v>2410</v>
      </c>
      <c r="Q68" s="2364" t="e">
        <f ca="1">L61</f>
        <v>#DIV/0!</v>
      </c>
      <c r="R68" s="2367" t="s">
        <v>2412</v>
      </c>
    </row>
    <row r="69" spans="1:18" s="2044" customFormat="1" ht="21" thickBot="1">
      <c r="A69" s="2081"/>
      <c r="B69" s="2082"/>
      <c r="C69" s="2082"/>
      <c r="K69" s="2071"/>
      <c r="O69" s="2365" t="s">
        <v>2381</v>
      </c>
      <c r="P69" s="2363" t="s">
        <v>2411</v>
      </c>
      <c r="Q69" s="2369">
        <f ca="1">L52</f>
        <v>0</v>
      </c>
      <c r="R69" s="2370" t="s">
        <v>2414</v>
      </c>
    </row>
    <row r="70" spans="1:18" s="2044" customFormat="1" ht="19" thickBot="1">
      <c r="A70" s="2081"/>
      <c r="B70" s="2082"/>
      <c r="C70" s="2082"/>
      <c r="K70" s="2071"/>
      <c r="O70" s="2365" t="s">
        <v>2382</v>
      </c>
      <c r="P70" s="2371" t="s">
        <v>2396</v>
      </c>
      <c r="Q70" s="2364">
        <f ca="1">ROUND(Q71-Q72*Q73,0)</f>
        <v>0</v>
      </c>
      <c r="R70" s="2367"/>
    </row>
    <row r="71" spans="1:18" s="2044" customFormat="1" ht="18" thickBot="1">
      <c r="A71" s="2081"/>
      <c r="B71" s="2082"/>
      <c r="C71" s="2082"/>
      <c r="K71" s="2071"/>
      <c r="O71" s="2365" t="s">
        <v>2397</v>
      </c>
      <c r="P71" s="2371" t="s">
        <v>2398</v>
      </c>
      <c r="Q71" s="2364">
        <f ca="1">C42</f>
        <v>0</v>
      </c>
      <c r="R71" s="2363" t="s">
        <v>2378</v>
      </c>
    </row>
    <row r="72" spans="1:18" s="2044" customFormat="1" ht="18" thickBot="1">
      <c r="A72" s="2081"/>
      <c r="B72" s="2082"/>
      <c r="C72" s="2082"/>
      <c r="K72" s="2071"/>
      <c r="O72" s="2365" t="s">
        <v>2399</v>
      </c>
      <c r="P72" s="2371" t="s">
        <v>2400</v>
      </c>
      <c r="Q72" s="2364">
        <f ca="1">C15</f>
        <v>0</v>
      </c>
      <c r="R72" s="2363" t="s">
        <v>2378</v>
      </c>
    </row>
    <row r="73" spans="1:18" s="2044" customFormat="1" ht="18" thickBot="1">
      <c r="A73" s="2081"/>
      <c r="B73" s="2082"/>
      <c r="C73" s="2082"/>
      <c r="K73" s="2071"/>
      <c r="O73" s="2365" t="s">
        <v>2401</v>
      </c>
      <c r="P73" s="2371" t="s">
        <v>2402</v>
      </c>
      <c r="Q73" s="2366">
        <f ca="1">F43</f>
        <v>0</v>
      </c>
      <c r="R73" s="2367"/>
    </row>
    <row r="74" spans="1:18" s="2044" customFormat="1" ht="18" thickBot="1">
      <c r="A74" s="2081"/>
      <c r="B74" s="2082"/>
      <c r="C74" s="2082"/>
      <c r="K74" s="2071"/>
      <c r="O74" s="2365" t="s">
        <v>2384</v>
      </c>
      <c r="P74" s="2363" t="s">
        <v>2391</v>
      </c>
      <c r="Q74" s="2366">
        <f>L53</f>
        <v>0</v>
      </c>
      <c r="R74" s="2367"/>
    </row>
    <row r="75" spans="1:18" s="2044" customFormat="1" ht="19" thickBot="1">
      <c r="A75" s="2081"/>
      <c r="B75" s="2082"/>
      <c r="C75" s="2082"/>
      <c r="K75" s="2071"/>
      <c r="O75" s="2365" t="s">
        <v>2386</v>
      </c>
      <c r="P75" s="2363" t="s">
        <v>2392</v>
      </c>
      <c r="Q75" s="2364">
        <f ca="1">L59</f>
        <v>0</v>
      </c>
      <c r="R75" s="2367" t="s">
        <v>2393</v>
      </c>
    </row>
    <row r="76" spans="1:18" s="2044" customFormat="1" ht="19" thickBot="1">
      <c r="A76" s="2081"/>
      <c r="B76" s="2082"/>
      <c r="C76" s="2082"/>
      <c r="K76" s="2071"/>
      <c r="O76" s="2365" t="s">
        <v>2415</v>
      </c>
      <c r="P76" s="2363" t="s">
        <v>2394</v>
      </c>
      <c r="Q76" s="2364">
        <f ca="1">L60</f>
        <v>0</v>
      </c>
      <c r="R76" s="2367" t="s">
        <v>2395</v>
      </c>
    </row>
    <row r="77" spans="1:18" s="2044" customFormat="1" ht="18"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6F71-315F-5048-A8A3-1CA8F4E8C3CF}">
  <sheetPr>
    <tabColor rgb="FF92D050"/>
    <pageSetUpPr fitToPage="1"/>
  </sheetPr>
  <dimension ref="A1:AG76"/>
  <sheetViews>
    <sheetView zoomScale="80" zoomScaleNormal="80" workbookViewId="0">
      <selection activeCell="I15" sqref="I15"/>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1725</v>
      </c>
      <c r="B1" s="738"/>
      <c r="C1" s="773" t="s">
        <v>35</v>
      </c>
      <c r="D1" s="3076" t="s">
        <v>3081</v>
      </c>
      <c r="E1" s="2351" t="s">
        <v>870</v>
      </c>
      <c r="F1" s="2352">
        <f ca="1">J53</f>
        <v>47.5</v>
      </c>
      <c r="G1" s="774">
        <f>MATCH(C1,'数据-取费表'!A6:A16,0)+5</f>
        <v>12</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5533</v>
      </c>
      <c r="C2" s="2042"/>
      <c r="D2" s="2040"/>
      <c r="E2" s="2041"/>
      <c r="F2" s="2041"/>
      <c r="G2" s="1576"/>
      <c r="H2" s="2042"/>
      <c r="I2" s="2042"/>
      <c r="J2" s="2042"/>
      <c r="K2" s="2043"/>
      <c r="L2" s="2042"/>
      <c r="M2" s="2042"/>
    </row>
    <row r="3" spans="1:33" ht="18" customHeight="1" thickBot="1">
      <c r="A3" s="833" t="s">
        <v>519</v>
      </c>
      <c r="B3" s="834">
        <f ca="1">IF(ISERROR(B2*10000/F43),0,ROUND(B2*10000/F43,0))</f>
        <v>863</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2456</v>
      </c>
      <c r="C5" s="55">
        <f ca="1">C6+C10+C12</f>
        <v>546</v>
      </c>
      <c r="D5" s="2460" t="s">
        <v>2459</v>
      </c>
      <c r="E5" s="2454"/>
      <c r="F5" s="2455"/>
      <c r="G5" s="1578"/>
      <c r="H5" s="781">
        <v>1</v>
      </c>
      <c r="I5" s="782" t="s">
        <v>2456</v>
      </c>
      <c r="J5" s="55">
        <f ca="1">J6+J10+J12</f>
        <v>0</v>
      </c>
      <c r="K5" s="2460" t="s">
        <v>2459</v>
      </c>
      <c r="L5" s="2454"/>
      <c r="M5" s="2455"/>
    </row>
    <row r="6" spans="1:33" ht="18" customHeight="1">
      <c r="A6" s="1815" t="s">
        <v>1824</v>
      </c>
      <c r="B6" s="3467" t="s">
        <v>2461</v>
      </c>
      <c r="C6" s="783">
        <f ca="1">ROUND(F6*F8*F7*(1-F9)/10000,0)</f>
        <v>546</v>
      </c>
      <c r="D6" s="2461" t="s">
        <v>2460</v>
      </c>
      <c r="E6" s="784" t="s">
        <v>637</v>
      </c>
      <c r="F6" s="785">
        <f ca="1">INDIRECT("'数据-取费表'!u"&amp;$G$1)</f>
        <v>300</v>
      </c>
      <c r="G6" s="1578"/>
      <c r="H6" s="2468" t="s">
        <v>1824</v>
      </c>
      <c r="I6" s="3467" t="s">
        <v>2461</v>
      </c>
      <c r="J6" s="783">
        <f ca="1">ROUND(M6*M8*M7*(1-M9)/10000,0)</f>
        <v>0</v>
      </c>
      <c r="K6" s="341" t="s">
        <v>636</v>
      </c>
      <c r="L6" s="784" t="s">
        <v>637</v>
      </c>
      <c r="M6" s="785">
        <f ca="1">INDIRECT("'数据-取费表'!z"&amp;$G$1)</f>
        <v>0</v>
      </c>
    </row>
    <row r="7" spans="1:33" ht="18" customHeight="1">
      <c r="A7" s="2464"/>
      <c r="B7" s="3468"/>
      <c r="C7" s="788"/>
      <c r="D7" s="789"/>
      <c r="E7" s="784" t="s">
        <v>638</v>
      </c>
      <c r="F7" s="785">
        <f ca="1">IF(INDIRECT("'数据-取费表'!ah"&amp;$G$1)="",INDIRECT("'数据-取费表'!k"&amp;$G$1),INDIRECT("'数据-取费表'!ah"&amp;$G$1))</f>
        <v>1686</v>
      </c>
      <c r="G7" s="1578"/>
      <c r="H7" s="2453"/>
      <c r="I7" s="3468"/>
      <c r="J7" s="788"/>
      <c r="K7" s="789"/>
      <c r="L7" s="784" t="s">
        <v>638</v>
      </c>
      <c r="M7" s="785">
        <f ca="1">F7</f>
        <v>1686</v>
      </c>
    </row>
    <row r="8" spans="1:33" ht="18" customHeight="1">
      <c r="A8" s="2457"/>
      <c r="B8" s="3469"/>
      <c r="C8" s="788"/>
      <c r="D8" s="789"/>
      <c r="E8" s="784" t="s">
        <v>639</v>
      </c>
      <c r="F8" s="785">
        <f ca="1">INDIRECT("'数据-取费表'!ai"&amp;$G$1)</f>
        <v>12</v>
      </c>
      <c r="G8" s="1578"/>
      <c r="H8" s="2453"/>
      <c r="I8" s="3469"/>
      <c r="J8" s="788"/>
      <c r="K8" s="789"/>
      <c r="L8" s="784" t="s">
        <v>639</v>
      </c>
      <c r="M8" s="785">
        <f ca="1">INDIRECT("'数据-取费表'!ai"&amp;$G$1)</f>
        <v>12</v>
      </c>
    </row>
    <row r="9" spans="1:33" ht="18" customHeight="1">
      <c r="A9" s="786"/>
      <c r="B9" s="3470"/>
      <c r="C9" s="788"/>
      <c r="D9" s="789"/>
      <c r="E9" s="784" t="s">
        <v>640</v>
      </c>
      <c r="F9" s="794">
        <f ca="1">INDIRECT("'数据-取费表'!w"&amp;$G$1)</f>
        <v>0.1</v>
      </c>
      <c r="G9" s="1578"/>
      <c r="H9" s="2469"/>
      <c r="I9" s="3469"/>
      <c r="J9" s="788"/>
      <c r="K9" s="789"/>
      <c r="L9" s="795" t="s">
        <v>640</v>
      </c>
      <c r="M9" s="796">
        <f ca="1">INDIRECT("'数据-取费表'!ab"&amp;$G$1)</f>
        <v>0</v>
      </c>
    </row>
    <row r="10" spans="1:33" ht="18" customHeight="1">
      <c r="A10" s="1815" t="s">
        <v>1825</v>
      </c>
      <c r="B10" s="2458" t="s">
        <v>2457</v>
      </c>
      <c r="C10" s="799">
        <f ca="1">ROUND(IF(F10="押一",C6/12*F11,IF(F10="押二",C6/12*2*F11,IF(F10="押三",C6/12*3*F11,C11*F11))),0)</f>
        <v>0</v>
      </c>
      <c r="D10" s="2465" t="s">
        <v>2972</v>
      </c>
      <c r="E10" s="2462" t="s">
        <v>2462</v>
      </c>
      <c r="F10" s="2585"/>
      <c r="G10" s="1578"/>
      <c r="H10" s="2525" t="s">
        <v>1825</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2454</v>
      </c>
      <c r="F11" s="796">
        <f ca="1">'数据-取费表'!B39</f>
        <v>1.4999999999999999E-2</v>
      </c>
      <c r="G11" s="1578"/>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8"/>
      <c r="H12" s="2515" t="s">
        <v>2465</v>
      </c>
      <c r="I12" s="2528" t="s">
        <v>2458</v>
      </c>
      <c r="J12" s="2529"/>
      <c r="K12" s="2504"/>
      <c r="L12" s="2505"/>
      <c r="M12" s="2518"/>
    </row>
    <row r="13" spans="1:33" ht="18" customHeight="1" thickTop="1">
      <c r="A13" s="1814">
        <v>2</v>
      </c>
      <c r="B13" s="1812" t="s">
        <v>644</v>
      </c>
      <c r="C13" s="792">
        <f ca="1">ROUND(C29*F13,0)</f>
        <v>18832</v>
      </c>
      <c r="D13" s="1819" t="s">
        <v>2295</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12980</v>
      </c>
      <c r="D14" s="3182" t="s">
        <v>646</v>
      </c>
      <c r="E14" s="3183"/>
      <c r="F14" s="805"/>
      <c r="G14" s="1578"/>
      <c r="H14" s="1634" t="s">
        <v>1824</v>
      </c>
      <c r="I14" s="2216" t="s">
        <v>2822</v>
      </c>
      <c r="J14" s="53">
        <f ca="1">C29</f>
        <v>18832</v>
      </c>
      <c r="K14" s="26"/>
      <c r="L14" s="801"/>
      <c r="M14" s="802"/>
    </row>
    <row r="15" spans="1:33" s="2049" customFormat="1" ht="18" customHeight="1" thickBot="1">
      <c r="A15" s="1633" t="s">
        <v>1832</v>
      </c>
      <c r="B15" s="784" t="s">
        <v>647</v>
      </c>
      <c r="C15" s="53">
        <f ca="1">ROUND(C14*F15,0)</f>
        <v>649</v>
      </c>
      <c r="D15" s="806" t="s">
        <v>648</v>
      </c>
      <c r="E15" s="806" t="s">
        <v>649</v>
      </c>
      <c r="F15" s="807">
        <f>'数据-取费表'!B33</f>
        <v>0.05</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7</v>
      </c>
      <c r="I16" s="1812" t="s">
        <v>651</v>
      </c>
      <c r="J16" s="792">
        <f ca="1">ROUND(J17+J22+J23+J24,0)</f>
        <v>1780</v>
      </c>
      <c r="K16" s="1806" t="s">
        <v>652</v>
      </c>
      <c r="L16" s="3184"/>
      <c r="M16" s="2455"/>
    </row>
    <row r="17" spans="1:33" s="2049" customFormat="1" ht="18" customHeight="1">
      <c r="A17" s="1633" t="s">
        <v>1887</v>
      </c>
      <c r="B17" s="784" t="s">
        <v>653</v>
      </c>
      <c r="C17" s="53">
        <f ca="1">ROUND(F17*(F43+INDIRECT("'数据-取费表'!S"&amp;$G$1))/10000,0)</f>
        <v>1298</v>
      </c>
      <c r="D17" s="784" t="s">
        <v>654</v>
      </c>
      <c r="E17" s="784" t="s">
        <v>655</v>
      </c>
      <c r="F17" s="56">
        <f>'数据-取费表'!B35</f>
        <v>200</v>
      </c>
      <c r="G17" s="1579"/>
      <c r="H17" s="1634" t="s">
        <v>1824</v>
      </c>
      <c r="I17" s="784" t="s">
        <v>656</v>
      </c>
      <c r="J17" s="53">
        <f ca="1">ROUND(IF(项目基本情况!B11="自然人",J6*M17/(1+'数据-取费表'!C42),J18+J19+J20),0)</f>
        <v>1592</v>
      </c>
      <c r="K17" s="3182" t="s">
        <v>657</v>
      </c>
      <c r="L17" s="3181"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195</v>
      </c>
      <c r="D18" s="784" t="s">
        <v>648</v>
      </c>
      <c r="E18" s="784" t="s">
        <v>649</v>
      </c>
      <c r="F18" s="809">
        <f>'数据-取费表'!B36</f>
        <v>1.4999999999999999E-2</v>
      </c>
      <c r="G18" s="1579"/>
      <c r="H18" s="1633" t="s">
        <v>1831</v>
      </c>
      <c r="I18" s="784" t="s">
        <v>660</v>
      </c>
      <c r="J18" s="53">
        <f ca="1">ROUND(J6*M18/(1+'数据-取费表'!C42),1)</f>
        <v>0</v>
      </c>
      <c r="K18" s="3181"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15122</v>
      </c>
      <c r="D19" s="261" t="s">
        <v>663</v>
      </c>
      <c r="E19" s="3186"/>
      <c r="F19" s="56"/>
      <c r="G19" s="1578"/>
      <c r="H19" s="1633" t="s">
        <v>1832</v>
      </c>
      <c r="I19" s="784" t="s">
        <v>664</v>
      </c>
      <c r="J19" s="53">
        <f ca="1">IF(K19="按租金收入计税",ROUND(J6*M19/(1+'数据-取费表'!C42),1),ROUND(C29*F33*0.7,1))</f>
        <v>1581.9</v>
      </c>
      <c r="K19" s="811" t="s">
        <v>665</v>
      </c>
      <c r="L19" s="784" t="s">
        <v>649</v>
      </c>
      <c r="M19" s="809">
        <f>IF(K19="按租金收入计税",'数据-取费表'!B51,'数据-取费表'!B50)</f>
        <v>1.2E-2</v>
      </c>
    </row>
    <row r="20" spans="1:33" s="2049" customFormat="1" ht="18" customHeight="1">
      <c r="A20" s="1634" t="s">
        <v>1889</v>
      </c>
      <c r="B20" s="784" t="s">
        <v>666</v>
      </c>
      <c r="C20" s="53">
        <f ca="1">ROUND(C19*F20,0)</f>
        <v>378</v>
      </c>
      <c r="D20" s="812" t="s">
        <v>667</v>
      </c>
      <c r="E20" s="784" t="s">
        <v>649</v>
      </c>
      <c r="F20" s="809">
        <f>'数据-取费表'!B37</f>
        <v>2.5000000000000001E-2</v>
      </c>
      <c r="G20" s="1579"/>
      <c r="H20" s="1636" t="s">
        <v>1833</v>
      </c>
      <c r="I20" s="341" t="s">
        <v>668</v>
      </c>
      <c r="J20" s="54">
        <f ca="1">ROUND(M20*M21/10000,0)</f>
        <v>10</v>
      </c>
      <c r="K20" s="814" t="s">
        <v>669</v>
      </c>
      <c r="L20" s="784" t="s">
        <v>670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v>
      </c>
      <c r="D21" s="812" t="s">
        <v>2296</v>
      </c>
      <c r="E21" s="784" t="s">
        <v>673</v>
      </c>
      <c r="F21" s="809">
        <f>'数据-取费表'!B38</f>
        <v>0.03</v>
      </c>
      <c r="G21" s="1579"/>
      <c r="H21" s="2470"/>
      <c r="I21" s="793"/>
      <c r="J21" s="69"/>
      <c r="K21" s="816"/>
      <c r="L21" s="784" t="s">
        <v>674</v>
      </c>
      <c r="M21" s="785">
        <f ca="1">INDIRECT("'数据-取费表'!r"&amp;$G$1)</f>
        <v>17420.14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6"/>
      <c r="F22" s="56"/>
      <c r="G22" s="1578"/>
      <c r="H22" s="1634" t="s">
        <v>1889</v>
      </c>
      <c r="I22" s="784" t="s">
        <v>676</v>
      </c>
      <c r="J22" s="53">
        <f ca="1">ROUND(J14*M22,0)</f>
        <v>188</v>
      </c>
      <c r="K22" s="3181" t="s">
        <v>677</v>
      </c>
      <c r="L22" s="784" t="s">
        <v>649</v>
      </c>
      <c r="M22" s="817">
        <f ca="1">INDIRECT("'数据-取费表'!Ak"&amp;$G$1)</f>
        <v>0.01</v>
      </c>
    </row>
    <row r="23" spans="1:33" s="2049" customFormat="1" ht="18" customHeight="1">
      <c r="A23" s="1633" t="s">
        <v>1831</v>
      </c>
      <c r="B23" s="784" t="s">
        <v>2435</v>
      </c>
      <c r="C23" s="53">
        <f ca="1">ROUND(IF('数据-取费表'!B22&lt;=1,(C19+C20)*F24*F23/2,(C19+C20)*(POWER((1+F24),F23/2)-1)),0)</f>
        <v>926</v>
      </c>
      <c r="D23" s="2535" t="str">
        <f>IF(F23&lt;=1,"(建造成本+管理费用)×利率×(建设周期÷2)","(建造成本+管理费用)×((1+利率)^(建设周期÷2)-1)")</f>
        <v>(建造成本+管理费用)×((1+利率)^(建设周期÷2)-1)</v>
      </c>
      <c r="E23" s="784" t="s">
        <v>678</v>
      </c>
      <c r="F23" s="640">
        <f>'数据-取费表'!B20</f>
        <v>2.5</v>
      </c>
      <c r="G23" s="1579"/>
      <c r="H23" s="1634" t="s">
        <v>1890</v>
      </c>
      <c r="I23" s="784" t="s">
        <v>679</v>
      </c>
      <c r="J23" s="53">
        <f ca="1">ROUND(J13*M23,0)</f>
        <v>0</v>
      </c>
      <c r="K23" s="3181"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1.8E-3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6"/>
      <c r="F25" s="56"/>
      <c r="G25" s="1578"/>
      <c r="H25" s="1814" t="s">
        <v>1776</v>
      </c>
      <c r="I25" s="2962" t="s">
        <v>2819</v>
      </c>
      <c r="J25" s="792">
        <f ca="1">J5-J16</f>
        <v>-1780</v>
      </c>
      <c r="K25" s="2512" t="s">
        <v>700</v>
      </c>
      <c r="L25" s="2513"/>
      <c r="M25" s="2514"/>
    </row>
    <row r="26" spans="1:33" ht="18" customHeight="1">
      <c r="A26" s="1633" t="s">
        <v>1831</v>
      </c>
      <c r="B26" s="784" t="s">
        <v>2436</v>
      </c>
      <c r="C26" s="53">
        <f ca="1">ROUND((C19+C20)*F26,0)</f>
        <v>775</v>
      </c>
      <c r="D26" s="812" t="s">
        <v>701</v>
      </c>
      <c r="E26" s="795" t="s">
        <v>702</v>
      </c>
      <c r="F26" s="794">
        <f ca="1">INDIRECT("'数据-取费表'!q"&amp;$G$1)</f>
        <v>0.05</v>
      </c>
      <c r="G26" s="1578"/>
      <c r="H26" s="2466" t="s">
        <v>1780</v>
      </c>
      <c r="I26" s="2217" t="s">
        <v>2824</v>
      </c>
      <c r="J26" s="783">
        <f ca="1">IF(J5&lt;&gt;0,ROUND(J25*(1-((1+M28)/(1+M26))^M27)/(M26-M28),0),0)</f>
        <v>0</v>
      </c>
      <c r="K26" s="814" t="s">
        <v>704</v>
      </c>
      <c r="L26" s="784" t="s">
        <v>2417</v>
      </c>
      <c r="M26" s="794">
        <f ca="1">INDIRECT("'数据-取费表'!I"&amp;$G$1)</f>
        <v>0.05</v>
      </c>
    </row>
    <row r="27" spans="1:33" ht="18" customHeight="1">
      <c r="A27" s="1633" t="s">
        <v>1832</v>
      </c>
      <c r="B27" s="784" t="s">
        <v>686</v>
      </c>
      <c r="C27" s="53">
        <f ca="1">ROUND(F21*F26,4)</f>
        <v>1.5E-3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2297</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18832</v>
      </c>
      <c r="D29" s="2509"/>
      <c r="E29" s="2510"/>
      <c r="F29" s="2511"/>
      <c r="G29" s="1579"/>
      <c r="H29" s="823" t="s">
        <v>1787</v>
      </c>
      <c r="I29" s="824" t="s">
        <v>1788</v>
      </c>
      <c r="J29" s="825">
        <f ca="1">ROUND(J26/(1+F40)^F41,0)</f>
        <v>0</v>
      </c>
      <c r="K29" s="826" t="s">
        <v>688</v>
      </c>
      <c r="L29" s="827"/>
      <c r="M29" s="828">
        <f ca="1">INDIRECT("'数据-取费表'!k"&amp;$G$1)</f>
        <v>64125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324</v>
      </c>
      <c r="D30" s="1806" t="s">
        <v>652</v>
      </c>
      <c r="E30" s="3184"/>
      <c r="F30" s="2455"/>
      <c r="G30" s="2047"/>
      <c r="H30" s="2050"/>
      <c r="I30" s="2051"/>
      <c r="J30" s="2052"/>
      <c r="K30" s="2053"/>
      <c r="L30" s="2054"/>
      <c r="M30" s="2055"/>
    </row>
    <row r="31" spans="1:33" ht="18" customHeight="1">
      <c r="A31" s="1634" t="s">
        <v>1824</v>
      </c>
      <c r="B31" s="784" t="s">
        <v>656</v>
      </c>
      <c r="C31" s="53">
        <f ca="1">ROUND(IF(项目基本情况!B11="自然人",C6*F31/(1+'数据-取费表'!C42),C32+C33+C34),1)</f>
        <v>102</v>
      </c>
      <c r="D31" s="3182" t="s">
        <v>657</v>
      </c>
      <c r="E31" s="3181"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ROUND(C6*F32/(1+'数据-取费表'!C42),1)</f>
        <v>29.1</v>
      </c>
      <c r="D32" s="3181"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IF(D33="按租金收入计税",ROUND(C6*F33/(1+'数据-取费表'!C42),1),IF(D33="按房产原值计税",ROUND(C29*F33*0.7,1),INDIRECT("'数据-取费表'!Aj"&amp;$G$1)))</f>
        <v>62.4</v>
      </c>
      <c r="D33" s="811" t="s">
        <v>3083</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10.5</v>
      </c>
      <c r="D34" s="814" t="s">
        <v>669</v>
      </c>
      <c r="E34" s="784" t="s">
        <v>670</v>
      </c>
      <c r="F34" s="640">
        <f>'数据-取费表'!B52</f>
        <v>6</v>
      </c>
      <c r="G34" s="2047"/>
      <c r="H34" s="2050"/>
      <c r="I34" s="835" t="s">
        <v>1813</v>
      </c>
      <c r="J34" s="836"/>
      <c r="K34" s="2065"/>
      <c r="L34" s="2064"/>
      <c r="M34" s="2064"/>
    </row>
    <row r="35" spans="1:18" ht="18" customHeight="1">
      <c r="A35" s="815"/>
      <c r="B35" s="793"/>
      <c r="C35" s="69"/>
      <c r="D35" s="816"/>
      <c r="E35" s="784" t="s">
        <v>674</v>
      </c>
      <c r="F35" s="785">
        <f ca="1">INDIRECT("'数据-取费表'!r"&amp;$G$1)</f>
        <v>17420.14</v>
      </c>
      <c r="G35" s="2047"/>
      <c r="H35" s="2050"/>
      <c r="I35" s="837" t="s">
        <v>1814</v>
      </c>
      <c r="J35" s="838">
        <f ca="1">ROUND(C13*J36,0)</f>
        <v>1601</v>
      </c>
      <c r="K35" s="2063"/>
      <c r="L35" s="2062"/>
      <c r="M35" s="2062"/>
    </row>
    <row r="36" spans="1:18" ht="18" customHeight="1">
      <c r="A36" s="1634" t="s">
        <v>1889</v>
      </c>
      <c r="B36" s="784" t="s">
        <v>676</v>
      </c>
      <c r="C36" s="53">
        <f ca="1">ROUND(C29*F36,1)</f>
        <v>188.3</v>
      </c>
      <c r="D36" s="3181" t="s">
        <v>691</v>
      </c>
      <c r="E36" s="784" t="s">
        <v>649</v>
      </c>
      <c r="F36" s="817">
        <f ca="1">INDIRECT("'数据-取费表'!Ak"&amp;$G$1)</f>
        <v>0.01</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28.2</v>
      </c>
      <c r="D37" s="3181"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5.5</v>
      </c>
      <c r="D38" s="2509" t="s">
        <v>683</v>
      </c>
      <c r="E38" s="2510" t="s">
        <v>649</v>
      </c>
      <c r="F38" s="2506">
        <f ca="1">INDIRECT("'数据-取费表'!Am"&amp;$G$1)</f>
        <v>0.01</v>
      </c>
      <c r="G38" s="2047"/>
      <c r="H38" s="2062"/>
      <c r="I38" s="843" t="s">
        <v>1817</v>
      </c>
      <c r="J38" s="844"/>
      <c r="K38" s="2068"/>
      <c r="L38" s="2062"/>
      <c r="M38" s="2062"/>
    </row>
    <row r="39" spans="1:18" ht="24.5" customHeight="1" thickTop="1">
      <c r="A39" s="1814" t="s">
        <v>1776</v>
      </c>
      <c r="B39" s="2962" t="s">
        <v>2819</v>
      </c>
      <c r="C39" s="792">
        <f ca="1">C5-C30</f>
        <v>222</v>
      </c>
      <c r="D39" s="2512" t="s">
        <v>700</v>
      </c>
      <c r="E39" s="2513"/>
      <c r="F39" s="2514"/>
      <c r="G39" s="2047"/>
      <c r="H39" s="2062"/>
      <c r="I39" s="837" t="s">
        <v>1818</v>
      </c>
      <c r="J39" s="845">
        <f ca="1">ROUND(J35/C39,3)</f>
        <v>7.2119999999999997</v>
      </c>
      <c r="K39" s="2068"/>
      <c r="L39" s="2062"/>
      <c r="M39" s="2062"/>
    </row>
    <row r="40" spans="1:18" ht="18" customHeight="1">
      <c r="A40" s="781" t="s">
        <v>1780</v>
      </c>
      <c r="B40" s="2217" t="s">
        <v>2299</v>
      </c>
      <c r="C40" s="783">
        <f ca="1">ROUND(C39*(1-((1+F42)/(1+F40))^F41)/(F40-F42),0)</f>
        <v>5533</v>
      </c>
      <c r="D40" s="814" t="s">
        <v>704</v>
      </c>
      <c r="E40" s="784" t="s">
        <v>2417</v>
      </c>
      <c r="F40" s="794">
        <f ca="1">INDIRECT("'数据-取费表'!I"&amp;$G$1)</f>
        <v>0.05</v>
      </c>
      <c r="G40" s="2047"/>
      <c r="H40" s="2047"/>
      <c r="I40" s="837" t="s">
        <v>1819</v>
      </c>
      <c r="J40" s="845">
        <f ca="1">1-J39</f>
        <v>-6.2119999999999997</v>
      </c>
      <c r="K40" s="2068"/>
      <c r="L40" s="2047"/>
      <c r="M40" s="2047"/>
    </row>
    <row r="41" spans="1:18" ht="18" customHeight="1">
      <c r="A41" s="786"/>
      <c r="B41" s="787"/>
      <c r="C41" s="788"/>
      <c r="D41" s="821" t="s">
        <v>1808</v>
      </c>
      <c r="E41" s="784" t="s">
        <v>708</v>
      </c>
      <c r="F41" s="822">
        <f ca="1">IF(INDIRECT("'数据-取费表'!af"&amp;$G$1)=0,INDIRECT("'数据-取费表'!ae"&amp;$G$1),INDIRECT("'数据-取费表'!af"&amp;$G$1))</f>
        <v>47.5</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3.4039999999999999</v>
      </c>
      <c r="K42" s="2067"/>
      <c r="L42" s="1973"/>
      <c r="M42" s="1973"/>
    </row>
    <row r="43" spans="1:18" ht="18" customHeight="1" thickBot="1">
      <c r="A43" s="823" t="s">
        <v>1787</v>
      </c>
      <c r="B43" s="824" t="s">
        <v>1810</v>
      </c>
      <c r="C43" s="825">
        <f ca="1">ROUND(C40*10000/F43,0)</f>
        <v>863</v>
      </c>
      <c r="D43" s="826" t="s">
        <v>1811</v>
      </c>
      <c r="E43" s="827" t="s">
        <v>1812</v>
      </c>
      <c r="F43" s="828">
        <f ca="1">INDIRECT("'数据-取费表'!k"&amp;$G$1)</f>
        <v>64125</v>
      </c>
      <c r="G43" s="2047"/>
      <c r="H43" s="1973"/>
      <c r="I43" s="847" t="s">
        <v>1822</v>
      </c>
      <c r="J43" s="848">
        <f ca="1">1-J42</f>
        <v>-2.4039999999999999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-9626</v>
      </c>
      <c r="D46" s="2070"/>
      <c r="E46" s="2070"/>
      <c r="F46" s="2070"/>
      <c r="I46" s="2342" t="s">
        <v>2341</v>
      </c>
      <c r="J46" s="2343"/>
      <c r="K46" s="2344"/>
      <c r="L46" s="3107">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8" t="s">
        <v>2342</v>
      </c>
      <c r="J47" s="2345" t="s">
        <v>3082</v>
      </c>
      <c r="K47" s="3104" t="s">
        <v>2347</v>
      </c>
      <c r="L47" s="3108">
        <f ca="1">INDIRECT("'数据-取费表'!d"&amp;$G$1)</f>
        <v>50</v>
      </c>
      <c r="M47" s="1589" t="str">
        <f>IF(ISNUMBER(FIND("住宅",C1)),"住宅","非住宅")</f>
        <v>非住宅</v>
      </c>
      <c r="O47" s="2359" t="s">
        <v>2373</v>
      </c>
      <c r="P47" s="2360" t="s">
        <v>2374</v>
      </c>
      <c r="Q47" s="2361" t="s">
        <v>2375</v>
      </c>
      <c r="R47" s="2360" t="s">
        <v>2376</v>
      </c>
    </row>
    <row r="48" spans="1:18" s="2044" customFormat="1" ht="18" customHeight="1" thickBot="1">
      <c r="A48" s="2606" t="s">
        <v>1870</v>
      </c>
      <c r="B48" s="2607" t="s">
        <v>2536</v>
      </c>
      <c r="C48" s="2338">
        <f ca="1">ROUND(F48*F50*F49*(1-F51)/10000,0)</f>
        <v>0</v>
      </c>
      <c r="D48" s="2339" t="s">
        <v>636</v>
      </c>
      <c r="E48" s="2340" t="s">
        <v>2294</v>
      </c>
      <c r="F48" s="2341"/>
      <c r="G48" s="2075"/>
      <c r="I48" s="3077" t="s">
        <v>2343</v>
      </c>
      <c r="J48" s="2346" t="s">
        <v>2348</v>
      </c>
      <c r="K48" s="3105" t="s">
        <v>2349</v>
      </c>
      <c r="L48" s="1893">
        <f ca="1">INDIRECT("'数据-取费表'!f"&amp;$G$1)</f>
        <v>50</v>
      </c>
      <c r="O48" s="2362" t="s">
        <v>2377</v>
      </c>
      <c r="P48" s="2363" t="s">
        <v>2403</v>
      </c>
      <c r="Q48" s="2364">
        <f ca="1">C40+J29</f>
        <v>5533</v>
      </c>
      <c r="R48" s="2363" t="s">
        <v>2378</v>
      </c>
    </row>
    <row r="49" spans="1:18" s="2044" customFormat="1" ht="18" customHeight="1" thickBot="1">
      <c r="A49" s="786"/>
      <c r="B49" s="787"/>
      <c r="C49" s="788"/>
      <c r="D49" s="789"/>
      <c r="E49" s="784" t="s">
        <v>638</v>
      </c>
      <c r="F49" s="785">
        <f ca="1">F7</f>
        <v>1686</v>
      </c>
      <c r="G49" s="2075"/>
      <c r="H49" s="2078"/>
      <c r="I49" s="3077" t="s">
        <v>2344</v>
      </c>
      <c r="J49" s="2347"/>
      <c r="K49" s="3106" t="s">
        <v>2350</v>
      </c>
      <c r="L49" s="2348"/>
      <c r="O49" s="2362" t="s">
        <v>2379</v>
      </c>
      <c r="P49" s="2363" t="s">
        <v>2404</v>
      </c>
      <c r="Q49" s="2364">
        <f ca="1">J60</f>
        <v>7533</v>
      </c>
      <c r="R49" s="2363" t="s">
        <v>2380</v>
      </c>
    </row>
    <row r="50" spans="1:18" s="2044" customFormat="1" ht="18" customHeight="1" thickBot="1">
      <c r="A50" s="786"/>
      <c r="B50" s="787"/>
      <c r="C50" s="788"/>
      <c r="D50" s="789"/>
      <c r="E50" s="784" t="s">
        <v>639</v>
      </c>
      <c r="F50" s="785">
        <f ca="1">F8</f>
        <v>12</v>
      </c>
      <c r="G50" s="2080"/>
      <c r="H50" s="2078"/>
      <c r="I50" s="3077" t="s">
        <v>2345</v>
      </c>
      <c r="J50" s="3102">
        <f>SUMPRODUCT((I63:I65=J47)*(J62:L62=J48)*(J63:L65))</f>
        <v>60</v>
      </c>
      <c r="K50" s="3106" t="s">
        <v>2351</v>
      </c>
      <c r="L50" s="2348"/>
      <c r="O50" s="2365" t="s">
        <v>2381</v>
      </c>
      <c r="P50" s="2363" t="s">
        <v>2405</v>
      </c>
      <c r="Q50" s="2364">
        <f ca="1">C29</f>
        <v>18832</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-27246</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0" t="s">
        <v>2419</v>
      </c>
      <c r="J52" s="2349"/>
      <c r="K52" s="3100"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1" t="s">
        <v>2976</v>
      </c>
      <c r="J53" s="3180">
        <f ca="1">IF(M47="住宅",IF(D1="——",MAX(J51,L48),MAX(J51,L48-'数据-取费表'!B20)),IF(D1="——",MIN(J51,L48),MIN(J51,L48-'数据-取费表'!B20)))</f>
        <v>47.5</v>
      </c>
      <c r="K53" s="3473" t="s">
        <v>2964</v>
      </c>
      <c r="L53" s="3474"/>
      <c r="O53" s="2365" t="s">
        <v>2386</v>
      </c>
      <c r="P53" s="2363" t="s">
        <v>2387</v>
      </c>
      <c r="Q53" s="2364">
        <f ca="1">J53</f>
        <v>47.5</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13066</v>
      </c>
      <c r="R54" s="2367" t="s">
        <v>2390</v>
      </c>
    </row>
    <row r="55" spans="1:18" s="2044" customFormat="1" ht="18" customHeight="1" thickTop="1" thickBot="1">
      <c r="A55" s="797">
        <v>2</v>
      </c>
      <c r="B55" s="798" t="s">
        <v>644</v>
      </c>
      <c r="C55" s="799">
        <f ca="1">C13</f>
        <v>18832</v>
      </c>
      <c r="D55" s="795"/>
      <c r="E55" s="795"/>
      <c r="F55" s="800"/>
      <c r="I55" s="3112" t="s">
        <v>2353</v>
      </c>
      <c r="J55" s="3052">
        <f ca="1">ROUND(IF(J47="钢混",J57/J50,1-(1-2%)*(J50-J57)/J50),3)</f>
        <v>0.16700000000000001</v>
      </c>
      <c r="K55" s="3113" t="s">
        <v>2354</v>
      </c>
      <c r="L55" s="2350"/>
      <c r="O55" s="2368" t="s">
        <v>2409</v>
      </c>
      <c r="P55" s="1578"/>
      <c r="Q55" s="1589"/>
      <c r="R55" s="1578"/>
    </row>
    <row r="56" spans="1:18" s="2044" customFormat="1" ht="42.75" customHeight="1" thickBot="1">
      <c r="A56" s="1635"/>
      <c r="B56" s="2216" t="s">
        <v>2298</v>
      </c>
      <c r="C56" s="53">
        <f ca="1">C29</f>
        <v>18832</v>
      </c>
      <c r="D56" s="3181"/>
      <c r="E56" s="784"/>
      <c r="F56" s="809"/>
      <c r="I56" s="3114" t="s">
        <v>2355</v>
      </c>
      <c r="J56" s="3124"/>
      <c r="K56" s="3077" t="s">
        <v>2360</v>
      </c>
      <c r="L56" s="1893" t="str">
        <f ca="1">IF(L48&lt;J51,"——",L48-J51)</f>
        <v>——</v>
      </c>
      <c r="O56" s="2359" t="s">
        <v>2373</v>
      </c>
      <c r="P56" s="2360" t="s">
        <v>2374</v>
      </c>
      <c r="Q56" s="2361" t="s">
        <v>2375</v>
      </c>
      <c r="R56" s="2360" t="s">
        <v>2376</v>
      </c>
    </row>
    <row r="57" spans="1:18" s="2044" customFormat="1" ht="28.5" customHeight="1" thickBot="1">
      <c r="A57" s="797" t="s">
        <v>7</v>
      </c>
      <c r="B57" s="798" t="s">
        <v>651</v>
      </c>
      <c r="C57" s="799">
        <f ca="1">ROUND(C58+C63+C64+C65,0)</f>
        <v>227</v>
      </c>
      <c r="D57" s="26" t="s">
        <v>652</v>
      </c>
      <c r="E57" s="3186"/>
      <c r="F57" s="56"/>
      <c r="I57" s="3115" t="s">
        <v>2356</v>
      </c>
      <c r="J57" s="3116">
        <f ca="1">IF(OR(M47="住宅",J51&lt;L48,J56="是"),"——",J51-L48)</f>
        <v>10</v>
      </c>
      <c r="K57" s="3077" t="s">
        <v>2361</v>
      </c>
      <c r="L57" s="1893" t="str">
        <f ca="1">IF(L48&lt;J51,"——",IF(L55="比较法",L49,IF(L55="基准地价",L50,L51)))</f>
        <v>——</v>
      </c>
      <c r="O57" s="2362" t="s">
        <v>2377</v>
      </c>
      <c r="P57" s="2363" t="s">
        <v>2403</v>
      </c>
      <c r="Q57" s="2364">
        <f ca="1">C40+J29</f>
        <v>5533</v>
      </c>
      <c r="R57" s="2363" t="s">
        <v>2378</v>
      </c>
    </row>
    <row r="58" spans="1:18" s="2044" customFormat="1" ht="28.5" customHeight="1" thickBot="1">
      <c r="A58" s="1634" t="s">
        <v>1824</v>
      </c>
      <c r="B58" s="784" t="s">
        <v>656</v>
      </c>
      <c r="C58" s="53">
        <f ca="1">ROUND(IF(项目基本情况!B11="自然人",C47*F58,C59+C60+C61),1)</f>
        <v>10.5</v>
      </c>
      <c r="D58" s="3182" t="s">
        <v>657</v>
      </c>
      <c r="E58" s="3181" t="s">
        <v>690</v>
      </c>
      <c r="F58" s="810" t="str">
        <f ca="1">IF(项目基本情况!B11="企业","",IF(INDIRECT("'数据-取费表'!c"&amp;$G$1)="住宅",5%,IF(F48*F49*F50/12/(1+'数据-取费表'!C42)&gt;20000,12%,7%)))</f>
        <v/>
      </c>
      <c r="I58" s="3115" t="s">
        <v>2357</v>
      </c>
      <c r="J58" s="3053">
        <f ca="1">IF(J55&lt;0.4,0.4,J55)</f>
        <v>0.4</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3181" t="s">
        <v>661</v>
      </c>
      <c r="E59" s="784" t="s">
        <v>649</v>
      </c>
      <c r="F59" s="809">
        <f t="shared" ref="F59:F65" si="0">F32</f>
        <v>5.6000000000000001E-2</v>
      </c>
      <c r="I59" s="3115" t="s">
        <v>2358</v>
      </c>
      <c r="J59" s="3116">
        <f ca="1">IF(OR(M47="住宅",J51&lt;L48,J56="是"),"——",ROUND(C29*J58,0))</f>
        <v>7533</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664</v>
      </c>
      <c r="C60" s="53">
        <f ca="1">IF(D60="按租金收入计税",ROUND(C47*F60,1),IF(D60="按房产原值计税",ROUND(C56*F60*0.7,1),INDIRECT("'数据-取费表'!Aj"&amp;$G$1)))</f>
        <v>0</v>
      </c>
      <c r="D60" s="3181" t="str">
        <f>D33</f>
        <v>按租金收入计税</v>
      </c>
      <c r="E60" s="784" t="s">
        <v>649</v>
      </c>
      <c r="F60" s="809">
        <f t="shared" si="0"/>
        <v>0.12</v>
      </c>
      <c r="I60" s="3117" t="s">
        <v>2359</v>
      </c>
      <c r="J60" s="3118">
        <f ca="1">IF(OR(M47="住宅",J51&lt;L48,J56="是"),"0",ROUND(J59/(1+J52)^J53,0))</f>
        <v>7533</v>
      </c>
      <c r="K60" s="3119" t="s">
        <v>2364</v>
      </c>
      <c r="L60" s="3118">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10.5</v>
      </c>
      <c r="D61" s="814" t="s">
        <v>669</v>
      </c>
      <c r="E61" s="784" t="s">
        <v>670</v>
      </c>
      <c r="F61" s="640">
        <f t="shared" si="0"/>
        <v>6</v>
      </c>
      <c r="K61" s="2071"/>
      <c r="O61" s="2365" t="s">
        <v>2384</v>
      </c>
      <c r="P61" s="2363" t="s">
        <v>2392</v>
      </c>
      <c r="Q61" s="2364" t="e">
        <f ca="1">L58</f>
        <v>#DIV/0!</v>
      </c>
      <c r="R61" s="2367" t="s">
        <v>2393</v>
      </c>
    </row>
    <row r="62" spans="1:18" s="2044" customFormat="1" ht="18" thickBot="1">
      <c r="A62" s="815"/>
      <c r="B62" s="793"/>
      <c r="C62" s="69"/>
      <c r="D62" s="816"/>
      <c r="E62" s="784" t="s">
        <v>674</v>
      </c>
      <c r="F62" s="785">
        <f t="shared" ca="1" si="0"/>
        <v>17420.14</v>
      </c>
      <c r="I62" s="3120" t="s">
        <v>2365</v>
      </c>
      <c r="J62" s="3121" t="s">
        <v>2366</v>
      </c>
      <c r="K62" s="3121" t="s">
        <v>2367</v>
      </c>
      <c r="L62" s="3121" t="s">
        <v>2348</v>
      </c>
      <c r="M62" s="3122" t="s">
        <v>2941</v>
      </c>
      <c r="O62" s="2365" t="s">
        <v>2386</v>
      </c>
      <c r="P62" s="2363" t="str">
        <f>K59</f>
        <v>建设期及建筑物耐用年限下的土地年期修正系数Kn</v>
      </c>
      <c r="Q62" s="2364" t="e">
        <f ca="1">L59</f>
        <v>#DIV/0!</v>
      </c>
      <c r="R62" s="2367" t="s">
        <v>2395</v>
      </c>
    </row>
    <row r="63" spans="1:18" s="2044" customFormat="1" ht="18" thickBot="1">
      <c r="A63" s="1634" t="s">
        <v>1889</v>
      </c>
      <c r="B63" s="784" t="s">
        <v>676</v>
      </c>
      <c r="C63" s="53">
        <f ca="1">ROUND(C56*F63,1)</f>
        <v>188.3</v>
      </c>
      <c r="D63" s="3181" t="s">
        <v>691</v>
      </c>
      <c r="E63" s="784" t="s">
        <v>649</v>
      </c>
      <c r="F63" s="817">
        <f t="shared" ca="1" si="0"/>
        <v>0.01</v>
      </c>
      <c r="I63" s="3120" t="s">
        <v>2368</v>
      </c>
      <c r="J63" s="3121">
        <v>70</v>
      </c>
      <c r="K63" s="3121">
        <v>50</v>
      </c>
      <c r="L63" s="3121">
        <v>80</v>
      </c>
      <c r="M63" s="3123">
        <v>0.02</v>
      </c>
      <c r="O63" s="2362" t="s">
        <v>2389</v>
      </c>
      <c r="P63" s="2363" t="s">
        <v>2406</v>
      </c>
      <c r="Q63" s="2364">
        <f ca="1">Q57+Q58</f>
        <v>5533</v>
      </c>
      <c r="R63" s="2367" t="s">
        <v>2390</v>
      </c>
    </row>
    <row r="64" spans="1:18" s="2044" customFormat="1" ht="17" thickBot="1">
      <c r="A64" s="1634" t="s">
        <v>1890</v>
      </c>
      <c r="B64" s="784" t="s">
        <v>679</v>
      </c>
      <c r="C64" s="53">
        <f ca="1">ROUND(C55*F64,1)</f>
        <v>28.2</v>
      </c>
      <c r="D64" s="3181" t="s">
        <v>680</v>
      </c>
      <c r="E64" s="784" t="s">
        <v>649</v>
      </c>
      <c r="F64" s="818">
        <f t="shared" ca="1" si="0"/>
        <v>1.5E-3</v>
      </c>
      <c r="I64" s="3120" t="s">
        <v>2369</v>
      </c>
      <c r="J64" s="3121">
        <v>50</v>
      </c>
      <c r="K64" s="3121">
        <v>35</v>
      </c>
      <c r="L64" s="3121">
        <v>60</v>
      </c>
      <c r="M64" s="846">
        <v>0</v>
      </c>
      <c r="O64" s="2368" t="s">
        <v>2413</v>
      </c>
      <c r="P64" s="1578"/>
      <c r="Q64" s="1589"/>
      <c r="R64" s="1578"/>
    </row>
    <row r="65" spans="1:18" s="2044" customFormat="1" ht="18" thickBot="1">
      <c r="A65" s="1634" t="s">
        <v>1891</v>
      </c>
      <c r="B65" s="784" t="s">
        <v>666</v>
      </c>
      <c r="C65" s="53">
        <f ca="1">ROUND(C47*F65,1)</f>
        <v>0</v>
      </c>
      <c r="D65" s="3181" t="s">
        <v>683</v>
      </c>
      <c r="E65" s="784" t="s">
        <v>649</v>
      </c>
      <c r="F65" s="794">
        <f t="shared" ca="1" si="0"/>
        <v>0.01</v>
      </c>
      <c r="I65" s="3120" t="s">
        <v>2370</v>
      </c>
      <c r="J65" s="3121">
        <v>40</v>
      </c>
      <c r="K65" s="3121">
        <v>30</v>
      </c>
      <c r="L65" s="3121">
        <v>50</v>
      </c>
      <c r="M65" s="3123">
        <v>0.02</v>
      </c>
      <c r="O65" s="2359" t="s">
        <v>2373</v>
      </c>
      <c r="P65" s="2360" t="s">
        <v>2374</v>
      </c>
      <c r="Q65" s="2361" t="s">
        <v>2375</v>
      </c>
      <c r="R65" s="2360" t="s">
        <v>2376</v>
      </c>
    </row>
    <row r="66" spans="1:18" s="2044" customFormat="1" ht="18" thickBot="1">
      <c r="A66" s="797" t="s">
        <v>1776</v>
      </c>
      <c r="B66" s="2963" t="s">
        <v>2819</v>
      </c>
      <c r="C66" s="799">
        <f ca="1">C47-C57</f>
        <v>-227</v>
      </c>
      <c r="D66" s="3182" t="s">
        <v>700</v>
      </c>
      <c r="E66" s="3185"/>
      <c r="F66" s="820"/>
      <c r="K66" s="2071"/>
      <c r="O66" s="2362" t="s">
        <v>2377</v>
      </c>
      <c r="P66" s="2363" t="s">
        <v>2403</v>
      </c>
      <c r="Q66" s="2364">
        <f ca="1">C40+J29</f>
        <v>5533</v>
      </c>
      <c r="R66" s="2363" t="s">
        <v>2378</v>
      </c>
    </row>
    <row r="67" spans="1:18" s="2044" customFormat="1" ht="19" thickBot="1">
      <c r="A67" s="781" t="s">
        <v>1780</v>
      </c>
      <c r="B67" s="2217" t="s">
        <v>2299</v>
      </c>
      <c r="C67" s="783">
        <f ca="1">ROUND(C66*(1-((1+F69)/(1+F67))^F68)/(F67-F69),0)</f>
        <v>-4093</v>
      </c>
      <c r="D67" s="814" t="s">
        <v>704</v>
      </c>
      <c r="E67" s="784" t="s">
        <v>705</v>
      </c>
      <c r="F67" s="794">
        <f ca="1">F40</f>
        <v>0.05</v>
      </c>
      <c r="K67" s="2071"/>
      <c r="O67" s="2362" t="s">
        <v>2379</v>
      </c>
      <c r="P67" s="2363" t="s">
        <v>2410</v>
      </c>
      <c r="Q67" s="2364">
        <f ca="1">L60</f>
        <v>0</v>
      </c>
      <c r="R67" s="2367" t="s">
        <v>2412</v>
      </c>
    </row>
    <row r="68" spans="1:18" ht="21" thickBot="1">
      <c r="A68" s="786"/>
      <c r="B68" s="787"/>
      <c r="C68" s="788"/>
      <c r="D68" s="821" t="s">
        <v>1808</v>
      </c>
      <c r="E68" s="784" t="s">
        <v>708</v>
      </c>
      <c r="F68" s="822">
        <f ca="1">F41</f>
        <v>47.5</v>
      </c>
      <c r="O68" s="2365" t="s">
        <v>2381</v>
      </c>
      <c r="P68" s="2363" t="s">
        <v>2411</v>
      </c>
      <c r="Q68" s="2369">
        <f ca="1">L51</f>
        <v>-27246</v>
      </c>
      <c r="R68" s="2370" t="s">
        <v>2414</v>
      </c>
    </row>
    <row r="69" spans="1:18" ht="19" thickBot="1">
      <c r="A69" s="790"/>
      <c r="B69" s="791"/>
      <c r="C69" s="792"/>
      <c r="D69" s="816"/>
      <c r="E69" s="784" t="s">
        <v>710</v>
      </c>
      <c r="F69" s="2335"/>
      <c r="O69" s="2365" t="s">
        <v>2382</v>
      </c>
      <c r="P69" s="2371" t="s">
        <v>2396</v>
      </c>
      <c r="Q69" s="2364">
        <f ca="1">ROUND(Q70-Q71*Q72,0)</f>
        <v>-1379</v>
      </c>
      <c r="R69" s="2367"/>
    </row>
    <row r="70" spans="1:18" ht="18" thickBot="1">
      <c r="A70" s="823" t="s">
        <v>1787</v>
      </c>
      <c r="B70" s="824" t="s">
        <v>1810</v>
      </c>
      <c r="C70" s="825">
        <f ca="1">ROUND(C67*10000/F70,0)</f>
        <v>-638</v>
      </c>
      <c r="D70" s="826" t="s">
        <v>1811</v>
      </c>
      <c r="E70" s="827" t="s">
        <v>1812</v>
      </c>
      <c r="F70" s="828">
        <f ca="1">F43</f>
        <v>64125</v>
      </c>
      <c r="O70" s="2365" t="s">
        <v>2397</v>
      </c>
      <c r="P70" s="2371" t="s">
        <v>2398</v>
      </c>
      <c r="Q70" s="2364">
        <f ca="1">C39</f>
        <v>222</v>
      </c>
      <c r="R70" s="2363" t="s">
        <v>2378</v>
      </c>
    </row>
    <row r="71" spans="1:18" ht="18" thickBot="1">
      <c r="O71" s="2365" t="s">
        <v>2399</v>
      </c>
      <c r="P71" s="2371" t="s">
        <v>2400</v>
      </c>
      <c r="Q71" s="2364">
        <f ca="1">C13</f>
        <v>18832</v>
      </c>
      <c r="R71" s="2363" t="s">
        <v>2378</v>
      </c>
    </row>
    <row r="72" spans="1:18" ht="18" thickBot="1">
      <c r="O72" s="2365" t="s">
        <v>2401</v>
      </c>
      <c r="P72" s="2371" t="s">
        <v>2402</v>
      </c>
      <c r="Q72" s="2366">
        <f ca="1">J36</f>
        <v>8.5000000000000006E-2</v>
      </c>
      <c r="R72" s="2367"/>
    </row>
    <row r="73" spans="1:18" ht="18" thickBot="1">
      <c r="O73" s="2365" t="s">
        <v>2384</v>
      </c>
      <c r="P73" s="2363" t="s">
        <v>2391</v>
      </c>
      <c r="Q73" s="2366">
        <f>L52</f>
        <v>0</v>
      </c>
      <c r="R73" s="2367"/>
    </row>
    <row r="74" spans="1:18" ht="19" thickBot="1">
      <c r="O74" s="2365" t="s">
        <v>2386</v>
      </c>
      <c r="P74" s="2363" t="s">
        <v>2392</v>
      </c>
      <c r="Q74" s="2364" t="e">
        <f ca="1">L58</f>
        <v>#DIV/0!</v>
      </c>
      <c r="R74" s="2367" t="s">
        <v>2393</v>
      </c>
    </row>
    <row r="75" spans="1:18" ht="18" thickBot="1">
      <c r="O75" s="2365" t="s">
        <v>2415</v>
      </c>
      <c r="P75" s="2363" t="str">
        <f>K59</f>
        <v>建设期及建筑物耐用年限下的土地年期修正系数Kn</v>
      </c>
      <c r="Q75" s="2364" t="e">
        <f ca="1">L59</f>
        <v>#DIV/0!</v>
      </c>
      <c r="R75" s="2367" t="s">
        <v>2395</v>
      </c>
    </row>
    <row r="76" spans="1:18" ht="18" thickBot="1">
      <c r="O76" s="2362" t="s">
        <v>2389</v>
      </c>
      <c r="P76" s="2363" t="s">
        <v>2406</v>
      </c>
      <c r="Q76" s="2364">
        <f ca="1">Q66+Q67</f>
        <v>5533</v>
      </c>
      <c r="R76" s="2367" t="s">
        <v>2390</v>
      </c>
    </row>
  </sheetData>
  <sheetProtection formatCells="0" formatColumns="0" formatRows="0"/>
  <mergeCells count="3">
    <mergeCell ref="B6:B9"/>
    <mergeCell ref="I6:I9"/>
    <mergeCell ref="K53:L53"/>
  </mergeCells>
  <phoneticPr fontId="227"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xr:uid="{2A1186AB-84F3-A748-BEA3-4E4186ABEF80}">
      <formula1>"土地（套用方法）,——"</formula1>
    </dataValidation>
    <dataValidation type="list" allowBlank="1" showInputMessage="1" showErrorMessage="1" sqref="F10 M10 F52" xr:uid="{AD32F902-C242-D142-A9BE-62B873C00EE2}">
      <formula1>"押一,押二,押三,自定义"</formula1>
    </dataValidation>
    <dataValidation type="list" allowBlank="1" showInputMessage="1" showErrorMessage="1" sqref="J48" xr:uid="{27FE2E05-41D1-F041-B262-C8CD2F2CEA6A}">
      <formula1>"非生产用房,生产用房,受腐蚀的生产用房"</formula1>
    </dataValidation>
    <dataValidation type="list" allowBlank="1" showInputMessage="1" showErrorMessage="1" sqref="J47" xr:uid="{5F7E1937-8990-8D40-9CE1-4D7E66243C8C}">
      <formula1>"钢,钢混,砖混"</formula1>
    </dataValidation>
    <dataValidation type="list" allowBlank="1" showInputMessage="1" showErrorMessage="1" sqref="J56" xr:uid="{366FFB95-A6A7-DE4C-B7B2-9775AE8D79FA}">
      <formula1>判定</formula1>
    </dataValidation>
    <dataValidation type="list" allowBlank="1" showInputMessage="1" showErrorMessage="1" sqref="D33" xr:uid="{CC40D3C2-7E79-1447-AF19-40EEDC4E0373}">
      <formula1>"按租金收入计税,按房产原值计税,按票据"</formula1>
    </dataValidation>
    <dataValidation type="list" allowBlank="1" showInputMessage="1" showErrorMessage="1" sqref="K19" xr:uid="{04CB96B4-C3A1-8942-AE28-8DD959CF11AD}">
      <formula1>"按租金收入计税,按房产原值计税"</formula1>
    </dataValidation>
    <dataValidation type="list" allowBlank="1" showInputMessage="1" showErrorMessage="1" sqref="C1:C3" xr:uid="{774423A7-20D2-1740-AD00-5E18D9737914}">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3E686-AAF7-FC41-A6A2-A337C16AFAE8}">
  <sheetPr>
    <tabColor rgb="FF92D050"/>
    <pageSetUpPr fitToPage="1"/>
  </sheetPr>
  <dimension ref="A1:AG76"/>
  <sheetViews>
    <sheetView topLeftCell="A10" zoomScale="80" zoomScaleNormal="80" workbookViewId="0">
      <selection activeCell="C1" sqref="C1"/>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1725</v>
      </c>
      <c r="B1" s="738"/>
      <c r="C1" s="773" t="s">
        <v>3078</v>
      </c>
      <c r="D1" s="3076" t="s">
        <v>3081</v>
      </c>
      <c r="E1" s="2351" t="s">
        <v>870</v>
      </c>
      <c r="F1" s="2352">
        <f ca="1">J53</f>
        <v>37.5</v>
      </c>
      <c r="G1" s="774">
        <f>MATCH(C1,'数据-取费表'!A6:A16,0)+5</f>
        <v>11</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0</v>
      </c>
      <c r="C2" s="2042"/>
      <c r="D2" s="2040"/>
      <c r="E2" s="2041"/>
      <c r="F2" s="2041"/>
      <c r="G2" s="1576"/>
      <c r="H2" s="2042"/>
      <c r="I2" s="2042"/>
      <c r="J2" s="2042"/>
      <c r="K2" s="2043"/>
      <c r="L2" s="2042"/>
      <c r="M2" s="2042"/>
    </row>
    <row r="3" spans="1:33" ht="18" customHeight="1" thickBot="1">
      <c r="A3" s="833" t="s">
        <v>519</v>
      </c>
      <c r="B3" s="834">
        <f ca="1">IF(ISERROR(B2*10000/F43),0,ROUND(B2*10000/F43,0))</f>
        <v>0</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2456</v>
      </c>
      <c r="C5" s="55">
        <f ca="1">C6+C10+C12</f>
        <v>0</v>
      </c>
      <c r="D5" s="2460" t="s">
        <v>2459</v>
      </c>
      <c r="E5" s="2454"/>
      <c r="F5" s="2455"/>
      <c r="G5" s="1578"/>
      <c r="H5" s="781">
        <v>1</v>
      </c>
      <c r="I5" s="782" t="s">
        <v>2456</v>
      </c>
      <c r="J5" s="55">
        <f ca="1">J6+J10+J12</f>
        <v>0</v>
      </c>
      <c r="K5" s="2460" t="s">
        <v>2459</v>
      </c>
      <c r="L5" s="2454"/>
      <c r="M5" s="2455"/>
    </row>
    <row r="6" spans="1:33" ht="18" customHeight="1">
      <c r="A6" s="1815" t="s">
        <v>1824</v>
      </c>
      <c r="B6" s="3467" t="s">
        <v>2461</v>
      </c>
      <c r="C6" s="783">
        <f ca="1">ROUND(F6*F8*F7*(1-F9)/10000,0)</f>
        <v>0</v>
      </c>
      <c r="D6" s="2461" t="s">
        <v>2460</v>
      </c>
      <c r="E6" s="784" t="s">
        <v>637</v>
      </c>
      <c r="F6" s="785">
        <f ca="1">INDIRECT("'数据-取费表'!u"&amp;$G$1)</f>
        <v>2.25</v>
      </c>
      <c r="G6" s="1578"/>
      <c r="H6" s="2468" t="s">
        <v>1824</v>
      </c>
      <c r="I6" s="3467" t="s">
        <v>2461</v>
      </c>
      <c r="J6" s="783">
        <f ca="1">ROUND(M6*M8*M7*(1-M9)/10000,0)</f>
        <v>0</v>
      </c>
      <c r="K6" s="341" t="s">
        <v>636</v>
      </c>
      <c r="L6" s="784" t="s">
        <v>637</v>
      </c>
      <c r="M6" s="785">
        <f ca="1">INDIRECT("'数据-取费表'!z"&amp;$G$1)</f>
        <v>0</v>
      </c>
    </row>
    <row r="7" spans="1:33" ht="18" customHeight="1">
      <c r="A7" s="2464"/>
      <c r="B7" s="3468"/>
      <c r="C7" s="788"/>
      <c r="D7" s="789"/>
      <c r="E7" s="784" t="s">
        <v>638</v>
      </c>
      <c r="F7" s="785">
        <f ca="1">IF(INDIRECT("'数据-取费表'!ah"&amp;$G$1)="",INDIRECT("'数据-取费表'!k"&amp;$G$1),INDIRECT("'数据-取费表'!ah"&amp;$G$1))</f>
        <v>0</v>
      </c>
      <c r="G7" s="1578"/>
      <c r="H7" s="2453"/>
      <c r="I7" s="3468"/>
      <c r="J7" s="788"/>
      <c r="K7" s="789"/>
      <c r="L7" s="784" t="s">
        <v>638</v>
      </c>
      <c r="M7" s="785">
        <f ca="1">F7</f>
        <v>0</v>
      </c>
    </row>
    <row r="8" spans="1:33" ht="18" customHeight="1">
      <c r="A8" s="2457"/>
      <c r="B8" s="3469"/>
      <c r="C8" s="788"/>
      <c r="D8" s="789"/>
      <c r="E8" s="784" t="s">
        <v>639</v>
      </c>
      <c r="F8" s="785">
        <f ca="1">INDIRECT("'数据-取费表'!ai"&amp;$G$1)</f>
        <v>365</v>
      </c>
      <c r="G8" s="1578"/>
      <c r="H8" s="2453"/>
      <c r="I8" s="3469"/>
      <c r="J8" s="788"/>
      <c r="K8" s="789"/>
      <c r="L8" s="784" t="s">
        <v>639</v>
      </c>
      <c r="M8" s="785">
        <f ca="1">INDIRECT("'数据-取费表'!ai"&amp;$G$1)</f>
        <v>365</v>
      </c>
    </row>
    <row r="9" spans="1:33" ht="18" customHeight="1">
      <c r="A9" s="786"/>
      <c r="B9" s="3470"/>
      <c r="C9" s="788"/>
      <c r="D9" s="789"/>
      <c r="E9" s="784" t="s">
        <v>640</v>
      </c>
      <c r="F9" s="794">
        <f ca="1">INDIRECT("'数据-取费表'!w"&amp;$G$1)</f>
        <v>0.1</v>
      </c>
      <c r="G9" s="1578"/>
      <c r="H9" s="2469"/>
      <c r="I9" s="3469"/>
      <c r="J9" s="788"/>
      <c r="K9" s="789"/>
      <c r="L9" s="795" t="s">
        <v>640</v>
      </c>
      <c r="M9" s="796">
        <f ca="1">INDIRECT("'数据-取费表'!ab"&amp;$G$1)</f>
        <v>0</v>
      </c>
    </row>
    <row r="10" spans="1:33" ht="18" customHeight="1">
      <c r="A10" s="1815" t="s">
        <v>1825</v>
      </c>
      <c r="B10" s="2458" t="s">
        <v>2457</v>
      </c>
      <c r="C10" s="799">
        <f ca="1">ROUND(IF(F10="押一",C6/12*F11,IF(F10="押二",C6/12*2*F11,IF(F10="押三",C6/12*3*F11,C11*F11))),0)</f>
        <v>0</v>
      </c>
      <c r="D10" s="2465" t="s">
        <v>2972</v>
      </c>
      <c r="E10" s="2462" t="s">
        <v>2462</v>
      </c>
      <c r="F10" s="2585"/>
      <c r="G10" s="1578"/>
      <c r="H10" s="2525" t="s">
        <v>1825</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2454</v>
      </c>
      <c r="F11" s="796">
        <f ca="1">'数据-取费表'!B39</f>
        <v>1.4999999999999999E-2</v>
      </c>
      <c r="G11" s="1578"/>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8"/>
      <c r="H12" s="2515" t="s">
        <v>2465</v>
      </c>
      <c r="I12" s="2528" t="s">
        <v>2458</v>
      </c>
      <c r="J12" s="2529"/>
      <c r="K12" s="2504"/>
      <c r="L12" s="2505"/>
      <c r="M12" s="2518"/>
    </row>
    <row r="13" spans="1:33" ht="18" customHeight="1" thickTop="1">
      <c r="A13" s="1814">
        <v>2</v>
      </c>
      <c r="B13" s="1812" t="s">
        <v>644</v>
      </c>
      <c r="C13" s="792">
        <f ca="1">ROUND(C29*F13,0)</f>
        <v>0</v>
      </c>
      <c r="D13" s="1819" t="s">
        <v>2295</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0</v>
      </c>
      <c r="D14" s="3182" t="s">
        <v>646</v>
      </c>
      <c r="E14" s="3183"/>
      <c r="F14" s="805"/>
      <c r="G14" s="1578"/>
      <c r="H14" s="1634" t="s">
        <v>1824</v>
      </c>
      <c r="I14" s="2216" t="s">
        <v>2822</v>
      </c>
      <c r="J14" s="53">
        <f ca="1">C29</f>
        <v>0</v>
      </c>
      <c r="K14" s="26"/>
      <c r="L14" s="801"/>
      <c r="M14" s="802"/>
    </row>
    <row r="15" spans="1:33" s="2049" customFormat="1" ht="18" customHeight="1" thickBot="1">
      <c r="A15" s="1633" t="s">
        <v>1832</v>
      </c>
      <c r="B15" s="784" t="s">
        <v>647</v>
      </c>
      <c r="C15" s="53">
        <f ca="1">ROUND(C14*F15,0)</f>
        <v>0</v>
      </c>
      <c r="D15" s="806" t="s">
        <v>648</v>
      </c>
      <c r="E15" s="806" t="s">
        <v>649</v>
      </c>
      <c r="F15" s="807">
        <f>'数据-取费表'!B33</f>
        <v>0.05</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7</v>
      </c>
      <c r="I16" s="1812" t="s">
        <v>651</v>
      </c>
      <c r="J16" s="792">
        <f ca="1">ROUND(J17+J22+J23+J24,0)</f>
        <v>0</v>
      </c>
      <c r="K16" s="1806" t="s">
        <v>652</v>
      </c>
      <c r="L16" s="3184"/>
      <c r="M16" s="2455"/>
    </row>
    <row r="17" spans="1:33" s="2049" customFormat="1" ht="18" customHeight="1">
      <c r="A17" s="1633" t="s">
        <v>1887</v>
      </c>
      <c r="B17" s="784" t="s">
        <v>653</v>
      </c>
      <c r="C17" s="53">
        <f ca="1">ROUND(F17*(F43+INDIRECT("'数据-取费表'!S"&amp;$G$1))/10000,0)</f>
        <v>0</v>
      </c>
      <c r="D17" s="784" t="s">
        <v>654</v>
      </c>
      <c r="E17" s="784" t="s">
        <v>655</v>
      </c>
      <c r="F17" s="56">
        <f>'数据-取费表'!B35</f>
        <v>200</v>
      </c>
      <c r="G17" s="1579"/>
      <c r="H17" s="1634" t="s">
        <v>1824</v>
      </c>
      <c r="I17" s="784" t="s">
        <v>656</v>
      </c>
      <c r="J17" s="53">
        <f ca="1">ROUND(IF(项目基本情况!B11="自然人",J6*M17/(1+'数据-取费表'!C42),J18+J19+J20),0)</f>
        <v>0</v>
      </c>
      <c r="K17" s="3182" t="s">
        <v>657</v>
      </c>
      <c r="L17" s="3181"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648</v>
      </c>
      <c r="E18" s="784" t="s">
        <v>649</v>
      </c>
      <c r="F18" s="809">
        <f>'数据-取费表'!B36</f>
        <v>1.4999999999999999E-2</v>
      </c>
      <c r="G18" s="1579"/>
      <c r="H18" s="1633" t="s">
        <v>1831</v>
      </c>
      <c r="I18" s="784" t="s">
        <v>660</v>
      </c>
      <c r="J18" s="53">
        <f ca="1">ROUND(J6*M18/(1+'数据-取费表'!C42),1)</f>
        <v>0</v>
      </c>
      <c r="K18" s="3181"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0</v>
      </c>
      <c r="D19" s="261" t="s">
        <v>663</v>
      </c>
      <c r="E19" s="3186"/>
      <c r="F19" s="56"/>
      <c r="G19" s="1578"/>
      <c r="H19" s="1633" t="s">
        <v>1832</v>
      </c>
      <c r="I19" s="784" t="s">
        <v>664</v>
      </c>
      <c r="J19" s="53">
        <f ca="1">IF(K19="按租金收入计税",ROUND(J6*M19/(1+'数据-取费表'!C42),1),ROUND(C29*F33*0.7,1))</f>
        <v>0</v>
      </c>
      <c r="K19" s="811" t="s">
        <v>665</v>
      </c>
      <c r="L19" s="784" t="s">
        <v>649</v>
      </c>
      <c r="M19" s="809">
        <f>IF(K19="按租金收入计税",'数据-取费表'!B51,'数据-取费表'!B50)</f>
        <v>1.2E-2</v>
      </c>
    </row>
    <row r="20" spans="1:33" s="2049" customFormat="1" ht="18" customHeight="1">
      <c r="A20" s="1634" t="s">
        <v>1889</v>
      </c>
      <c r="B20" s="784" t="s">
        <v>666</v>
      </c>
      <c r="C20" s="53">
        <f ca="1">ROUND(C19*F20,0)</f>
        <v>0</v>
      </c>
      <c r="D20" s="812" t="s">
        <v>667</v>
      </c>
      <c r="E20" s="784" t="s">
        <v>649</v>
      </c>
      <c r="F20" s="809">
        <f>'数据-取费表'!B37</f>
        <v>2.5000000000000001E-2</v>
      </c>
      <c r="G20" s="1579"/>
      <c r="H20" s="1636" t="s">
        <v>1833</v>
      </c>
      <c r="I20" s="341" t="s">
        <v>668</v>
      </c>
      <c r="J20" s="54">
        <f ca="1">ROUND(M20*M21/10000,0)</f>
        <v>0</v>
      </c>
      <c r="K20" s="814" t="s">
        <v>669</v>
      </c>
      <c r="L20" s="784" t="s">
        <v>670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v>
      </c>
      <c r="D21" s="812" t="s">
        <v>2296</v>
      </c>
      <c r="E21" s="784" t="s">
        <v>673</v>
      </c>
      <c r="F21" s="809">
        <f>'数据-取费表'!B38</f>
        <v>0.03</v>
      </c>
      <c r="G21" s="1579"/>
      <c r="H21" s="2470"/>
      <c r="I21" s="793"/>
      <c r="J21" s="69"/>
      <c r="K21" s="816"/>
      <c r="L21" s="784" t="s">
        <v>674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6"/>
      <c r="F22" s="56"/>
      <c r="G22" s="1578"/>
      <c r="H22" s="1634" t="s">
        <v>1889</v>
      </c>
      <c r="I22" s="784" t="s">
        <v>676</v>
      </c>
      <c r="J22" s="53">
        <f ca="1">ROUND(J14*M22,0)</f>
        <v>0</v>
      </c>
      <c r="K22" s="3181" t="s">
        <v>677</v>
      </c>
      <c r="L22" s="784" t="s">
        <v>649</v>
      </c>
      <c r="M22" s="817">
        <f ca="1">INDIRECT("'数据-取费表'!Ak"&amp;$G$1)</f>
        <v>0.02</v>
      </c>
    </row>
    <row r="23" spans="1:33" s="2049" customFormat="1" ht="18" customHeight="1">
      <c r="A23" s="1633" t="s">
        <v>1831</v>
      </c>
      <c r="B23" s="784" t="s">
        <v>2435</v>
      </c>
      <c r="C23" s="53">
        <f ca="1">ROUND(IF('数据-取费表'!B22&lt;=1,(C19+C20)*F24*F23/2,(C19+C20)*(POWER((1+F24),F23/2)-1)),0)</f>
        <v>0</v>
      </c>
      <c r="D23" s="2535" t="str">
        <f>IF(F23&lt;=1,"(建造成本+管理费用)×利率×(建设周期÷2)","(建造成本+管理费用)×((1+利率)^(建设周期÷2)-1)")</f>
        <v>(建造成本+管理费用)×((1+利率)^(建设周期÷2)-1)</v>
      </c>
      <c r="E23" s="784" t="s">
        <v>678</v>
      </c>
      <c r="F23" s="640">
        <f>'数据-取费表'!B20</f>
        <v>2.5</v>
      </c>
      <c r="G23" s="1579"/>
      <c r="H23" s="1634" t="s">
        <v>1890</v>
      </c>
      <c r="I23" s="784" t="s">
        <v>679</v>
      </c>
      <c r="J23" s="53">
        <f ca="1">ROUND(J13*M23,0)</f>
        <v>0</v>
      </c>
      <c r="K23" s="3181" t="s">
        <v>680</v>
      </c>
      <c r="L23" s="784" t="s">
        <v>649</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1.8E-3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2.5000000000000001E-2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6"/>
      <c r="F25" s="56"/>
      <c r="G25" s="1578"/>
      <c r="H25" s="1814" t="s">
        <v>1776</v>
      </c>
      <c r="I25" s="2962" t="s">
        <v>2819</v>
      </c>
      <c r="J25" s="792">
        <f ca="1">J5-J16</f>
        <v>0</v>
      </c>
      <c r="K25" s="2512" t="s">
        <v>700</v>
      </c>
      <c r="L25" s="2513"/>
      <c r="M25" s="2514"/>
    </row>
    <row r="26" spans="1:33" ht="18" customHeight="1">
      <c r="A26" s="1633" t="s">
        <v>1831</v>
      </c>
      <c r="B26" s="784" t="s">
        <v>2436</v>
      </c>
      <c r="C26" s="53">
        <f ca="1">ROUND((C19+C20)*F26,0)</f>
        <v>0</v>
      </c>
      <c r="D26" s="812" t="s">
        <v>701</v>
      </c>
      <c r="E26" s="795" t="s">
        <v>702</v>
      </c>
      <c r="F26" s="794">
        <f ca="1">INDIRECT("'数据-取费表'!q"&amp;$G$1)</f>
        <v>0.2</v>
      </c>
      <c r="G26" s="1578"/>
      <c r="H26" s="2466" t="s">
        <v>1780</v>
      </c>
      <c r="I26" s="2217" t="s">
        <v>2824</v>
      </c>
      <c r="J26" s="783">
        <f ca="1">IF(J5&lt;&gt;0,ROUND(J25*(1-((1+M28)/(1+M26))^M27)/(M26-M28),0),0)</f>
        <v>0</v>
      </c>
      <c r="K26" s="814" t="s">
        <v>704</v>
      </c>
      <c r="L26" s="784" t="s">
        <v>2417</v>
      </c>
      <c r="M26" s="794">
        <f ca="1">INDIRECT("'数据-取费表'!I"&amp;$G$1)</f>
        <v>5.5E-2</v>
      </c>
    </row>
    <row r="27" spans="1:33" ht="18" customHeight="1">
      <c r="A27" s="1633" t="s">
        <v>1832</v>
      </c>
      <c r="B27" s="784" t="s">
        <v>686</v>
      </c>
      <c r="C27" s="53">
        <f ca="1">ROUND(F21*F26,4)</f>
        <v>6.0000000000000001E-3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2297</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0</v>
      </c>
      <c r="D29" s="2509"/>
      <c r="E29" s="2510"/>
      <c r="F29" s="2511"/>
      <c r="G29" s="1579"/>
      <c r="H29" s="823" t="s">
        <v>1787</v>
      </c>
      <c r="I29" s="824" t="s">
        <v>1788</v>
      </c>
      <c r="J29" s="825">
        <f ca="1">ROUND(J26/(1+F40)^F41,0)</f>
        <v>0</v>
      </c>
      <c r="K29" s="826" t="s">
        <v>688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0</v>
      </c>
      <c r="D30" s="1806" t="s">
        <v>652</v>
      </c>
      <c r="E30" s="3184"/>
      <c r="F30" s="2455"/>
      <c r="G30" s="2047"/>
      <c r="H30" s="2050"/>
      <c r="I30" s="2051"/>
      <c r="J30" s="2052"/>
      <c r="K30" s="2053"/>
      <c r="L30" s="2054"/>
      <c r="M30" s="2055"/>
    </row>
    <row r="31" spans="1:33" ht="18" customHeight="1">
      <c r="A31" s="1634" t="s">
        <v>1824</v>
      </c>
      <c r="B31" s="784" t="s">
        <v>656</v>
      </c>
      <c r="C31" s="53">
        <f ca="1">ROUND(IF(项目基本情况!B11="自然人",C6*F31/(1+'数据-取费表'!C42),C32+C33+C34),1)</f>
        <v>0</v>
      </c>
      <c r="D31" s="3182" t="s">
        <v>657</v>
      </c>
      <c r="E31" s="3181"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ROUND(C6*F32/(1+'数据-取费表'!C42),1)</f>
        <v>0</v>
      </c>
      <c r="D32" s="3181"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IF(D33="按租金收入计税",ROUND(C6*F33/(1+'数据-取费表'!C42),1),IF(D33="按房产原值计税",ROUND(C29*F33*0.7,1),INDIRECT("'数据-取费表'!Aj"&amp;$G$1)))</f>
        <v>0</v>
      </c>
      <c r="D33" s="811" t="s">
        <v>3083</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0</v>
      </c>
      <c r="D34" s="814" t="s">
        <v>669</v>
      </c>
      <c r="E34" s="784" t="s">
        <v>670</v>
      </c>
      <c r="F34" s="640">
        <f>'数据-取费表'!B52</f>
        <v>6</v>
      </c>
      <c r="G34" s="2047"/>
      <c r="H34" s="2050"/>
      <c r="I34" s="835" t="s">
        <v>1813</v>
      </c>
      <c r="J34" s="836"/>
      <c r="K34" s="2065"/>
      <c r="L34" s="2064"/>
      <c r="M34" s="2064"/>
    </row>
    <row r="35" spans="1:18" ht="18" customHeight="1">
      <c r="A35" s="815"/>
      <c r="B35" s="793"/>
      <c r="C35" s="69"/>
      <c r="D35" s="816"/>
      <c r="E35" s="784" t="s">
        <v>674</v>
      </c>
      <c r="F35" s="785">
        <f ca="1">INDIRECT("'数据-取费表'!r"&amp;$G$1)</f>
        <v>0</v>
      </c>
      <c r="G35" s="2047"/>
      <c r="H35" s="2050"/>
      <c r="I35" s="837" t="s">
        <v>1814</v>
      </c>
      <c r="J35" s="838">
        <f ca="1">ROUND(C13*J36,0)</f>
        <v>0</v>
      </c>
      <c r="K35" s="2063"/>
      <c r="L35" s="2062"/>
      <c r="M35" s="2062"/>
    </row>
    <row r="36" spans="1:18" ht="18" customHeight="1">
      <c r="A36" s="1634" t="s">
        <v>1889</v>
      </c>
      <c r="B36" s="784" t="s">
        <v>676</v>
      </c>
      <c r="C36" s="53">
        <f ca="1">ROUND(C29*F36,1)</f>
        <v>0</v>
      </c>
      <c r="D36" s="3181" t="s">
        <v>691</v>
      </c>
      <c r="E36" s="784" t="s">
        <v>649</v>
      </c>
      <c r="F36" s="817">
        <f ca="1">INDIRECT("'数据-取费表'!Ak"&amp;$G$1)</f>
        <v>0.02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0</v>
      </c>
      <c r="D37" s="3181" t="s">
        <v>680</v>
      </c>
      <c r="E37" s="784" t="s">
        <v>649</v>
      </c>
      <c r="F37" s="818">
        <f ca="1">INDIRECT("'数据-取费表'!Al"&amp;$G$1)</f>
        <v>2E-3</v>
      </c>
      <c r="G37" s="2047"/>
      <c r="H37" s="2062"/>
      <c r="I37" s="841" t="s">
        <v>1816</v>
      </c>
      <c r="J37" s="842"/>
      <c r="K37" s="2067"/>
      <c r="L37" s="2062"/>
      <c r="M37" s="2062"/>
    </row>
    <row r="38" spans="1:18" ht="18" customHeight="1" thickBot="1">
      <c r="A38" s="2515" t="s">
        <v>1891</v>
      </c>
      <c r="B38" s="2510" t="s">
        <v>666</v>
      </c>
      <c r="C38" s="2508">
        <f ca="1">ROUND(C5*F38,1)</f>
        <v>0</v>
      </c>
      <c r="D38" s="2509" t="s">
        <v>683</v>
      </c>
      <c r="E38" s="2510" t="s">
        <v>649</v>
      </c>
      <c r="F38" s="2506">
        <f ca="1">INDIRECT("'数据-取费表'!Am"&amp;$G$1)</f>
        <v>2.5000000000000001E-2</v>
      </c>
      <c r="G38" s="2047"/>
      <c r="H38" s="2062"/>
      <c r="I38" s="843" t="s">
        <v>1817</v>
      </c>
      <c r="J38" s="844"/>
      <c r="K38" s="2068"/>
      <c r="L38" s="2062"/>
      <c r="M38" s="2062"/>
    </row>
    <row r="39" spans="1:18" ht="24.5" customHeight="1" thickTop="1">
      <c r="A39" s="1814" t="s">
        <v>1776</v>
      </c>
      <c r="B39" s="2962" t="s">
        <v>2819</v>
      </c>
      <c r="C39" s="792">
        <f ca="1">C5-C30</f>
        <v>0</v>
      </c>
      <c r="D39" s="2512" t="s">
        <v>700</v>
      </c>
      <c r="E39" s="2513"/>
      <c r="F39" s="2514"/>
      <c r="G39" s="2047"/>
      <c r="H39" s="2062"/>
      <c r="I39" s="837" t="s">
        <v>1818</v>
      </c>
      <c r="J39" s="845" t="e">
        <f ca="1">ROUND(J35/C39,3)</f>
        <v>#DIV/0!</v>
      </c>
      <c r="K39" s="2068"/>
      <c r="L39" s="2062"/>
      <c r="M39" s="2062"/>
    </row>
    <row r="40" spans="1:18" ht="18" customHeight="1">
      <c r="A40" s="781" t="s">
        <v>1780</v>
      </c>
      <c r="B40" s="2217" t="s">
        <v>2299</v>
      </c>
      <c r="C40" s="783">
        <f ca="1">ROUND(C39*(1-((1+F42)/(1+F40))^F41)/(F40-F42),0)</f>
        <v>0</v>
      </c>
      <c r="D40" s="814" t="s">
        <v>704</v>
      </c>
      <c r="E40" s="784" t="s">
        <v>2417</v>
      </c>
      <c r="F40" s="794">
        <f ca="1">INDIRECT("'数据-取费表'!I"&amp;$G$1)</f>
        <v>5.5E-2</v>
      </c>
      <c r="G40" s="2047"/>
      <c r="H40" s="2047"/>
      <c r="I40" s="837" t="s">
        <v>1819</v>
      </c>
      <c r="J40" s="845" t="e">
        <f ca="1">1-J39</f>
        <v>#DIV/0!</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37.5</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0</v>
      </c>
      <c r="D46" s="2070"/>
      <c r="E46" s="2070"/>
      <c r="F46" s="2070"/>
      <c r="I46" s="2342" t="s">
        <v>2341</v>
      </c>
      <c r="J46" s="2343"/>
      <c r="K46" s="2344"/>
      <c r="L46" s="3107">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8" t="s">
        <v>2342</v>
      </c>
      <c r="J47" s="2345" t="s">
        <v>3082</v>
      </c>
      <c r="K47" s="3104" t="s">
        <v>2347</v>
      </c>
      <c r="L47" s="3108">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1870</v>
      </c>
      <c r="B48" s="2607" t="s">
        <v>2536</v>
      </c>
      <c r="C48" s="2338">
        <f ca="1">ROUND(F48*F50*F49*(1-F51)/10000,0)</f>
        <v>0</v>
      </c>
      <c r="D48" s="2339" t="s">
        <v>636</v>
      </c>
      <c r="E48" s="2340" t="s">
        <v>2294</v>
      </c>
      <c r="F48" s="2341"/>
      <c r="G48" s="2075"/>
      <c r="I48" s="3077" t="s">
        <v>2343</v>
      </c>
      <c r="J48" s="2346" t="s">
        <v>2348</v>
      </c>
      <c r="K48" s="3105" t="s">
        <v>2349</v>
      </c>
      <c r="L48" s="1893">
        <f ca="1">INDIRECT("'数据-取费表'!f"&amp;$G$1)</f>
        <v>40</v>
      </c>
      <c r="O48" s="2362" t="s">
        <v>2377</v>
      </c>
      <c r="P48" s="2363" t="s">
        <v>2403</v>
      </c>
      <c r="Q48" s="2364">
        <f ca="1">C40+J29</f>
        <v>0</v>
      </c>
      <c r="R48" s="2363" t="s">
        <v>2378</v>
      </c>
    </row>
    <row r="49" spans="1:18" s="2044" customFormat="1" ht="18" customHeight="1" thickBot="1">
      <c r="A49" s="786"/>
      <c r="B49" s="787"/>
      <c r="C49" s="788"/>
      <c r="D49" s="789"/>
      <c r="E49" s="784" t="s">
        <v>638</v>
      </c>
      <c r="F49" s="785">
        <f ca="1">F7</f>
        <v>0</v>
      </c>
      <c r="G49" s="2075"/>
      <c r="H49" s="2078"/>
      <c r="I49" s="3077" t="s">
        <v>2344</v>
      </c>
      <c r="J49" s="2347"/>
      <c r="K49" s="3106" t="s">
        <v>2350</v>
      </c>
      <c r="L49" s="2348"/>
      <c r="O49" s="2362" t="s">
        <v>2379</v>
      </c>
      <c r="P49" s="2363" t="s">
        <v>2404</v>
      </c>
      <c r="Q49" s="2364">
        <f ca="1">J60</f>
        <v>0</v>
      </c>
      <c r="R49" s="2363" t="s">
        <v>2380</v>
      </c>
    </row>
    <row r="50" spans="1:18" s="2044" customFormat="1" ht="18" customHeight="1" thickBot="1">
      <c r="A50" s="786"/>
      <c r="B50" s="787"/>
      <c r="C50" s="788"/>
      <c r="D50" s="789"/>
      <c r="E50" s="784" t="s">
        <v>639</v>
      </c>
      <c r="F50" s="785">
        <f ca="1">F8</f>
        <v>365</v>
      </c>
      <c r="G50" s="2080"/>
      <c r="H50" s="2078"/>
      <c r="I50" s="3077" t="s">
        <v>2345</v>
      </c>
      <c r="J50" s="3102">
        <f>SUMPRODUCT((I63:I65=J47)*(J62:L62=J48)*(J63:L65))</f>
        <v>60</v>
      </c>
      <c r="K50" s="3106"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0</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0" t="s">
        <v>2419</v>
      </c>
      <c r="J52" s="2349"/>
      <c r="K52" s="3100"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1" t="s">
        <v>2976</v>
      </c>
      <c r="J53" s="3180">
        <f ca="1">IF(M47="住宅",IF(D1="——",MAX(J51,L48),MAX(J51,L48-'数据-取费表'!B20)),IF(D1="——",MIN(J51,L48),MIN(J51,L48-'数据-取费表'!B20)))</f>
        <v>37.5</v>
      </c>
      <c r="K53" s="3473" t="s">
        <v>2964</v>
      </c>
      <c r="L53" s="3474"/>
      <c r="O53" s="2365" t="s">
        <v>2386</v>
      </c>
      <c r="P53" s="2363" t="s">
        <v>2387</v>
      </c>
      <c r="Q53" s="2364">
        <f ca="1">J53</f>
        <v>37.5</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0</v>
      </c>
      <c r="R54" s="2367" t="s">
        <v>2390</v>
      </c>
    </row>
    <row r="55" spans="1:18" s="2044" customFormat="1" ht="18" customHeight="1" thickTop="1" thickBot="1">
      <c r="A55" s="797">
        <v>2</v>
      </c>
      <c r="B55" s="798" t="s">
        <v>644</v>
      </c>
      <c r="C55" s="799">
        <f ca="1">C13</f>
        <v>0</v>
      </c>
      <c r="D55" s="795"/>
      <c r="E55" s="795"/>
      <c r="F55" s="800"/>
      <c r="I55" s="3112" t="s">
        <v>2353</v>
      </c>
      <c r="J55" s="3052">
        <f ca="1">ROUND(IF(J47="钢混",J57/J50,1-(1-2%)*(J50-J57)/J50),3)</f>
        <v>0.33300000000000002</v>
      </c>
      <c r="K55" s="3113" t="s">
        <v>2354</v>
      </c>
      <c r="L55" s="2350"/>
      <c r="O55" s="2368" t="s">
        <v>2409</v>
      </c>
      <c r="P55" s="1578"/>
      <c r="Q55" s="1589"/>
      <c r="R55" s="1578"/>
    </row>
    <row r="56" spans="1:18" s="2044" customFormat="1" ht="42.75" customHeight="1" thickBot="1">
      <c r="A56" s="1635"/>
      <c r="B56" s="2216" t="s">
        <v>2298</v>
      </c>
      <c r="C56" s="53">
        <f ca="1">C29</f>
        <v>0</v>
      </c>
      <c r="D56" s="3181"/>
      <c r="E56" s="784"/>
      <c r="F56" s="809"/>
      <c r="I56" s="3114" t="s">
        <v>2355</v>
      </c>
      <c r="J56" s="3124"/>
      <c r="K56" s="3077" t="s">
        <v>2360</v>
      </c>
      <c r="L56" s="1893" t="str">
        <f ca="1">IF(L48&lt;J51,"——",L48-J51)</f>
        <v>——</v>
      </c>
      <c r="O56" s="2359" t="s">
        <v>2373</v>
      </c>
      <c r="P56" s="2360" t="s">
        <v>2374</v>
      </c>
      <c r="Q56" s="2361" t="s">
        <v>2375</v>
      </c>
      <c r="R56" s="2360" t="s">
        <v>2376</v>
      </c>
    </row>
    <row r="57" spans="1:18" s="2044" customFormat="1" ht="28.5" customHeight="1" thickBot="1">
      <c r="A57" s="797" t="s">
        <v>7</v>
      </c>
      <c r="B57" s="798" t="s">
        <v>651</v>
      </c>
      <c r="C57" s="799">
        <f ca="1">ROUND(C58+C63+C64+C65,0)</f>
        <v>0</v>
      </c>
      <c r="D57" s="26" t="s">
        <v>652</v>
      </c>
      <c r="E57" s="3186"/>
      <c r="F57" s="56"/>
      <c r="I57" s="3115" t="s">
        <v>2356</v>
      </c>
      <c r="J57" s="3116">
        <f ca="1">IF(OR(M47="住宅",J51&lt;L48,J56="是"),"——",J51-L48)</f>
        <v>20</v>
      </c>
      <c r="K57" s="3077" t="s">
        <v>2361</v>
      </c>
      <c r="L57" s="1893" t="str">
        <f ca="1">IF(L48&lt;J51,"——",IF(L55="比较法",L49,IF(L55="基准地价",L50,L51)))</f>
        <v>——</v>
      </c>
      <c r="O57" s="2362" t="s">
        <v>2377</v>
      </c>
      <c r="P57" s="2363" t="s">
        <v>2403</v>
      </c>
      <c r="Q57" s="2364">
        <f ca="1">C40+J29</f>
        <v>0</v>
      </c>
      <c r="R57" s="2363" t="s">
        <v>2378</v>
      </c>
    </row>
    <row r="58" spans="1:18" s="2044" customFormat="1" ht="28.5" customHeight="1" thickBot="1">
      <c r="A58" s="1634" t="s">
        <v>1824</v>
      </c>
      <c r="B58" s="784" t="s">
        <v>656</v>
      </c>
      <c r="C58" s="53">
        <f ca="1">ROUND(IF(项目基本情况!B11="自然人",C47*F58,C59+C60+C61),1)</f>
        <v>0</v>
      </c>
      <c r="D58" s="3182" t="s">
        <v>657</v>
      </c>
      <c r="E58" s="3181" t="s">
        <v>690</v>
      </c>
      <c r="F58" s="810" t="str">
        <f ca="1">IF(项目基本情况!B11="企业","",IF(INDIRECT("'数据-取费表'!c"&amp;$G$1)="住宅",5%,IF(F48*F49*F50/12/(1+'数据-取费表'!C42)&gt;20000,12%,7%)))</f>
        <v/>
      </c>
      <c r="I58" s="3115" t="s">
        <v>2357</v>
      </c>
      <c r="J58" s="3053">
        <f ca="1">IF(J55&lt;0.4,0.4,J55)</f>
        <v>0.4</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3181" t="s">
        <v>661</v>
      </c>
      <c r="E59" s="784" t="s">
        <v>649</v>
      </c>
      <c r="F59" s="809">
        <f t="shared" ref="F59:F65" si="0">F32</f>
        <v>5.6000000000000001E-2</v>
      </c>
      <c r="I59" s="3115" t="s">
        <v>2358</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664</v>
      </c>
      <c r="C60" s="53">
        <f ca="1">IF(D60="按租金收入计税",ROUND(C47*F60,1),IF(D60="按房产原值计税",ROUND(C56*F60*0.7,1),INDIRECT("'数据-取费表'!Aj"&amp;$G$1)))</f>
        <v>0</v>
      </c>
      <c r="D60" s="3181" t="str">
        <f>D33</f>
        <v>按租金收入计税</v>
      </c>
      <c r="E60" s="784" t="s">
        <v>649</v>
      </c>
      <c r="F60" s="809">
        <f t="shared" si="0"/>
        <v>0.12</v>
      </c>
      <c r="I60" s="3117" t="s">
        <v>2359</v>
      </c>
      <c r="J60" s="3118">
        <f ca="1">IF(OR(M47="住宅",J51&lt;L48,J56="是"),"0",ROUND(J59/(1+J52)^J53,0))</f>
        <v>0</v>
      </c>
      <c r="K60" s="3119" t="s">
        <v>2364</v>
      </c>
      <c r="L60" s="3118">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0</v>
      </c>
      <c r="D61" s="814" t="s">
        <v>669</v>
      </c>
      <c r="E61" s="784" t="s">
        <v>670</v>
      </c>
      <c r="F61" s="640">
        <f t="shared" si="0"/>
        <v>6</v>
      </c>
      <c r="K61" s="2071"/>
      <c r="O61" s="2365" t="s">
        <v>2384</v>
      </c>
      <c r="P61" s="2363" t="s">
        <v>2392</v>
      </c>
      <c r="Q61" s="2364" t="e">
        <f ca="1">L58</f>
        <v>#DIV/0!</v>
      </c>
      <c r="R61" s="2367" t="s">
        <v>2393</v>
      </c>
    </row>
    <row r="62" spans="1:18" s="2044" customFormat="1" ht="18" thickBot="1">
      <c r="A62" s="815"/>
      <c r="B62" s="793"/>
      <c r="C62" s="69"/>
      <c r="D62" s="816"/>
      <c r="E62" s="784" t="s">
        <v>674</v>
      </c>
      <c r="F62" s="785">
        <f t="shared" ca="1" si="0"/>
        <v>0</v>
      </c>
      <c r="I62" s="3120" t="s">
        <v>2365</v>
      </c>
      <c r="J62" s="3121" t="s">
        <v>2366</v>
      </c>
      <c r="K62" s="3121" t="s">
        <v>2367</v>
      </c>
      <c r="L62" s="3121" t="s">
        <v>2348</v>
      </c>
      <c r="M62" s="3122" t="s">
        <v>2941</v>
      </c>
      <c r="O62" s="2365" t="s">
        <v>2386</v>
      </c>
      <c r="P62" s="2363" t="str">
        <f>K59</f>
        <v>建设期及建筑物耐用年限下的土地年期修正系数Kn</v>
      </c>
      <c r="Q62" s="2364" t="e">
        <f ca="1">L59</f>
        <v>#DIV/0!</v>
      </c>
      <c r="R62" s="2367" t="s">
        <v>2395</v>
      </c>
    </row>
    <row r="63" spans="1:18" s="2044" customFormat="1" ht="18" thickBot="1">
      <c r="A63" s="1634" t="s">
        <v>1889</v>
      </c>
      <c r="B63" s="784" t="s">
        <v>676</v>
      </c>
      <c r="C63" s="53">
        <f ca="1">ROUND(C56*F63,1)</f>
        <v>0</v>
      </c>
      <c r="D63" s="3181" t="s">
        <v>691</v>
      </c>
      <c r="E63" s="784" t="s">
        <v>649</v>
      </c>
      <c r="F63" s="817">
        <f t="shared" ca="1" si="0"/>
        <v>0.02</v>
      </c>
      <c r="I63" s="3120" t="s">
        <v>2368</v>
      </c>
      <c r="J63" s="3121">
        <v>70</v>
      </c>
      <c r="K63" s="3121">
        <v>50</v>
      </c>
      <c r="L63" s="3121">
        <v>80</v>
      </c>
      <c r="M63" s="3123">
        <v>0.02</v>
      </c>
      <c r="O63" s="2362" t="s">
        <v>2389</v>
      </c>
      <c r="P63" s="2363" t="s">
        <v>2406</v>
      </c>
      <c r="Q63" s="2364">
        <f ca="1">Q57+Q58</f>
        <v>0</v>
      </c>
      <c r="R63" s="2367" t="s">
        <v>2390</v>
      </c>
    </row>
    <row r="64" spans="1:18" s="2044" customFormat="1" ht="17" thickBot="1">
      <c r="A64" s="1634" t="s">
        <v>1890</v>
      </c>
      <c r="B64" s="784" t="s">
        <v>679</v>
      </c>
      <c r="C64" s="53">
        <f ca="1">ROUND(C55*F64,1)</f>
        <v>0</v>
      </c>
      <c r="D64" s="3181" t="s">
        <v>680</v>
      </c>
      <c r="E64" s="784" t="s">
        <v>649</v>
      </c>
      <c r="F64" s="818">
        <f t="shared" ca="1" si="0"/>
        <v>2E-3</v>
      </c>
      <c r="I64" s="3120" t="s">
        <v>2369</v>
      </c>
      <c r="J64" s="3121">
        <v>50</v>
      </c>
      <c r="K64" s="3121">
        <v>35</v>
      </c>
      <c r="L64" s="3121">
        <v>60</v>
      </c>
      <c r="M64" s="846">
        <v>0</v>
      </c>
      <c r="O64" s="2368" t="s">
        <v>2413</v>
      </c>
      <c r="P64" s="1578"/>
      <c r="Q64" s="1589"/>
      <c r="R64" s="1578"/>
    </row>
    <row r="65" spans="1:18" s="2044" customFormat="1" ht="18" thickBot="1">
      <c r="A65" s="1634" t="s">
        <v>1891</v>
      </c>
      <c r="B65" s="784" t="s">
        <v>666</v>
      </c>
      <c r="C65" s="53">
        <f ca="1">ROUND(C47*F65,1)</f>
        <v>0</v>
      </c>
      <c r="D65" s="3181" t="s">
        <v>683</v>
      </c>
      <c r="E65" s="784" t="s">
        <v>649</v>
      </c>
      <c r="F65" s="794">
        <f t="shared" ca="1" si="0"/>
        <v>2.5000000000000001E-2</v>
      </c>
      <c r="I65" s="3120" t="s">
        <v>2370</v>
      </c>
      <c r="J65" s="3121">
        <v>40</v>
      </c>
      <c r="K65" s="3121">
        <v>30</v>
      </c>
      <c r="L65" s="3121">
        <v>50</v>
      </c>
      <c r="M65" s="3123">
        <v>0.02</v>
      </c>
      <c r="O65" s="2359" t="s">
        <v>2373</v>
      </c>
      <c r="P65" s="2360" t="s">
        <v>2374</v>
      </c>
      <c r="Q65" s="2361" t="s">
        <v>2375</v>
      </c>
      <c r="R65" s="2360" t="s">
        <v>2376</v>
      </c>
    </row>
    <row r="66" spans="1:18" s="2044" customFormat="1" ht="18" thickBot="1">
      <c r="A66" s="797" t="s">
        <v>1776</v>
      </c>
      <c r="B66" s="2963" t="s">
        <v>2819</v>
      </c>
      <c r="C66" s="799">
        <f ca="1">C47-C57</f>
        <v>0</v>
      </c>
      <c r="D66" s="3182" t="s">
        <v>700</v>
      </c>
      <c r="E66" s="3185"/>
      <c r="F66" s="820"/>
      <c r="K66" s="2071"/>
      <c r="O66" s="2362" t="s">
        <v>2377</v>
      </c>
      <c r="P66" s="2363" t="s">
        <v>2403</v>
      </c>
      <c r="Q66" s="2364">
        <f ca="1">C40+J29</f>
        <v>0</v>
      </c>
      <c r="R66" s="2363" t="s">
        <v>2378</v>
      </c>
    </row>
    <row r="67" spans="1:18" s="2044" customFormat="1" ht="19" thickBot="1">
      <c r="A67" s="781" t="s">
        <v>1780</v>
      </c>
      <c r="B67" s="2217" t="s">
        <v>2299</v>
      </c>
      <c r="C67" s="783">
        <f ca="1">ROUND(C66*(1-((1+F69)/(1+F67))^F68)/(F67-F69),0)</f>
        <v>0</v>
      </c>
      <c r="D67" s="814" t="s">
        <v>704</v>
      </c>
      <c r="E67" s="784" t="s">
        <v>705</v>
      </c>
      <c r="F67" s="794">
        <f ca="1">F40</f>
        <v>5.5E-2</v>
      </c>
      <c r="K67" s="2071"/>
      <c r="O67" s="2362" t="s">
        <v>2379</v>
      </c>
      <c r="P67" s="2363" t="s">
        <v>2410</v>
      </c>
      <c r="Q67" s="2364">
        <f ca="1">L60</f>
        <v>0</v>
      </c>
      <c r="R67" s="2367" t="s">
        <v>2412</v>
      </c>
    </row>
    <row r="68" spans="1:18" ht="21" thickBot="1">
      <c r="A68" s="786"/>
      <c r="B68" s="787"/>
      <c r="C68" s="788"/>
      <c r="D68" s="821" t="s">
        <v>1808</v>
      </c>
      <c r="E68" s="784" t="s">
        <v>708</v>
      </c>
      <c r="F68" s="822">
        <f ca="1">F41</f>
        <v>37.5</v>
      </c>
      <c r="O68" s="2365" t="s">
        <v>2381</v>
      </c>
      <c r="P68" s="2363" t="s">
        <v>2411</v>
      </c>
      <c r="Q68" s="2369">
        <f ca="1">L51</f>
        <v>0</v>
      </c>
      <c r="R68" s="2370" t="s">
        <v>2414</v>
      </c>
    </row>
    <row r="69" spans="1:18" ht="19" thickBot="1">
      <c r="A69" s="790"/>
      <c r="B69" s="791"/>
      <c r="C69" s="792"/>
      <c r="D69" s="816"/>
      <c r="E69" s="784" t="s">
        <v>710</v>
      </c>
      <c r="F69" s="2335"/>
      <c r="O69" s="2365" t="s">
        <v>2382</v>
      </c>
      <c r="P69" s="2371" t="s">
        <v>2396</v>
      </c>
      <c r="Q69" s="2364">
        <f ca="1">ROUND(Q70-Q71*Q72,0)</f>
        <v>0</v>
      </c>
      <c r="R69" s="2367"/>
    </row>
    <row r="70" spans="1:18" ht="18" thickBot="1">
      <c r="A70" s="823" t="s">
        <v>1787</v>
      </c>
      <c r="B70" s="824" t="s">
        <v>1810</v>
      </c>
      <c r="C70" s="825" t="e">
        <f ca="1">ROUND(C67*10000/F70,0)</f>
        <v>#DIV/0!</v>
      </c>
      <c r="D70" s="826" t="s">
        <v>1811</v>
      </c>
      <c r="E70" s="827" t="s">
        <v>1812</v>
      </c>
      <c r="F70" s="828">
        <f ca="1">F43</f>
        <v>0</v>
      </c>
      <c r="O70" s="2365" t="s">
        <v>2397</v>
      </c>
      <c r="P70" s="2371" t="s">
        <v>2398</v>
      </c>
      <c r="Q70" s="2364">
        <f ca="1">C39</f>
        <v>0</v>
      </c>
      <c r="R70" s="2363" t="s">
        <v>2378</v>
      </c>
    </row>
    <row r="71" spans="1:18" ht="18" thickBot="1">
      <c r="O71" s="2365" t="s">
        <v>2399</v>
      </c>
      <c r="P71" s="2371" t="s">
        <v>2400</v>
      </c>
      <c r="Q71" s="2364">
        <f ca="1">C13</f>
        <v>0</v>
      </c>
      <c r="R71" s="2363" t="s">
        <v>2378</v>
      </c>
    </row>
    <row r="72" spans="1:18" ht="18" thickBot="1">
      <c r="O72" s="2365" t="s">
        <v>2401</v>
      </c>
      <c r="P72" s="2371" t="s">
        <v>2402</v>
      </c>
      <c r="Q72" s="2366">
        <f ca="1">J36</f>
        <v>8.5000000000000006E-2</v>
      </c>
      <c r="R72" s="2367"/>
    </row>
    <row r="73" spans="1:18" ht="18" thickBot="1">
      <c r="O73" s="2365" t="s">
        <v>2384</v>
      </c>
      <c r="P73" s="2363" t="s">
        <v>2391</v>
      </c>
      <c r="Q73" s="2366">
        <f>L52</f>
        <v>0</v>
      </c>
      <c r="R73" s="2367"/>
    </row>
    <row r="74" spans="1:18" ht="19" thickBot="1">
      <c r="O74" s="2365" t="s">
        <v>2386</v>
      </c>
      <c r="P74" s="2363" t="s">
        <v>2392</v>
      </c>
      <c r="Q74" s="2364" t="e">
        <f ca="1">L58</f>
        <v>#DIV/0!</v>
      </c>
      <c r="R74" s="2367" t="s">
        <v>2393</v>
      </c>
    </row>
    <row r="75" spans="1:18" ht="18" thickBot="1">
      <c r="O75" s="2365" t="s">
        <v>2415</v>
      </c>
      <c r="P75" s="2363" t="str">
        <f>K59</f>
        <v>建设期及建筑物耐用年限下的土地年期修正系数Kn</v>
      </c>
      <c r="Q75" s="2364" t="e">
        <f ca="1">L59</f>
        <v>#DIV/0!</v>
      </c>
      <c r="R75" s="2367" t="s">
        <v>2395</v>
      </c>
    </row>
    <row r="76" spans="1:18" ht="18" thickBot="1">
      <c r="O76" s="2362" t="s">
        <v>2389</v>
      </c>
      <c r="P76" s="2363" t="s">
        <v>2406</v>
      </c>
      <c r="Q76" s="2364">
        <f ca="1">Q66+Q67</f>
        <v>0</v>
      </c>
      <c r="R76" s="2367" t="s">
        <v>2390</v>
      </c>
    </row>
  </sheetData>
  <sheetProtection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612907F3-8B67-E844-B1B4-9DADA6D723E4}">
      <formula1>"土地（套用方法）,——"</formula1>
    </dataValidation>
    <dataValidation type="list" allowBlank="1" showInputMessage="1" showErrorMessage="1" sqref="F10 M10 F52" xr:uid="{6A666CCC-0C12-DE47-BE56-DAA9DD90F990}">
      <formula1>"押一,押二,押三,自定义"</formula1>
    </dataValidation>
    <dataValidation type="list" allowBlank="1" showInputMessage="1" showErrorMessage="1" sqref="J48" xr:uid="{0A27606D-639C-1944-8298-027D3F2B5B12}">
      <formula1>"非生产用房,生产用房,受腐蚀的生产用房"</formula1>
    </dataValidation>
    <dataValidation type="list" allowBlank="1" showInputMessage="1" showErrorMessage="1" sqref="J47" xr:uid="{A58B4613-93B8-6B47-9899-1AB7D54E2EF9}">
      <formula1>"钢,钢混,砖混"</formula1>
    </dataValidation>
    <dataValidation type="list" allowBlank="1" showInputMessage="1" showErrorMessage="1" sqref="J56" xr:uid="{30691205-31F8-5E4E-9A7D-855734BC72C9}">
      <formula1>判定</formula1>
    </dataValidation>
    <dataValidation type="list" allowBlank="1" showInputMessage="1" showErrorMessage="1" sqref="D33" xr:uid="{72E0457E-A9FC-D44E-AA07-4D855F078EBD}">
      <formula1>"按租金收入计税,按房产原值计税,按票据"</formula1>
    </dataValidation>
    <dataValidation type="list" allowBlank="1" showInputMessage="1" showErrorMessage="1" sqref="K19" xr:uid="{4673EB75-0AEC-BE42-8A5E-46716D46F65D}">
      <formula1>"按租金收入计税,按房产原值计税"</formula1>
    </dataValidation>
    <dataValidation type="list" allowBlank="1" showInputMessage="1" showErrorMessage="1" sqref="C1:C3" xr:uid="{999D9EA6-51AA-6848-A384-4FB7534BA789}">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7" zoomScale="80" zoomScaleNormal="80" workbookViewId="0">
      <selection activeCell="F41" sqref="F41"/>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1725</v>
      </c>
      <c r="B1" s="738"/>
      <c r="C1" s="773" t="s">
        <v>3074</v>
      </c>
      <c r="D1" s="3076" t="s">
        <v>3081</v>
      </c>
      <c r="E1" s="2351" t="s">
        <v>2372</v>
      </c>
      <c r="F1" s="2352">
        <f ca="1">J53</f>
        <v>37.5</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0</v>
      </c>
      <c r="D5" s="2460" t="s">
        <v>2459</v>
      </c>
      <c r="E5" s="2454"/>
      <c r="F5" s="2455"/>
      <c r="G5" s="1578"/>
      <c r="H5" s="781">
        <v>1</v>
      </c>
      <c r="I5" s="782" t="s">
        <v>2456</v>
      </c>
      <c r="J5" s="55">
        <f ca="1">J6+J10+J12</f>
        <v>0</v>
      </c>
      <c r="K5" s="2460" t="s">
        <v>2459</v>
      </c>
      <c r="L5" s="2454"/>
      <c r="M5" s="2455"/>
    </row>
    <row r="6" spans="1:33" ht="18" customHeight="1">
      <c r="A6" s="1815" t="s">
        <v>1824</v>
      </c>
      <c r="B6" s="3467" t="s">
        <v>2461</v>
      </c>
      <c r="C6" s="783">
        <f ca="1">ROUND(F6*F8*F7*(1-F9)/10000,0)</f>
        <v>0</v>
      </c>
      <c r="D6" s="2461" t="s">
        <v>2460</v>
      </c>
      <c r="E6" s="784" t="s">
        <v>1738</v>
      </c>
      <c r="F6" s="785">
        <f ca="1">INDIRECT("'数据-取费表'!u"&amp;$G$1)</f>
        <v>2.16</v>
      </c>
      <c r="G6" s="1578"/>
      <c r="H6" s="2468" t="s">
        <v>2466</v>
      </c>
      <c r="I6" s="3467" t="s">
        <v>2461</v>
      </c>
      <c r="J6" s="783">
        <f ca="1">ROUND(M6*M8*M7*(1-M9)/10000,0)</f>
        <v>0</v>
      </c>
      <c r="K6" s="341" t="s">
        <v>1737</v>
      </c>
      <c r="L6" s="784" t="s">
        <v>1738</v>
      </c>
      <c r="M6" s="785">
        <f ca="1">INDIRECT("'数据-取费表'!z"&amp;$G$1)</f>
        <v>0</v>
      </c>
    </row>
    <row r="7" spans="1:33" ht="18" customHeight="1">
      <c r="A7" s="2464"/>
      <c r="B7" s="3468"/>
      <c r="C7" s="788"/>
      <c r="D7" s="789"/>
      <c r="E7" s="784" t="s">
        <v>1739</v>
      </c>
      <c r="F7" s="785">
        <f ca="1">IF(INDIRECT("'数据-取费表'!ah"&amp;$G$1)="",INDIRECT("'数据-取费表'!k"&amp;$G$1),INDIRECT("'数据-取费表'!ah"&amp;$G$1))</f>
        <v>0</v>
      </c>
      <c r="G7" s="1578"/>
      <c r="H7" s="2453"/>
      <c r="I7" s="3468"/>
      <c r="J7" s="788"/>
      <c r="K7" s="789"/>
      <c r="L7" s="784" t="s">
        <v>1739</v>
      </c>
      <c r="M7" s="785">
        <f ca="1">F7</f>
        <v>0</v>
      </c>
    </row>
    <row r="8" spans="1:33" ht="18" customHeight="1">
      <c r="A8" s="2457"/>
      <c r="B8" s="3469"/>
      <c r="C8" s="788"/>
      <c r="D8" s="789"/>
      <c r="E8" s="784" t="s">
        <v>1740</v>
      </c>
      <c r="F8" s="785">
        <f ca="1">INDIRECT("'数据-取费表'!ai"&amp;$G$1)</f>
        <v>365</v>
      </c>
      <c r="G8" s="1578"/>
      <c r="H8" s="2453"/>
      <c r="I8" s="3469"/>
      <c r="J8" s="788"/>
      <c r="K8" s="789"/>
      <c r="L8" s="784" t="s">
        <v>1740</v>
      </c>
      <c r="M8" s="785">
        <f ca="1">INDIRECT("'数据-取费表'!ai"&amp;$G$1)</f>
        <v>365</v>
      </c>
    </row>
    <row r="9" spans="1:33" ht="18" customHeight="1">
      <c r="A9" s="786"/>
      <c r="B9" s="3470"/>
      <c r="C9" s="788"/>
      <c r="D9" s="789"/>
      <c r="E9" s="784" t="s">
        <v>1741</v>
      </c>
      <c r="F9" s="794">
        <f ca="1">INDIRECT("'数据-取费表'!w"&amp;$G$1)</f>
        <v>0.1</v>
      </c>
      <c r="G9" s="1578"/>
      <c r="H9" s="2469"/>
      <c r="I9" s="3469"/>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2972</v>
      </c>
      <c r="E10" s="2462" t="s">
        <v>2462</v>
      </c>
      <c r="F10" s="2585"/>
      <c r="G10" s="1578"/>
      <c r="H10" s="2525" t="s">
        <v>2467</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0</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2823</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0.05</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2.5000000000000001E-2</v>
      </c>
      <c r="G20" s="1579"/>
      <c r="H20" s="1636" t="s">
        <v>1880</v>
      </c>
      <c r="I20" s="341" t="s">
        <v>1760</v>
      </c>
      <c r="J20" s="54">
        <f ca="1">ROUND(M20*M21/10000,0)</f>
        <v>0</v>
      </c>
      <c r="K20" s="814" t="s">
        <v>1761</v>
      </c>
      <c r="L20" s="784" t="s">
        <v>1762</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0.03</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0.02</v>
      </c>
    </row>
    <row r="23" spans="1:33" s="2049" customFormat="1" ht="18" customHeight="1">
      <c r="A23" s="1633" t="s">
        <v>1831</v>
      </c>
      <c r="B23" s="784" t="s">
        <v>2533</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2.5000000000000001E-2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0</v>
      </c>
      <c r="K25" s="2512" t="s">
        <v>1777</v>
      </c>
      <c r="L25" s="2513"/>
      <c r="M25" s="2514"/>
    </row>
    <row r="26" spans="1:33" ht="18" customHeight="1">
      <c r="A26" s="1633" t="s">
        <v>1831</v>
      </c>
      <c r="B26" s="784" t="s">
        <v>2436</v>
      </c>
      <c r="C26" s="53">
        <f ca="1">ROUND((C19+C20)*F26,0)</f>
        <v>0</v>
      </c>
      <c r="D26" s="812" t="s">
        <v>1778</v>
      </c>
      <c r="E26" s="795" t="s">
        <v>1779</v>
      </c>
      <c r="F26" s="794">
        <f ca="1">INDIRECT("'数据-取费表'!q"&amp;$G$1)</f>
        <v>0.2</v>
      </c>
      <c r="G26" s="1578"/>
      <c r="H26" s="2466" t="s">
        <v>1780</v>
      </c>
      <c r="I26" s="2217" t="s">
        <v>2824</v>
      </c>
      <c r="J26" s="783">
        <f ca="1">IF(J5&lt;&gt;0,ROUND(J25*(1-((1+M28)/(1+M26))^M27)/(M26-M28),0),0)</f>
        <v>0</v>
      </c>
      <c r="K26" s="814" t="s">
        <v>1781</v>
      </c>
      <c r="L26" s="784" t="s">
        <v>2417</v>
      </c>
      <c r="M26" s="794">
        <f ca="1">INDIRECT("'数据-取费表'!I"&amp;$G$1)</f>
        <v>5.5E-2</v>
      </c>
    </row>
    <row r="27" spans="1:33" ht="18" customHeight="1">
      <c r="A27" s="1633" t="s">
        <v>1832</v>
      </c>
      <c r="B27" s="784" t="s">
        <v>686</v>
      </c>
      <c r="C27" s="53">
        <f ca="1">ROUND(F21*F26,4)</f>
        <v>6.0000000000000001E-3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3083</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6</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0.02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0</v>
      </c>
      <c r="D37" s="1962" t="s">
        <v>1804</v>
      </c>
      <c r="E37" s="784" t="s">
        <v>1796</v>
      </c>
      <c r="F37" s="818">
        <f ca="1">INDIRECT("'数据-取费表'!Al"&amp;$G$1)</f>
        <v>2E-3</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2.5000000000000001E-2</v>
      </c>
      <c r="G38" s="2047"/>
      <c r="H38" s="2062"/>
      <c r="I38" s="843" t="s">
        <v>1817</v>
      </c>
      <c r="J38" s="844"/>
      <c r="K38" s="2068"/>
      <c r="L38" s="2062"/>
      <c r="M38" s="2062"/>
    </row>
    <row r="39" spans="1:18" ht="24.5" customHeight="1" thickTop="1">
      <c r="A39" s="1814" t="s">
        <v>1894</v>
      </c>
      <c r="B39" s="2962" t="s">
        <v>2819</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2299</v>
      </c>
      <c r="C40" s="783">
        <f ca="1">ROUND(C39*(1-((1+F42)/(1+F40))^F41)/(F40-F42),0)</f>
        <v>0</v>
      </c>
      <c r="D40" s="814" t="s">
        <v>1807</v>
      </c>
      <c r="E40" s="784" t="s">
        <v>2417</v>
      </c>
      <c r="F40" s="794">
        <f ca="1">INDIRECT("'数据-取费表'!I"&amp;$G$1)</f>
        <v>5.5E-2</v>
      </c>
      <c r="G40" s="2047"/>
      <c r="H40" s="2047"/>
      <c r="I40" s="837" t="s">
        <v>1819</v>
      </c>
      <c r="J40" s="845" t="e">
        <f ca="1">1-J39</f>
        <v>#DIV/0!</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37.5</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0</v>
      </c>
      <c r="D46" s="2070"/>
      <c r="E46" s="2070"/>
      <c r="F46" s="2070"/>
      <c r="I46" s="2342" t="s">
        <v>2341</v>
      </c>
      <c r="J46" s="2343"/>
      <c r="K46" s="2344"/>
      <c r="L46" s="3107">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8" t="s">
        <v>2342</v>
      </c>
      <c r="J47" s="2345" t="s">
        <v>3082</v>
      </c>
      <c r="K47" s="3104" t="s">
        <v>2347</v>
      </c>
      <c r="L47" s="3108">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7" t="s">
        <v>2343</v>
      </c>
      <c r="J48" s="2346" t="s">
        <v>2348</v>
      </c>
      <c r="K48" s="3105" t="s">
        <v>2349</v>
      </c>
      <c r="L48" s="1893">
        <f ca="1">INDIRECT("'数据-取费表'!f"&amp;$G$1)</f>
        <v>40</v>
      </c>
      <c r="O48" s="2362" t="s">
        <v>2377</v>
      </c>
      <c r="P48" s="2363" t="s">
        <v>2403</v>
      </c>
      <c r="Q48" s="2364">
        <f ca="1">C40+J29</f>
        <v>0</v>
      </c>
      <c r="R48" s="2363" t="s">
        <v>2378</v>
      </c>
    </row>
    <row r="49" spans="1:18" s="2044" customFormat="1" ht="18" customHeight="1" thickBot="1">
      <c r="A49" s="786"/>
      <c r="B49" s="787"/>
      <c r="C49" s="788"/>
      <c r="D49" s="789"/>
      <c r="E49" s="784" t="s">
        <v>1739</v>
      </c>
      <c r="F49" s="785">
        <f ca="1">F7</f>
        <v>0</v>
      </c>
      <c r="G49" s="2075"/>
      <c r="H49" s="2078"/>
      <c r="I49" s="3077" t="s">
        <v>2344</v>
      </c>
      <c r="J49" s="2347">
        <v>2020</v>
      </c>
      <c r="K49" s="3106" t="s">
        <v>2350</v>
      </c>
      <c r="L49" s="2348"/>
      <c r="O49" s="2362" t="s">
        <v>2379</v>
      </c>
      <c r="P49" s="2363" t="s">
        <v>2404</v>
      </c>
      <c r="Q49" s="2364">
        <f ca="1">J60</f>
        <v>0</v>
      </c>
      <c r="R49" s="2363" t="s">
        <v>2380</v>
      </c>
    </row>
    <row r="50" spans="1:18" s="2044" customFormat="1" ht="18" customHeight="1" thickBot="1">
      <c r="A50" s="786"/>
      <c r="B50" s="787"/>
      <c r="C50" s="788"/>
      <c r="D50" s="789"/>
      <c r="E50" s="784" t="s">
        <v>1740</v>
      </c>
      <c r="F50" s="785">
        <f ca="1">F8</f>
        <v>365</v>
      </c>
      <c r="G50" s="2080"/>
      <c r="H50" s="2078"/>
      <c r="I50" s="3077" t="s">
        <v>2345</v>
      </c>
      <c r="J50" s="3102">
        <f>SUMPRODUCT((I63:I65=J47)*(J62:L62=J48)*(J63:L65))</f>
        <v>60</v>
      </c>
      <c r="K50" s="3106"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0</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2973</v>
      </c>
      <c r="E52" s="2462" t="s">
        <v>2462</v>
      </c>
      <c r="F52" s="2585"/>
      <c r="I52" s="3100" t="s">
        <v>2419</v>
      </c>
      <c r="J52" s="2349"/>
      <c r="K52" s="3100"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1" t="s">
        <v>2976</v>
      </c>
      <c r="J53" s="3180">
        <f ca="1">IF(M47="住宅",IF(D1="——",MAX(J51,L48),MAX(J51,L48-'数据-取费表'!B20)),IF(D1="——",MIN(J51,L48),MIN(J51,L48-'数据-取费表'!B20)))</f>
        <v>37.5</v>
      </c>
      <c r="K53" s="3473" t="s">
        <v>2964</v>
      </c>
      <c r="L53" s="3474"/>
      <c r="O53" s="2365" t="s">
        <v>2386</v>
      </c>
      <c r="P53" s="2363" t="s">
        <v>2387</v>
      </c>
      <c r="Q53" s="2364">
        <f ca="1">J53</f>
        <v>37.5</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0</v>
      </c>
      <c r="R54" s="2367" t="s">
        <v>2390</v>
      </c>
    </row>
    <row r="55" spans="1:18" s="2044" customFormat="1" ht="18" customHeight="1" thickTop="1" thickBot="1">
      <c r="A55" s="797">
        <v>2</v>
      </c>
      <c r="B55" s="798" t="s">
        <v>644</v>
      </c>
      <c r="C55" s="799">
        <f ca="1">C13</f>
        <v>0</v>
      </c>
      <c r="D55" s="795"/>
      <c r="E55" s="795"/>
      <c r="F55" s="800"/>
      <c r="I55" s="3112" t="s">
        <v>2353</v>
      </c>
      <c r="J55" s="3052">
        <f ca="1">ROUND(IF(J47="钢混",J57/J50,1-(1-2%)*(J50-J57)/J50),3)</f>
        <v>0.33300000000000002</v>
      </c>
      <c r="K55" s="3113" t="s">
        <v>2354</v>
      </c>
      <c r="L55" s="2350"/>
      <c r="O55" s="2368" t="s">
        <v>2409</v>
      </c>
      <c r="P55" s="1578"/>
      <c r="Q55" s="1589"/>
      <c r="R55" s="1578"/>
    </row>
    <row r="56" spans="1:18" s="2044" customFormat="1" ht="42.75" customHeight="1" thickBot="1">
      <c r="A56" s="1635"/>
      <c r="B56" s="2216" t="s">
        <v>2300</v>
      </c>
      <c r="C56" s="53">
        <f ca="1">C29</f>
        <v>0</v>
      </c>
      <c r="D56" s="2603"/>
      <c r="E56" s="784"/>
      <c r="F56" s="809"/>
      <c r="I56" s="3114" t="s">
        <v>2355</v>
      </c>
      <c r="J56" s="3124"/>
      <c r="K56" s="3077"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0</v>
      </c>
      <c r="D57" s="26" t="s">
        <v>1750</v>
      </c>
      <c r="E57" s="2604"/>
      <c r="F57" s="56"/>
      <c r="I57" s="3115" t="s">
        <v>2356</v>
      </c>
      <c r="J57" s="3116">
        <f ca="1">IF(OR(M47="住宅",J51&lt;L48,J56="是"),"——",J51-L48)</f>
        <v>20</v>
      </c>
      <c r="K57" s="3077" t="s">
        <v>2361</v>
      </c>
      <c r="L57" s="1893" t="str">
        <f ca="1">IF(L48&lt;J51,"——",IF(L55="比较法",L49,IF(L55="基准地价",L50,L51)))</f>
        <v>——</v>
      </c>
      <c r="O57" s="2362" t="s">
        <v>2377</v>
      </c>
      <c r="P57" s="2363" t="s">
        <v>2407</v>
      </c>
      <c r="Q57" s="2364">
        <f ca="1">C40+J29</f>
        <v>0</v>
      </c>
      <c r="R57" s="2363" t="s">
        <v>2378</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2357</v>
      </c>
      <c r="J58" s="3053">
        <f ca="1">IF(J55&lt;0.4,0.4,J55)</f>
        <v>0.4</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2358</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7" t="s">
        <v>2359</v>
      </c>
      <c r="J60" s="3118">
        <f ca="1">IF(OR(M47="住宅",J51&lt;L48,J56="是"),"0",ROUND(J59/(1+J52)^J53,0))</f>
        <v>0</v>
      </c>
      <c r="K60" s="3119" t="s">
        <v>2364</v>
      </c>
      <c r="L60" s="3118">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0</v>
      </c>
      <c r="D61" s="814" t="s">
        <v>669</v>
      </c>
      <c r="E61" s="784" t="s">
        <v>670</v>
      </c>
      <c r="F61" s="640">
        <f t="shared" si="0"/>
        <v>6</v>
      </c>
      <c r="K61" s="2071"/>
      <c r="O61" s="2365" t="s">
        <v>2384</v>
      </c>
      <c r="P61" s="2363" t="s">
        <v>2392</v>
      </c>
      <c r="Q61" s="2364" t="e">
        <f ca="1">L58</f>
        <v>#DIV/0!</v>
      </c>
      <c r="R61" s="2367" t="s">
        <v>2393</v>
      </c>
    </row>
    <row r="62" spans="1:18" s="2044" customFormat="1" ht="18" thickBot="1">
      <c r="A62" s="815"/>
      <c r="B62" s="793"/>
      <c r="C62" s="69"/>
      <c r="D62" s="816"/>
      <c r="E62" s="784" t="s">
        <v>674</v>
      </c>
      <c r="F62" s="785">
        <f t="shared" ca="1" si="0"/>
        <v>0</v>
      </c>
      <c r="I62" s="3120" t="s">
        <v>2365</v>
      </c>
      <c r="J62" s="3121" t="s">
        <v>2366</v>
      </c>
      <c r="K62" s="3121" t="s">
        <v>2367</v>
      </c>
      <c r="L62" s="3121" t="s">
        <v>2348</v>
      </c>
      <c r="M62" s="3122" t="s">
        <v>2941</v>
      </c>
      <c r="O62" s="2365" t="s">
        <v>2386</v>
      </c>
      <c r="P62" s="2363" t="str">
        <f>K59</f>
        <v>建设期及建筑物耐用年限下的土地年期修正系数Kn</v>
      </c>
      <c r="Q62" s="2364" t="e">
        <f ca="1">L59</f>
        <v>#DIV/0!</v>
      </c>
      <c r="R62" s="2367" t="s">
        <v>2395</v>
      </c>
    </row>
    <row r="63" spans="1:18" s="2044" customFormat="1" ht="18" thickBot="1">
      <c r="A63" s="1634" t="s">
        <v>1889</v>
      </c>
      <c r="B63" s="784" t="s">
        <v>676</v>
      </c>
      <c r="C63" s="53">
        <f ca="1">ROUND(C56*F63,1)</f>
        <v>0</v>
      </c>
      <c r="D63" s="2603" t="s">
        <v>1803</v>
      </c>
      <c r="E63" s="784" t="s">
        <v>1747</v>
      </c>
      <c r="F63" s="817">
        <f t="shared" ca="1" si="0"/>
        <v>0.02</v>
      </c>
      <c r="I63" s="3120" t="s">
        <v>2368</v>
      </c>
      <c r="J63" s="3121">
        <v>70</v>
      </c>
      <c r="K63" s="3121">
        <v>50</v>
      </c>
      <c r="L63" s="3121">
        <v>80</v>
      </c>
      <c r="M63" s="3123">
        <v>0.02</v>
      </c>
      <c r="O63" s="2362" t="s">
        <v>2389</v>
      </c>
      <c r="P63" s="2363" t="s">
        <v>2406</v>
      </c>
      <c r="Q63" s="2364">
        <f ca="1">Q57+Q58</f>
        <v>0</v>
      </c>
      <c r="R63" s="2367" t="s">
        <v>2390</v>
      </c>
    </row>
    <row r="64" spans="1:18" s="2044" customFormat="1" ht="17" thickBot="1">
      <c r="A64" s="1634" t="s">
        <v>1890</v>
      </c>
      <c r="B64" s="784" t="s">
        <v>679</v>
      </c>
      <c r="C64" s="53">
        <f ca="1">ROUND(C55*F64,1)</f>
        <v>0</v>
      </c>
      <c r="D64" s="2603" t="s">
        <v>680</v>
      </c>
      <c r="E64" s="784" t="s">
        <v>1747</v>
      </c>
      <c r="F64" s="818">
        <f t="shared" ca="1" si="0"/>
        <v>2E-3</v>
      </c>
      <c r="I64" s="3120" t="s">
        <v>2369</v>
      </c>
      <c r="J64" s="3121">
        <v>50</v>
      </c>
      <c r="K64" s="3121">
        <v>35</v>
      </c>
      <c r="L64" s="3121">
        <v>60</v>
      </c>
      <c r="M64" s="846">
        <v>0</v>
      </c>
      <c r="O64" s="2368" t="s">
        <v>2413</v>
      </c>
      <c r="P64" s="1578"/>
      <c r="Q64" s="1589"/>
      <c r="R64" s="1578"/>
    </row>
    <row r="65" spans="1:18" s="2044" customFormat="1" ht="18" thickBot="1">
      <c r="A65" s="1634" t="s">
        <v>1891</v>
      </c>
      <c r="B65" s="784" t="s">
        <v>666</v>
      </c>
      <c r="C65" s="53">
        <f ca="1">ROUND(C47*F65,1)</f>
        <v>0</v>
      </c>
      <c r="D65" s="2603" t="s">
        <v>683</v>
      </c>
      <c r="E65" s="784" t="s">
        <v>1747</v>
      </c>
      <c r="F65" s="794">
        <f t="shared" ca="1" si="0"/>
        <v>2.5000000000000001E-2</v>
      </c>
      <c r="I65" s="3120" t="s">
        <v>2370</v>
      </c>
      <c r="J65" s="3121">
        <v>40</v>
      </c>
      <c r="K65" s="3121">
        <v>30</v>
      </c>
      <c r="L65" s="3121">
        <v>50</v>
      </c>
      <c r="M65" s="3123">
        <v>0.02</v>
      </c>
      <c r="O65" s="2359" t="s">
        <v>2373</v>
      </c>
      <c r="P65" s="2360" t="s">
        <v>2374</v>
      </c>
      <c r="Q65" s="2361" t="s">
        <v>2375</v>
      </c>
      <c r="R65" s="2360" t="s">
        <v>2376</v>
      </c>
    </row>
    <row r="66" spans="1:18" s="2044" customFormat="1" ht="18" thickBot="1">
      <c r="A66" s="797" t="s">
        <v>1776</v>
      </c>
      <c r="B66" s="2963" t="s">
        <v>2819</v>
      </c>
      <c r="C66" s="799">
        <f ca="1">C47-C57</f>
        <v>0</v>
      </c>
      <c r="D66" s="2602" t="s">
        <v>700</v>
      </c>
      <c r="E66" s="2601"/>
      <c r="F66" s="820"/>
      <c r="K66" s="2071"/>
      <c r="O66" s="2362" t="s">
        <v>2377</v>
      </c>
      <c r="P66" s="2363" t="s">
        <v>2407</v>
      </c>
      <c r="Q66" s="2364">
        <f ca="1">C40+J29</f>
        <v>0</v>
      </c>
      <c r="R66" s="2363" t="s">
        <v>2378</v>
      </c>
    </row>
    <row r="67" spans="1:18" s="2044" customFormat="1" ht="19" thickBot="1">
      <c r="A67" s="781" t="s">
        <v>1780</v>
      </c>
      <c r="B67" s="2217" t="s">
        <v>2299</v>
      </c>
      <c r="C67" s="783">
        <f ca="1">ROUND(C66*(1-((1+F69)/(1+F67))^F68)/(F67-F69),0)</f>
        <v>0</v>
      </c>
      <c r="D67" s="814" t="s">
        <v>704</v>
      </c>
      <c r="E67" s="784" t="s">
        <v>705</v>
      </c>
      <c r="F67" s="794">
        <f ca="1">F40</f>
        <v>5.5E-2</v>
      </c>
      <c r="K67" s="2071"/>
      <c r="O67" s="2362" t="s">
        <v>2379</v>
      </c>
      <c r="P67" s="2363" t="s">
        <v>2410</v>
      </c>
      <c r="Q67" s="2364">
        <f ca="1">L60</f>
        <v>0</v>
      </c>
      <c r="R67" s="2367" t="s">
        <v>2412</v>
      </c>
    </row>
    <row r="68" spans="1:18" ht="21" thickBot="1">
      <c r="A68" s="786"/>
      <c r="B68" s="787"/>
      <c r="C68" s="788"/>
      <c r="D68" s="821" t="s">
        <v>1808</v>
      </c>
      <c r="E68" s="784" t="s">
        <v>1784</v>
      </c>
      <c r="F68" s="822">
        <f ca="1">F41</f>
        <v>37.5</v>
      </c>
      <c r="O68" s="2365" t="s">
        <v>2381</v>
      </c>
      <c r="P68" s="2363" t="s">
        <v>2411</v>
      </c>
      <c r="Q68" s="2369">
        <f ca="1">L51</f>
        <v>0</v>
      </c>
      <c r="R68" s="2370" t="s">
        <v>2414</v>
      </c>
    </row>
    <row r="69" spans="1:18" ht="19" thickBot="1">
      <c r="A69" s="790"/>
      <c r="B69" s="791"/>
      <c r="C69" s="792"/>
      <c r="D69" s="816"/>
      <c r="E69" s="784" t="s">
        <v>710</v>
      </c>
      <c r="F69" s="2335"/>
      <c r="O69" s="2365" t="s">
        <v>2382</v>
      </c>
      <c r="P69" s="2371" t="s">
        <v>2396</v>
      </c>
      <c r="Q69" s="2364">
        <f ca="1">ROUND(Q70-Q71*Q72,0)</f>
        <v>0</v>
      </c>
      <c r="R69" s="2367"/>
    </row>
    <row r="70" spans="1:18" ht="18" thickBot="1">
      <c r="A70" s="823" t="s">
        <v>1787</v>
      </c>
      <c r="B70" s="824" t="s">
        <v>1810</v>
      </c>
      <c r="C70" s="825" t="e">
        <f ca="1">ROUND(C67*10000/F70,0)</f>
        <v>#DIV/0!</v>
      </c>
      <c r="D70" s="826" t="s">
        <v>1811</v>
      </c>
      <c r="E70" s="827" t="s">
        <v>1812</v>
      </c>
      <c r="F70" s="828">
        <f ca="1">F43</f>
        <v>0</v>
      </c>
      <c r="O70" s="2365" t="s">
        <v>2397</v>
      </c>
      <c r="P70" s="2371" t="s">
        <v>2398</v>
      </c>
      <c r="Q70" s="2364">
        <f ca="1">C39</f>
        <v>0</v>
      </c>
      <c r="R70" s="2363" t="s">
        <v>2378</v>
      </c>
    </row>
    <row r="71" spans="1:18" ht="18" thickBot="1">
      <c r="O71" s="2365" t="s">
        <v>2399</v>
      </c>
      <c r="P71" s="2371" t="s">
        <v>2400</v>
      </c>
      <c r="Q71" s="2364">
        <f ca="1">C13</f>
        <v>0</v>
      </c>
      <c r="R71" s="2363" t="s">
        <v>2378</v>
      </c>
    </row>
    <row r="72" spans="1:18" ht="18" thickBot="1">
      <c r="O72" s="2365" t="s">
        <v>2401</v>
      </c>
      <c r="P72" s="2371" t="s">
        <v>2402</v>
      </c>
      <c r="Q72" s="2366">
        <f ca="1">J36</f>
        <v>8.5000000000000006E-2</v>
      </c>
      <c r="R72" s="2367"/>
    </row>
    <row r="73" spans="1:18" ht="18" thickBot="1">
      <c r="O73" s="2365" t="s">
        <v>2384</v>
      </c>
      <c r="P73" s="2363" t="s">
        <v>2391</v>
      </c>
      <c r="Q73" s="2366">
        <f>L52</f>
        <v>0</v>
      </c>
      <c r="R73" s="2367"/>
    </row>
    <row r="74" spans="1:18" ht="19" thickBot="1">
      <c r="O74" s="2365" t="s">
        <v>2386</v>
      </c>
      <c r="P74" s="2363" t="s">
        <v>2392</v>
      </c>
      <c r="Q74" s="2364" t="e">
        <f ca="1">L58</f>
        <v>#DIV/0!</v>
      </c>
      <c r="R74" s="2367" t="s">
        <v>2393</v>
      </c>
    </row>
    <row r="75" spans="1:18" ht="18" thickBot="1">
      <c r="O75" s="2365" t="s">
        <v>2415</v>
      </c>
      <c r="P75" s="2363" t="str">
        <f>K59</f>
        <v>建设期及建筑物耐用年限下的土地年期修正系数Kn</v>
      </c>
      <c r="Q75" s="2364" t="e">
        <f ca="1">L59</f>
        <v>#DIV/0!</v>
      </c>
      <c r="R75" s="2367" t="s">
        <v>2395</v>
      </c>
    </row>
    <row r="76" spans="1:18" ht="18" thickBot="1">
      <c r="O76" s="2362" t="s">
        <v>2389</v>
      </c>
      <c r="P76" s="2363" t="s">
        <v>2406</v>
      </c>
      <c r="Q76" s="2364">
        <f ca="1">Q66+Q67</f>
        <v>0</v>
      </c>
      <c r="R76" s="2367" t="s">
        <v>2390</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3" sqref="I43"/>
    </sheetView>
  </sheetViews>
  <sheetFormatPr baseColWidth="10" defaultColWidth="8.83203125" defaultRowHeight="14"/>
  <cols>
    <col min="1" max="1" width="10.5" customWidth="1"/>
    <col min="2" max="2" width="12.83203125" customWidth="1"/>
    <col min="3" max="3" width="8.83203125" customWidth="1"/>
  </cols>
  <sheetData>
    <row r="1" spans="1:9" ht="15">
      <c r="A1" s="3491" t="s">
        <v>2469</v>
      </c>
      <c r="B1" s="3492"/>
      <c r="C1" s="3493"/>
      <c r="D1" s="3494">
        <f>SUM(I10,I15,I20,I21,I23)</f>
        <v>0</v>
      </c>
      <c r="E1" s="3494"/>
      <c r="F1" s="3494"/>
      <c r="G1" s="3494"/>
      <c r="H1" s="3494"/>
      <c r="I1" s="3495"/>
    </row>
    <row r="2" spans="1:9">
      <c r="A2" s="3481" t="s">
        <v>2470</v>
      </c>
      <c r="B2" s="3482" t="s">
        <v>2471</v>
      </c>
      <c r="C2" s="3482"/>
      <c r="D2" s="2471" t="s">
        <v>2472</v>
      </c>
      <c r="E2" s="2471" t="s">
        <v>2473</v>
      </c>
      <c r="F2" s="2471" t="s">
        <v>2474</v>
      </c>
      <c r="G2" s="2471" t="s">
        <v>2475</v>
      </c>
      <c r="H2" s="2471" t="s">
        <v>2476</v>
      </c>
      <c r="I2" s="2472" t="s">
        <v>2477</v>
      </c>
    </row>
    <row r="3" spans="1:9">
      <c r="A3" s="3481"/>
      <c r="B3" s="3482" t="s">
        <v>2478</v>
      </c>
      <c r="C3" s="3482"/>
      <c r="D3" s="2473"/>
      <c r="E3" s="2471"/>
      <c r="F3" s="2474"/>
      <c r="G3" s="2474"/>
      <c r="H3" s="2475"/>
      <c r="I3" s="2476">
        <f>ROUND(D3*E3*F3*G3*H3/10000,0)</f>
        <v>0</v>
      </c>
    </row>
    <row r="4" spans="1:9">
      <c r="A4" s="3481"/>
      <c r="B4" s="3482" t="s">
        <v>2479</v>
      </c>
      <c r="C4" s="3482"/>
      <c r="D4" s="2473"/>
      <c r="E4" s="2471"/>
      <c r="F4" s="2474"/>
      <c r="G4" s="2474"/>
      <c r="H4" s="2475"/>
      <c r="I4" s="2476">
        <f t="shared" ref="I4:I9" si="0">ROUND(D4*E4*F4*G4*H4/10000,0)</f>
        <v>0</v>
      </c>
    </row>
    <row r="5" spans="1:9">
      <c r="A5" s="3481"/>
      <c r="B5" s="3482" t="s">
        <v>2480</v>
      </c>
      <c r="C5" s="3482"/>
      <c r="D5" s="2473"/>
      <c r="E5" s="2471"/>
      <c r="F5" s="2474"/>
      <c r="G5" s="2474"/>
      <c r="H5" s="2475"/>
      <c r="I5" s="2476">
        <f t="shared" si="0"/>
        <v>0</v>
      </c>
    </row>
    <row r="6" spans="1:9">
      <c r="A6" s="3481"/>
      <c r="B6" s="3482" t="s">
        <v>2481</v>
      </c>
      <c r="C6" s="3482"/>
      <c r="D6" s="2473"/>
      <c r="E6" s="2471"/>
      <c r="F6" s="2474"/>
      <c r="G6" s="2474"/>
      <c r="H6" s="2475"/>
      <c r="I6" s="2476">
        <f t="shared" si="0"/>
        <v>0</v>
      </c>
    </row>
    <row r="7" spans="1:9">
      <c r="A7" s="3481"/>
      <c r="B7" s="3482" t="s">
        <v>2482</v>
      </c>
      <c r="C7" s="3482"/>
      <c r="D7" s="2473"/>
      <c r="E7" s="2471"/>
      <c r="F7" s="2474"/>
      <c r="G7" s="2474"/>
      <c r="H7" s="2475"/>
      <c r="I7" s="2476">
        <f t="shared" si="0"/>
        <v>0</v>
      </c>
    </row>
    <row r="8" spans="1:9">
      <c r="A8" s="3481"/>
      <c r="B8" s="3482" t="s">
        <v>2483</v>
      </c>
      <c r="C8" s="3482"/>
      <c r="D8" s="2473"/>
      <c r="E8" s="2471"/>
      <c r="F8" s="2474"/>
      <c r="G8" s="2474"/>
      <c r="H8" s="2475"/>
      <c r="I8" s="2476">
        <f t="shared" si="0"/>
        <v>0</v>
      </c>
    </row>
    <row r="9" spans="1:9">
      <c r="A9" s="3481"/>
      <c r="B9" s="3482" t="s">
        <v>2484</v>
      </c>
      <c r="C9" s="3482"/>
      <c r="D9" s="2473"/>
      <c r="E9" s="2471"/>
      <c r="F9" s="2474"/>
      <c r="G9" s="2474"/>
      <c r="H9" s="2475"/>
      <c r="I9" s="2476">
        <f t="shared" si="0"/>
        <v>0</v>
      </c>
    </row>
    <row r="10" spans="1:9">
      <c r="A10" s="3481"/>
      <c r="B10" s="3483" t="s">
        <v>2485</v>
      </c>
      <c r="C10" s="3483"/>
      <c r="D10" s="2477">
        <v>527</v>
      </c>
      <c r="E10" s="2477" t="e">
        <f>ROUND(D1*10000/D10/H9,0)</f>
        <v>#DIV/0!</v>
      </c>
      <c r="F10" s="2478"/>
      <c r="G10" s="2478"/>
      <c r="H10" s="2479"/>
      <c r="I10" s="2480">
        <f>SUM(I3:I9)</f>
        <v>0</v>
      </c>
    </row>
    <row r="11" spans="1:9" ht="15">
      <c r="A11" s="3481" t="s">
        <v>2486</v>
      </c>
      <c r="B11" s="3482" t="s">
        <v>2487</v>
      </c>
      <c r="C11" s="3482"/>
      <c r="D11" s="2473" t="s">
        <v>2488</v>
      </c>
      <c r="E11" s="2473" t="s">
        <v>2489</v>
      </c>
      <c r="F11" s="2474" t="s">
        <v>2490</v>
      </c>
      <c r="G11" s="2474" t="s">
        <v>2491</v>
      </c>
      <c r="H11" s="2481" t="s">
        <v>2492</v>
      </c>
      <c r="I11" s="2472" t="s">
        <v>2493</v>
      </c>
    </row>
    <row r="12" spans="1:9">
      <c r="A12" s="3481"/>
      <c r="B12" s="3482" t="s">
        <v>2494</v>
      </c>
      <c r="C12" s="3482"/>
      <c r="D12" s="2473"/>
      <c r="E12" s="2473"/>
      <c r="F12" s="2474"/>
      <c r="G12" s="2475"/>
      <c r="H12" s="2482"/>
      <c r="I12" s="2472">
        <f>ROUND(D12*E12*F12*G12/10000,0)</f>
        <v>0</v>
      </c>
    </row>
    <row r="13" spans="1:9">
      <c r="A13" s="3481"/>
      <c r="B13" s="3482" t="s">
        <v>2495</v>
      </c>
      <c r="C13" s="3482"/>
      <c r="D13" s="2473"/>
      <c r="E13" s="2473"/>
      <c r="F13" s="2474"/>
      <c r="G13" s="2475"/>
      <c r="H13" s="2482"/>
      <c r="I13" s="2472">
        <f>ROUND(D13*E13*F13*G13/10000,0)</f>
        <v>0</v>
      </c>
    </row>
    <row r="14" spans="1:9">
      <c r="A14" s="3481"/>
      <c r="B14" s="3482" t="s">
        <v>2496</v>
      </c>
      <c r="C14" s="3482"/>
      <c r="D14" s="2473"/>
      <c r="E14" s="2473"/>
      <c r="F14" s="2474"/>
      <c r="G14" s="2475"/>
      <c r="H14" s="2482"/>
      <c r="I14" s="2472">
        <f>ROUND(D14*E14*F14*G14/10000,0)</f>
        <v>0</v>
      </c>
    </row>
    <row r="15" spans="1:9">
      <c r="A15" s="3481"/>
      <c r="B15" s="3483" t="s">
        <v>2485</v>
      </c>
      <c r="C15" s="3483"/>
      <c r="D15" s="2477"/>
      <c r="E15" s="2477">
        <f>SUM(E12:E14)</f>
        <v>0</v>
      </c>
      <c r="F15" s="2478"/>
      <c r="G15" s="2475"/>
      <c r="H15" s="2482"/>
      <c r="I15" s="2483">
        <f>SUM(I12:I14)</f>
        <v>0</v>
      </c>
    </row>
    <row r="16" spans="1:9" ht="30">
      <c r="A16" s="3481" t="s">
        <v>2497</v>
      </c>
      <c r="B16" s="3482" t="s">
        <v>2498</v>
      </c>
      <c r="C16" s="3482"/>
      <c r="D16" s="2473" t="s">
        <v>2499</v>
      </c>
      <c r="E16" s="2484" t="s">
        <v>2500</v>
      </c>
      <c r="F16" s="2474" t="s">
        <v>2501</v>
      </c>
      <c r="G16" s="2475" t="s">
        <v>2491</v>
      </c>
      <c r="H16" s="2481" t="s">
        <v>2492</v>
      </c>
      <c r="I16" s="2472" t="s">
        <v>2493</v>
      </c>
    </row>
    <row r="17" spans="1:9" ht="15">
      <c r="A17" s="3481"/>
      <c r="B17" s="3482" t="s">
        <v>2502</v>
      </c>
      <c r="C17" s="3482"/>
      <c r="D17" s="2473"/>
      <c r="E17" s="2473"/>
      <c r="F17" s="2474"/>
      <c r="G17" s="2475"/>
      <c r="H17" s="2485"/>
      <c r="I17" s="2486">
        <f>ROUND(D17*E17*F17*G17/10000,0)</f>
        <v>0</v>
      </c>
    </row>
    <row r="18" spans="1:9" ht="15">
      <c r="A18" s="3481"/>
      <c r="B18" s="3482" t="s">
        <v>2503</v>
      </c>
      <c r="C18" s="3482"/>
      <c r="D18" s="2473"/>
      <c r="E18" s="2473"/>
      <c r="F18" s="2474"/>
      <c r="G18" s="2475"/>
      <c r="H18" s="2485"/>
      <c r="I18" s="2486">
        <f>ROUND(D18*E18*F18*G18/10000,0)</f>
        <v>0</v>
      </c>
    </row>
    <row r="19" spans="1:9" ht="15">
      <c r="A19" s="3481"/>
      <c r="B19" s="3482" t="s">
        <v>2504</v>
      </c>
      <c r="C19" s="3482"/>
      <c r="D19" s="2473"/>
      <c r="E19" s="2473"/>
      <c r="F19" s="2474"/>
      <c r="G19" s="2475"/>
      <c r="H19" s="2485"/>
      <c r="I19" s="2486">
        <f>ROUND(D19*E19*F19*G19/10000,0)</f>
        <v>0</v>
      </c>
    </row>
    <row r="20" spans="1:9">
      <c r="A20" s="3481"/>
      <c r="B20" s="3483" t="s">
        <v>2485</v>
      </c>
      <c r="C20" s="3483"/>
      <c r="D20" s="2477">
        <f>SUM(D17:D19)</f>
        <v>0</v>
      </c>
      <c r="E20" s="2477"/>
      <c r="F20" s="2478"/>
      <c r="G20" s="2475"/>
      <c r="H20" s="2482"/>
      <c r="I20" s="2483">
        <f>SUM(I17:I19)</f>
        <v>0</v>
      </c>
    </row>
    <row r="21" spans="1:9">
      <c r="A21" s="3481" t="s">
        <v>2505</v>
      </c>
      <c r="B21" s="3484"/>
      <c r="C21" s="3484"/>
      <c r="D21" s="3484"/>
      <c r="E21" s="3484"/>
      <c r="F21" s="3484"/>
      <c r="G21" s="3484"/>
      <c r="H21" s="2487">
        <v>0.1</v>
      </c>
      <c r="I21" s="2480">
        <f>ROUND(I10*H21,0)</f>
        <v>0</v>
      </c>
    </row>
    <row r="22" spans="1:9" ht="15">
      <c r="A22" s="3485" t="s">
        <v>2506</v>
      </c>
      <c r="B22" s="3486"/>
      <c r="C22" s="3487"/>
      <c r="D22" s="2488" t="s">
        <v>2507</v>
      </c>
      <c r="E22" s="2488" t="s">
        <v>2508</v>
      </c>
      <c r="F22" s="2489" t="s">
        <v>2509</v>
      </c>
      <c r="G22" s="2489" t="s">
        <v>2510</v>
      </c>
      <c r="H22" s="2481" t="s">
        <v>2511</v>
      </c>
      <c r="I22" s="2472" t="s">
        <v>2512</v>
      </c>
    </row>
    <row r="23" spans="1:9" ht="15" thickBot="1">
      <c r="A23" s="3488"/>
      <c r="B23" s="3489"/>
      <c r="C23" s="3490"/>
      <c r="D23" s="2490"/>
      <c r="E23" s="2490"/>
      <c r="F23" s="2490"/>
      <c r="G23" s="2491"/>
      <c r="H23" s="2492"/>
      <c r="I23" s="2493">
        <f>ROUND(E23*D23*F23*(1-G23)/10000,0)</f>
        <v>0</v>
      </c>
    </row>
    <row r="26" spans="1:9">
      <c r="A26" s="2494" t="s">
        <v>2513</v>
      </c>
      <c r="B26" s="2494"/>
      <c r="C26" s="2494"/>
      <c r="D26" s="2494"/>
      <c r="E26" s="3478">
        <f>C27-C30-C31-C32</f>
        <v>0</v>
      </c>
      <c r="F26" s="3478"/>
      <c r="G26" s="3478"/>
      <c r="H26" s="2994" t="s">
        <v>2840</v>
      </c>
    </row>
    <row r="27" spans="1:9">
      <c r="A27" s="2495">
        <v>1</v>
      </c>
      <c r="B27" s="2496" t="s">
        <v>2514</v>
      </c>
      <c r="C27" s="2496"/>
      <c r="D27" s="2496"/>
      <c r="E27" s="3479"/>
      <c r="F27" s="3479"/>
      <c r="G27" s="3479"/>
    </row>
    <row r="28" spans="1:9">
      <c r="A28" s="2497" t="s">
        <v>2515</v>
      </c>
      <c r="B28" s="2496" t="s">
        <v>2516</v>
      </c>
      <c r="C28" s="2496"/>
      <c r="D28" s="2496"/>
      <c r="E28" s="3479"/>
      <c r="F28" s="3479"/>
      <c r="G28" s="3479"/>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80"/>
      <c r="F32" s="3480"/>
      <c r="G32" s="3480"/>
    </row>
    <row r="33" spans="1:7" hidden="1">
      <c r="A33" s="3475" t="s">
        <v>2524</v>
      </c>
      <c r="B33" s="3476"/>
      <c r="C33" s="3476"/>
      <c r="D33" s="3477"/>
      <c r="E33" s="3478"/>
      <c r="F33" s="3478"/>
      <c r="G33" s="3478"/>
    </row>
    <row r="34" spans="1:7" hidden="1">
      <c r="A34" s="2499">
        <v>1</v>
      </c>
      <c r="B34" s="2496" t="s">
        <v>2525</v>
      </c>
      <c r="C34" s="2496"/>
      <c r="D34" s="2496"/>
      <c r="E34" s="3479"/>
      <c r="F34" s="3479"/>
      <c r="G34" s="3479"/>
    </row>
    <row r="35" spans="1:7" hidden="1">
      <c r="A35" s="2499">
        <v>2</v>
      </c>
      <c r="B35" s="2496" t="s">
        <v>2526</v>
      </c>
      <c r="C35" s="2496"/>
      <c r="D35" s="2496"/>
      <c r="E35" s="3479"/>
      <c r="F35" s="3479"/>
      <c r="G35" s="3479"/>
    </row>
    <row r="36" spans="1:7" hidden="1">
      <c r="A36" s="2499">
        <v>3</v>
      </c>
      <c r="B36" s="2496" t="s">
        <v>2527</v>
      </c>
      <c r="C36" s="2496"/>
      <c r="D36" s="2496"/>
      <c r="E36" s="3479"/>
      <c r="F36" s="3479"/>
      <c r="G36" s="3479"/>
    </row>
    <row r="37" spans="1:7" hidden="1">
      <c r="A37" s="2499">
        <v>4</v>
      </c>
      <c r="B37" s="2496" t="s">
        <v>2528</v>
      </c>
      <c r="C37" s="2496"/>
      <c r="D37" s="2496"/>
      <c r="E37" s="3479"/>
      <c r="F37" s="3479"/>
      <c r="G37" s="3479"/>
    </row>
    <row r="38" spans="1:7" hidden="1">
      <c r="A38" s="3475" t="s">
        <v>2529</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C127" sqref="C127:G132"/>
    </sheetView>
  </sheetViews>
  <sheetFormatPr baseColWidth="10" defaultColWidth="8.33203125" defaultRowHeight="13"/>
  <cols>
    <col min="1" max="1" width="9.33203125" style="2170" customWidth="1"/>
    <col min="2" max="2" width="26.6640625" style="2171" customWidth="1"/>
    <col min="3" max="3" width="11.1640625" style="2171" customWidth="1"/>
    <col min="4" max="5" width="11.1640625" style="2172" customWidth="1"/>
    <col min="6" max="6" width="9.5" style="2171" customWidth="1"/>
    <col min="7" max="7" width="31.83203125" style="2171" customWidth="1"/>
    <col min="8" max="25" width="9" style="2173" customWidth="1"/>
    <col min="26" max="254" width="9" style="2171" customWidth="1"/>
    <col min="255" max="16384" width="8.33203125" style="2171"/>
  </cols>
  <sheetData>
    <row r="1" spans="1:25" s="2044" customFormat="1" ht="20">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42">
      <c r="A10" s="2433">
        <v>2</v>
      </c>
      <c r="B10" s="748" t="s">
        <v>613</v>
      </c>
      <c r="C10" s="749">
        <f>C11+C14+C15</f>
        <v>0</v>
      </c>
      <c r="D10" s="760">
        <f>'数据-汇总表'!E3</f>
        <v>237128</v>
      </c>
      <c r="E10" s="749">
        <f>'数据-取费表'!B31</f>
        <v>200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1173</v>
      </c>
      <c r="D12" s="758">
        <f>'数据-汇总表'!E5</f>
        <v>167543</v>
      </c>
      <c r="E12" s="757">
        <f>'数据-取费表'!B27</f>
        <v>70</v>
      </c>
      <c r="F12" s="755"/>
      <c r="G12" s="759"/>
    </row>
    <row r="13" spans="1:25" s="2168" customFormat="1" ht="13.5" customHeight="1">
      <c r="A13" s="2440" t="s">
        <v>2445</v>
      </c>
      <c r="B13" s="756" t="s">
        <v>612</v>
      </c>
      <c r="C13" s="757">
        <f>ROUND(D13*E13/10000,0)</f>
        <v>348</v>
      </c>
      <c r="D13" s="758">
        <f>'数据-汇总表'!E6</f>
        <v>69585</v>
      </c>
      <c r="E13" s="757">
        <f>'数据-取费表'!B28</f>
        <v>50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56">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8">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0.16</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1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ht="15">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0.93500000000000005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7" sqref="C127:G132"/>
    </sheetView>
  </sheetViews>
  <sheetFormatPr baseColWidth="10" defaultColWidth="9" defaultRowHeight="14"/>
  <cols>
    <col min="1" max="1" width="10.5" style="1333" customWidth="1"/>
    <col min="2" max="2" width="15.83203125" style="1333" customWidth="1"/>
    <col min="3" max="3" width="15.16406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21" t="s">
        <v>522</v>
      </c>
      <c r="D4" s="3322"/>
      <c r="E4" s="3423" t="s">
        <v>523</v>
      </c>
      <c r="F4" s="3424"/>
      <c r="G4" s="3321" t="s">
        <v>524</v>
      </c>
      <c r="H4" s="3322"/>
      <c r="I4" s="3321" t="s">
        <v>525</v>
      </c>
      <c r="J4" s="3322"/>
      <c r="K4" s="853" t="s">
        <v>526</v>
      </c>
      <c r="L4" s="2118"/>
      <c r="M4" s="2119"/>
      <c r="N4" s="2119"/>
      <c r="O4" s="2119"/>
      <c r="P4" s="3323" t="s">
        <v>527</v>
      </c>
      <c r="Q4" s="3324"/>
      <c r="R4" s="3308" t="s">
        <v>523</v>
      </c>
      <c r="S4" s="3309"/>
      <c r="T4" s="3308" t="s">
        <v>524</v>
      </c>
      <c r="U4" s="3309"/>
      <c r="V4" s="3329" t="s">
        <v>525</v>
      </c>
      <c r="W4" s="3329"/>
      <c r="X4" s="1553"/>
      <c r="Y4" s="3308" t="s">
        <v>527</v>
      </c>
      <c r="Z4" s="3309"/>
      <c r="AA4" s="3303" t="s">
        <v>523</v>
      </c>
      <c r="AB4" s="3303" t="s">
        <v>524</v>
      </c>
      <c r="AC4" s="3303" t="s">
        <v>525</v>
      </c>
    </row>
    <row r="5" spans="1:29">
      <c r="A5" s="515"/>
      <c r="B5" s="516"/>
      <c r="C5" s="3332" t="s">
        <v>2928</v>
      </c>
      <c r="D5" s="3333"/>
      <c r="E5" s="3425" t="s">
        <v>2929</v>
      </c>
      <c r="F5" s="3426"/>
      <c r="G5" s="3332" t="s">
        <v>2930</v>
      </c>
      <c r="H5" s="3333"/>
      <c r="I5" s="3332" t="s">
        <v>2931</v>
      </c>
      <c r="J5" s="3333"/>
      <c r="K5" s="854"/>
      <c r="L5" s="2118"/>
      <c r="M5" s="2119"/>
      <c r="N5" s="2119"/>
      <c r="O5" s="2119"/>
      <c r="P5" s="3325"/>
      <c r="Q5" s="3326"/>
      <c r="R5" s="3310"/>
      <c r="S5" s="3311"/>
      <c r="T5" s="3310"/>
      <c r="U5" s="3311"/>
      <c r="V5" s="3329"/>
      <c r="W5" s="3329"/>
      <c r="X5" s="1553"/>
      <c r="Y5" s="3310"/>
      <c r="Z5" s="3311"/>
      <c r="AA5" s="3304"/>
      <c r="AB5" s="3304"/>
      <c r="AC5" s="3304"/>
    </row>
    <row r="6" spans="1:29" ht="16" thickBot="1">
      <c r="A6" s="517"/>
      <c r="B6" s="518"/>
      <c r="C6" s="3330" t="s">
        <v>2932</v>
      </c>
      <c r="D6" s="3331"/>
      <c r="E6" s="3427" t="s">
        <v>2932</v>
      </c>
      <c r="F6" s="3428"/>
      <c r="G6" s="3330" t="s">
        <v>2932</v>
      </c>
      <c r="H6" s="3331"/>
      <c r="I6" s="3330" t="s">
        <v>2932</v>
      </c>
      <c r="J6" s="3331"/>
      <c r="K6" s="854" t="s">
        <v>528</v>
      </c>
      <c r="L6" s="2118"/>
      <c r="M6" s="2119"/>
      <c r="N6" s="2119"/>
      <c r="O6" s="2119"/>
      <c r="P6" s="3327"/>
      <c r="Q6" s="3328"/>
      <c r="R6" s="3310"/>
      <c r="S6" s="3311"/>
      <c r="T6" s="3313"/>
      <c r="U6" s="3314"/>
      <c r="V6" s="3329"/>
      <c r="W6" s="3329"/>
      <c r="X6" s="1553"/>
      <c r="Y6" s="3313"/>
      <c r="Z6" s="3314"/>
      <c r="AA6" s="3305"/>
      <c r="AB6" s="3305"/>
      <c r="AC6" s="3305"/>
    </row>
    <row r="7" spans="1:29" s="1216" customFormat="1" ht="16" thickBot="1">
      <c r="A7" s="2867"/>
      <c r="B7" s="2874" t="s">
        <v>529</v>
      </c>
      <c r="C7" s="519">
        <f>'数据-取费表'!B2</f>
        <v>43875</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06" t="s">
        <v>530</v>
      </c>
      <c r="Q7" s="3316"/>
      <c r="R7" s="1554" t="s">
        <v>13</v>
      </c>
      <c r="S7" s="1555">
        <f t="shared" ref="S7:S15" si="0">F7</f>
        <v>0</v>
      </c>
      <c r="T7" s="1554" t="s">
        <v>13</v>
      </c>
      <c r="U7" s="1555">
        <f t="shared" ref="U7:U15" si="1">H7</f>
        <v>0</v>
      </c>
      <c r="V7" s="1554" t="s">
        <v>13</v>
      </c>
      <c r="W7" s="1555">
        <f t="shared" ref="W7:W15" si="2">J7</f>
        <v>0</v>
      </c>
      <c r="X7" s="1556"/>
      <c r="Y7" s="3306" t="s">
        <v>530</v>
      </c>
      <c r="Z7" s="3307"/>
      <c r="AA7" s="1557" t="e">
        <f>D7/F7</f>
        <v>#DIV/0!</v>
      </c>
      <c r="AB7" s="1557" t="e">
        <f>D7/H7</f>
        <v>#DIV/0!</v>
      </c>
      <c r="AC7" s="1557" t="e">
        <f>D7/J7</f>
        <v>#DIV/0!</v>
      </c>
    </row>
    <row r="8" spans="1:29" s="1216" customFormat="1" ht="16"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06" t="s">
        <v>533</v>
      </c>
      <c r="Q8" s="3307"/>
      <c r="R8" s="1554" t="s">
        <v>13</v>
      </c>
      <c r="S8" s="1555">
        <f t="shared" si="0"/>
        <v>0</v>
      </c>
      <c r="T8" s="1554" t="s">
        <v>13</v>
      </c>
      <c r="U8" s="1555">
        <f t="shared" si="1"/>
        <v>0</v>
      </c>
      <c r="V8" s="1554" t="s">
        <v>13</v>
      </c>
      <c r="W8" s="1555">
        <f t="shared" si="2"/>
        <v>0</v>
      </c>
      <c r="X8" s="1556"/>
      <c r="Y8" s="3306" t="s">
        <v>533</v>
      </c>
      <c r="Z8" s="3307"/>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15"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15"/>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6">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15"/>
      <c r="Q11" s="1147" t="str">
        <f t="shared" si="6"/>
        <v>容积率</v>
      </c>
      <c r="R11" s="1554" t="s">
        <v>11</v>
      </c>
      <c r="S11" s="1555" t="e">
        <f t="shared" si="0"/>
        <v>#N/A</v>
      </c>
      <c r="T11" s="1554" t="s">
        <v>11</v>
      </c>
      <c r="U11" s="1555" t="e">
        <f t="shared" si="1"/>
        <v>#N/A</v>
      </c>
      <c r="V11" s="1554" t="s">
        <v>11</v>
      </c>
      <c r="W11" s="1555" t="e">
        <f t="shared" si="2"/>
        <v>#N/A</v>
      </c>
      <c r="X11" s="1556"/>
      <c r="Y11" s="3312"/>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15"/>
      <c r="Q12" s="1147">
        <f t="shared" si="6"/>
        <v>111</v>
      </c>
      <c r="R12" s="1554" t="s">
        <v>11</v>
      </c>
      <c r="S12" s="1555">
        <f t="shared" si="0"/>
        <v>100</v>
      </c>
      <c r="T12" s="1554" t="s">
        <v>11</v>
      </c>
      <c r="U12" s="1555">
        <f t="shared" si="1"/>
        <v>100</v>
      </c>
      <c r="V12" s="1554" t="s">
        <v>11</v>
      </c>
      <c r="W12" s="1555">
        <f t="shared" si="2"/>
        <v>100</v>
      </c>
      <c r="X12" s="1556"/>
      <c r="Y12" s="3312"/>
      <c r="Z12" s="1146">
        <f t="shared" si="7"/>
        <v>111</v>
      </c>
      <c r="AA12" s="1557">
        <f>D12/F12</f>
        <v>1</v>
      </c>
      <c r="AB12" s="1557">
        <f>D12/H12</f>
        <v>1</v>
      </c>
      <c r="AC12" s="1557">
        <f>D12/J12</f>
        <v>1</v>
      </c>
    </row>
    <row r="13" spans="1:29" ht="16">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15"/>
      <c r="Q13" s="1147">
        <f t="shared" si="6"/>
        <v>111</v>
      </c>
      <c r="R13" s="1554" t="s">
        <v>11</v>
      </c>
      <c r="S13" s="1555">
        <f t="shared" si="0"/>
        <v>100</v>
      </c>
      <c r="T13" s="1554" t="s">
        <v>11</v>
      </c>
      <c r="U13" s="1555">
        <f t="shared" si="1"/>
        <v>100</v>
      </c>
      <c r="V13" s="1554" t="s">
        <v>11</v>
      </c>
      <c r="W13" s="1555">
        <f t="shared" si="2"/>
        <v>100</v>
      </c>
      <c r="X13" s="1556"/>
      <c r="Y13" s="3312"/>
      <c r="Z13" s="1146">
        <f t="shared" si="7"/>
        <v>111</v>
      </c>
      <c r="AA13" s="1557">
        <f t="shared" si="3"/>
        <v>1</v>
      </c>
      <c r="AB13" s="1557">
        <f t="shared" si="4"/>
        <v>1</v>
      </c>
      <c r="AC13" s="1557">
        <f t="shared" si="5"/>
        <v>1</v>
      </c>
    </row>
    <row r="14" spans="1:29" ht="17"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15"/>
      <c r="Q14" s="1147">
        <f t="shared" si="6"/>
        <v>111</v>
      </c>
      <c r="R14" s="1554" t="s">
        <v>11</v>
      </c>
      <c r="S14" s="1555">
        <f t="shared" si="0"/>
        <v>100</v>
      </c>
      <c r="T14" s="1554" t="s">
        <v>11</v>
      </c>
      <c r="U14" s="1555">
        <f t="shared" si="1"/>
        <v>100</v>
      </c>
      <c r="V14" s="1554" t="s">
        <v>11</v>
      </c>
      <c r="W14" s="1555">
        <f t="shared" si="2"/>
        <v>100</v>
      </c>
      <c r="X14" s="1556"/>
      <c r="Y14" s="3312"/>
      <c r="Z14" s="1146">
        <f t="shared" si="7"/>
        <v>111</v>
      </c>
      <c r="AA14" s="1557">
        <f t="shared" si="3"/>
        <v>1</v>
      </c>
      <c r="AB14" s="1557">
        <f t="shared" si="4"/>
        <v>1</v>
      </c>
      <c r="AC14" s="1557">
        <f t="shared" si="5"/>
        <v>1</v>
      </c>
    </row>
    <row r="15" spans="1:29" ht="10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17" t="s">
        <v>540</v>
      </c>
      <c r="Q15" s="1558" t="str">
        <f t="shared" si="6"/>
        <v>居住社区成熟度</v>
      </c>
      <c r="R15" s="1559" t="s">
        <v>11</v>
      </c>
      <c r="S15" s="1560">
        <f t="shared" si="0"/>
        <v>100</v>
      </c>
      <c r="T15" s="1559" t="s">
        <v>11</v>
      </c>
      <c r="U15" s="1560">
        <f t="shared" si="1"/>
        <v>100</v>
      </c>
      <c r="V15" s="1559" t="s">
        <v>11</v>
      </c>
      <c r="W15" s="1560">
        <f t="shared" si="2"/>
        <v>100</v>
      </c>
      <c r="X15" s="1553"/>
      <c r="Y15" s="3317" t="s">
        <v>540</v>
      </c>
      <c r="Z15" s="1561" t="str">
        <f t="shared" si="7"/>
        <v>居住社区成熟度</v>
      </c>
      <c r="AA15" s="1562">
        <f t="shared" si="3"/>
        <v>1</v>
      </c>
      <c r="AB15" s="1562">
        <f t="shared" si="4"/>
        <v>1</v>
      </c>
      <c r="AC15" s="1562">
        <f t="shared" si="5"/>
        <v>1</v>
      </c>
    </row>
    <row r="16" spans="1:29" ht="16">
      <c r="A16" s="532"/>
      <c r="B16" s="869"/>
      <c r="C16" s="576"/>
      <c r="D16" s="555"/>
      <c r="E16" s="556"/>
      <c r="F16" s="557"/>
      <c r="G16" s="558"/>
      <c r="H16" s="559"/>
      <c r="I16" s="556"/>
      <c r="J16" s="555"/>
      <c r="K16" s="870"/>
      <c r="L16" s="2127"/>
      <c r="M16" s="2119"/>
      <c r="N16" s="2119"/>
      <c r="O16" s="2126"/>
      <c r="P16" s="3318"/>
      <c r="Q16" s="1558"/>
      <c r="R16" s="1559"/>
      <c r="S16" s="1560"/>
      <c r="T16" s="1559"/>
      <c r="U16" s="1560"/>
      <c r="V16" s="1559"/>
      <c r="W16" s="1560"/>
      <c r="X16" s="1553"/>
      <c r="Y16" s="3318"/>
      <c r="Z16" s="1561"/>
      <c r="AA16" s="1562">
        <v>1</v>
      </c>
      <c r="AB16" s="1562">
        <v>1</v>
      </c>
      <c r="AC16" s="1562">
        <v>1</v>
      </c>
    </row>
    <row r="17" spans="1:29" ht="90">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18"/>
      <c r="Q17" s="1558" t="str">
        <f>B17</f>
        <v>交通便捷度</v>
      </c>
      <c r="R17" s="1559" t="s">
        <v>11</v>
      </c>
      <c r="S17" s="1560">
        <f>F17</f>
        <v>100</v>
      </c>
      <c r="T17" s="1559" t="s">
        <v>11</v>
      </c>
      <c r="U17" s="1560">
        <f>H17</f>
        <v>100</v>
      </c>
      <c r="V17" s="1559" t="s">
        <v>11</v>
      </c>
      <c r="W17" s="1560">
        <f>J17</f>
        <v>100</v>
      </c>
      <c r="X17" s="1553"/>
      <c r="Y17" s="3318"/>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70"/>
      <c r="L18" s="2127"/>
      <c r="M18" s="2119"/>
      <c r="N18" s="2119"/>
      <c r="O18" s="2126"/>
      <c r="P18" s="3318"/>
      <c r="Q18" s="1558"/>
      <c r="R18" s="1559"/>
      <c r="S18" s="1560"/>
      <c r="T18" s="1559"/>
      <c r="U18" s="1560"/>
      <c r="V18" s="1559"/>
      <c r="W18" s="1560"/>
      <c r="X18" s="1553"/>
      <c r="Y18" s="3318"/>
      <c r="Z18" s="1561"/>
      <c r="AA18" s="1562">
        <v>1</v>
      </c>
      <c r="AB18" s="1562">
        <v>1</v>
      </c>
      <c r="AC18" s="1562">
        <v>1</v>
      </c>
    </row>
    <row r="19" spans="1:29" ht="4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18"/>
      <c r="Q19" s="1558" t="str">
        <f>B19</f>
        <v>公共配套设施</v>
      </c>
      <c r="R19" s="1559" t="s">
        <v>11</v>
      </c>
      <c r="S19" s="1560">
        <f>F19</f>
        <v>100</v>
      </c>
      <c r="T19" s="1559" t="s">
        <v>11</v>
      </c>
      <c r="U19" s="1560">
        <f>H19</f>
        <v>100</v>
      </c>
      <c r="V19" s="1559" t="s">
        <v>11</v>
      </c>
      <c r="W19" s="1560">
        <f>J19</f>
        <v>100</v>
      </c>
      <c r="X19" s="1553"/>
      <c r="Y19" s="3318"/>
      <c r="Z19" s="1561" t="str">
        <f>Q19</f>
        <v>公共配套设施</v>
      </c>
      <c r="AA19" s="1562">
        <f t="shared" si="3"/>
        <v>1</v>
      </c>
      <c r="AB19" s="1562">
        <f t="shared" si="4"/>
        <v>1</v>
      </c>
      <c r="AC19" s="1562">
        <f t="shared" si="5"/>
        <v>1</v>
      </c>
    </row>
    <row r="20" spans="1:29" ht="16">
      <c r="A20" s="532"/>
      <c r="B20" s="595"/>
      <c r="C20" s="576"/>
      <c r="D20" s="555"/>
      <c r="E20" s="556"/>
      <c r="F20" s="557"/>
      <c r="G20" s="558"/>
      <c r="H20" s="555"/>
      <c r="I20" s="556"/>
      <c r="J20" s="555"/>
      <c r="K20" s="870"/>
      <c r="L20" s="2127"/>
      <c r="M20" s="2119"/>
      <c r="N20" s="2119"/>
      <c r="O20" s="2126"/>
      <c r="P20" s="3318"/>
      <c r="Q20" s="1558"/>
      <c r="R20" s="1559"/>
      <c r="S20" s="1560"/>
      <c r="T20" s="1559"/>
      <c r="U20" s="1560"/>
      <c r="V20" s="1559"/>
      <c r="W20" s="1560"/>
      <c r="X20" s="1553"/>
      <c r="Y20" s="3318"/>
      <c r="Z20" s="1561"/>
      <c r="AA20" s="1562">
        <v>1</v>
      </c>
      <c r="AB20" s="1562">
        <v>1</v>
      </c>
      <c r="AC20" s="1562">
        <v>1</v>
      </c>
    </row>
    <row r="21" spans="1:29" ht="30">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18"/>
      <c r="Q21" s="2543" t="str">
        <f>B21</f>
        <v>基础设施水平</v>
      </c>
      <c r="R21" s="1559" t="s">
        <v>11</v>
      </c>
      <c r="S21" s="1560">
        <f>F21</f>
        <v>100</v>
      </c>
      <c r="T21" s="1559" t="s">
        <v>11</v>
      </c>
      <c r="U21" s="1560">
        <f>H21</f>
        <v>100</v>
      </c>
      <c r="V21" s="1559" t="s">
        <v>11</v>
      </c>
      <c r="W21" s="1560">
        <f>J21</f>
        <v>100</v>
      </c>
      <c r="X21" s="2545"/>
      <c r="Y21" s="3318"/>
      <c r="Z21" s="2544" t="str">
        <f>Q21</f>
        <v>基础设施水平</v>
      </c>
      <c r="AA21" s="1562">
        <f t="shared" ref="AA21" si="8">D21/F21</f>
        <v>1</v>
      </c>
      <c r="AB21" s="1562">
        <f t="shared" ref="AB21" si="9">D21/H21</f>
        <v>1</v>
      </c>
      <c r="AC21" s="1562">
        <f t="shared" ref="AC21" si="10">D21/J21</f>
        <v>1</v>
      </c>
    </row>
    <row r="22" spans="1:29" ht="16">
      <c r="A22" s="532"/>
      <c r="B22" s="922"/>
      <c r="C22" s="873"/>
      <c r="D22" s="555"/>
      <c r="E22" s="576"/>
      <c r="F22" s="557"/>
      <c r="G22" s="576"/>
      <c r="H22" s="555"/>
      <c r="I22" s="576"/>
      <c r="J22" s="555"/>
      <c r="K22" s="2563"/>
      <c r="L22" s="2127"/>
      <c r="M22" s="2119"/>
      <c r="N22" s="2119"/>
      <c r="O22" s="2126"/>
      <c r="P22" s="3318"/>
      <c r="Q22" s="2543"/>
      <c r="R22" s="1559"/>
      <c r="S22" s="1560"/>
      <c r="T22" s="1559"/>
      <c r="U22" s="1560"/>
      <c r="V22" s="1559"/>
      <c r="W22" s="1560"/>
      <c r="X22" s="2545"/>
      <c r="Y22" s="3318"/>
      <c r="Z22" s="2544"/>
      <c r="AA22" s="1562">
        <v>1</v>
      </c>
      <c r="AB22" s="1562">
        <v>1</v>
      </c>
      <c r="AC22" s="1562">
        <v>1</v>
      </c>
    </row>
    <row r="23" spans="1:29" ht="60">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18"/>
      <c r="Q23" s="1558" t="str">
        <f>B23</f>
        <v>自然及人文环境</v>
      </c>
      <c r="R23" s="1559" t="s">
        <v>11</v>
      </c>
      <c r="S23" s="1560">
        <f>F23</f>
        <v>100</v>
      </c>
      <c r="T23" s="1559" t="s">
        <v>11</v>
      </c>
      <c r="U23" s="1560">
        <f>H23</f>
        <v>100</v>
      </c>
      <c r="V23" s="1559" t="s">
        <v>11</v>
      </c>
      <c r="W23" s="1560">
        <f>J23</f>
        <v>100</v>
      </c>
      <c r="X23" s="1553"/>
      <c r="Y23" s="3318"/>
      <c r="Z23" s="1561" t="str">
        <f>Q23</f>
        <v>自然及人文环境</v>
      </c>
      <c r="AA23" s="1562">
        <f t="shared" si="3"/>
        <v>1</v>
      </c>
      <c r="AB23" s="1562">
        <f t="shared" si="4"/>
        <v>1</v>
      </c>
      <c r="AC23" s="1562">
        <f t="shared" si="5"/>
        <v>1</v>
      </c>
    </row>
    <row r="24" spans="1:29" ht="16">
      <c r="A24" s="532"/>
      <c r="B24" s="595"/>
      <c r="C24" s="576"/>
      <c r="D24" s="555"/>
      <c r="E24" s="556"/>
      <c r="F24" s="557"/>
      <c r="G24" s="558"/>
      <c r="H24" s="555"/>
      <c r="I24" s="556"/>
      <c r="J24" s="555"/>
      <c r="K24" s="870"/>
      <c r="L24" s="2127"/>
      <c r="M24" s="2119"/>
      <c r="N24" s="2119"/>
      <c r="O24" s="2126"/>
      <c r="P24" s="3318"/>
      <c r="Q24" s="1558"/>
      <c r="R24" s="1559"/>
      <c r="S24" s="1560"/>
      <c r="T24" s="1559"/>
      <c r="U24" s="1560"/>
      <c r="V24" s="1559"/>
      <c r="W24" s="1560"/>
      <c r="X24" s="1553"/>
      <c r="Y24" s="3318"/>
      <c r="Z24" s="1561"/>
      <c r="AA24" s="1562">
        <v>1</v>
      </c>
      <c r="AB24" s="1562">
        <v>1</v>
      </c>
      <c r="AC24" s="1562">
        <v>1</v>
      </c>
    </row>
    <row r="25" spans="1:29" ht="16">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18"/>
      <c r="Q25" s="1558" t="str">
        <f t="shared" ref="Q25:Q46" si="11">B25</f>
        <v>楼层-1</v>
      </c>
      <c r="R25" s="1559" t="s">
        <v>11</v>
      </c>
      <c r="S25" s="1560">
        <f>F25</f>
        <v>100</v>
      </c>
      <c r="T25" s="1559" t="s">
        <v>11</v>
      </c>
      <c r="U25" s="1560">
        <f>H25</f>
        <v>100</v>
      </c>
      <c r="V25" s="1559" t="s">
        <v>11</v>
      </c>
      <c r="W25" s="1560">
        <f>J25</f>
        <v>100</v>
      </c>
      <c r="X25" s="1553"/>
      <c r="Y25" s="3318"/>
      <c r="Z25" s="1561" t="str">
        <f>Q25</f>
        <v>楼层-1</v>
      </c>
      <c r="AA25" s="1562">
        <f t="shared" si="3"/>
        <v>1</v>
      </c>
      <c r="AB25" s="1562">
        <f t="shared" si="4"/>
        <v>1</v>
      </c>
      <c r="AC25" s="1562">
        <f t="shared" si="5"/>
        <v>1</v>
      </c>
    </row>
    <row r="26" spans="1:29" ht="16">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18"/>
      <c r="Q26" s="1558" t="str">
        <f t="shared" si="11"/>
        <v>朝向</v>
      </c>
      <c r="R26" s="1559" t="s">
        <v>11</v>
      </c>
      <c r="S26" s="1560">
        <f>F26</f>
        <v>100</v>
      </c>
      <c r="T26" s="1559" t="s">
        <v>11</v>
      </c>
      <c r="U26" s="1560">
        <f>H26</f>
        <v>100</v>
      </c>
      <c r="V26" s="1559" t="s">
        <v>11</v>
      </c>
      <c r="W26" s="1560">
        <f>J26</f>
        <v>100</v>
      </c>
      <c r="X26" s="1553"/>
      <c r="Y26" s="3318"/>
      <c r="Z26" s="1561" t="str">
        <f>Q26</f>
        <v>朝向</v>
      </c>
      <c r="AA26" s="1562">
        <f t="shared" si="3"/>
        <v>1</v>
      </c>
      <c r="AB26" s="1562">
        <f t="shared" si="4"/>
        <v>1</v>
      </c>
      <c r="AC26" s="1562">
        <f t="shared" si="5"/>
        <v>1</v>
      </c>
    </row>
    <row r="27" spans="1:29" s="1216" customFormat="1" ht="16">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18"/>
      <c r="Q27" s="1147" t="str">
        <f t="shared" si="11"/>
        <v>道路级别</v>
      </c>
      <c r="R27" s="1554" t="s">
        <v>11</v>
      </c>
      <c r="S27" s="1555">
        <f>F27</f>
        <v>100</v>
      </c>
      <c r="T27" s="1554" t="s">
        <v>11</v>
      </c>
      <c r="U27" s="1555">
        <f>H27</f>
        <v>100</v>
      </c>
      <c r="V27" s="1554" t="s">
        <v>11</v>
      </c>
      <c r="W27" s="1555">
        <f>J27</f>
        <v>100</v>
      </c>
      <c r="X27" s="1556"/>
      <c r="Y27" s="3318"/>
      <c r="Z27" s="1146" t="str">
        <f>Q27</f>
        <v>道路级别</v>
      </c>
      <c r="AA27" s="1562">
        <f>D27/F27</f>
        <v>1</v>
      </c>
      <c r="AB27" s="1562">
        <f>D27/H27</f>
        <v>1</v>
      </c>
      <c r="AC27" s="1562">
        <f>D27/J27</f>
        <v>1</v>
      </c>
    </row>
    <row r="28" spans="1:29" ht="16">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1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18"/>
      <c r="Z28" s="1561">
        <f t="shared" ref="Z28:Z46" si="15">Q28</f>
        <v>111</v>
      </c>
      <c r="AA28" s="1562">
        <f t="shared" si="3"/>
        <v>1</v>
      </c>
      <c r="AB28" s="1562">
        <f t="shared" si="4"/>
        <v>1</v>
      </c>
      <c r="AC28" s="1562">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18"/>
      <c r="Q29" s="1558">
        <f t="shared" si="11"/>
        <v>111</v>
      </c>
      <c r="R29" s="1559" t="s">
        <v>11</v>
      </c>
      <c r="S29" s="1560">
        <f t="shared" si="12"/>
        <v>100</v>
      </c>
      <c r="T29" s="1559" t="s">
        <v>11</v>
      </c>
      <c r="U29" s="1560">
        <f t="shared" si="13"/>
        <v>100</v>
      </c>
      <c r="V29" s="1559" t="s">
        <v>11</v>
      </c>
      <c r="W29" s="1560">
        <f t="shared" si="14"/>
        <v>100</v>
      </c>
      <c r="X29" s="1553"/>
      <c r="Y29" s="3318"/>
      <c r="Z29" s="1561">
        <f t="shared" si="15"/>
        <v>111</v>
      </c>
      <c r="AA29" s="1562">
        <f t="shared" si="3"/>
        <v>1</v>
      </c>
      <c r="AB29" s="1562">
        <f t="shared" si="4"/>
        <v>1</v>
      </c>
      <c r="AC29" s="1562">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18"/>
      <c r="Q30" s="1558">
        <f t="shared" si="11"/>
        <v>111</v>
      </c>
      <c r="R30" s="1559" t="s">
        <v>11</v>
      </c>
      <c r="S30" s="1560">
        <f t="shared" si="12"/>
        <v>100</v>
      </c>
      <c r="T30" s="1559" t="s">
        <v>11</v>
      </c>
      <c r="U30" s="1560">
        <f t="shared" si="13"/>
        <v>100</v>
      </c>
      <c r="V30" s="1559" t="s">
        <v>11</v>
      </c>
      <c r="W30" s="1560">
        <f t="shared" si="14"/>
        <v>100</v>
      </c>
      <c r="X30" s="1553"/>
      <c r="Y30" s="3318"/>
      <c r="Z30" s="1561">
        <f t="shared" si="15"/>
        <v>111</v>
      </c>
      <c r="AA30" s="1562">
        <f t="shared" si="3"/>
        <v>1</v>
      </c>
      <c r="AB30" s="1562">
        <f t="shared" si="4"/>
        <v>1</v>
      </c>
      <c r="AC30" s="1562">
        <f t="shared" si="5"/>
        <v>1</v>
      </c>
    </row>
    <row r="31" spans="1:29" ht="17"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18"/>
      <c r="Q31" s="1558">
        <f t="shared" si="11"/>
        <v>111</v>
      </c>
      <c r="R31" s="1559" t="s">
        <v>11</v>
      </c>
      <c r="S31" s="1560">
        <f t="shared" si="12"/>
        <v>100</v>
      </c>
      <c r="T31" s="1559" t="s">
        <v>11</v>
      </c>
      <c r="U31" s="1560">
        <f t="shared" si="13"/>
        <v>100</v>
      </c>
      <c r="V31" s="1559" t="s">
        <v>11</v>
      </c>
      <c r="W31" s="1560">
        <f t="shared" si="14"/>
        <v>100</v>
      </c>
      <c r="X31" s="1553"/>
      <c r="Y31" s="3318"/>
      <c r="Z31" s="1561">
        <f t="shared" si="15"/>
        <v>111</v>
      </c>
      <c r="AA31" s="1562">
        <f t="shared" si="3"/>
        <v>1</v>
      </c>
      <c r="AB31" s="1562">
        <f t="shared" si="4"/>
        <v>1</v>
      </c>
      <c r="AC31" s="1562">
        <f t="shared" si="5"/>
        <v>1</v>
      </c>
    </row>
    <row r="32" spans="1:29" ht="16">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19" t="s">
        <v>550</v>
      </c>
      <c r="Q32" s="1558" t="str">
        <f t="shared" si="11"/>
        <v>建筑类型</v>
      </c>
      <c r="R32" s="1559" t="s">
        <v>11</v>
      </c>
      <c r="S32" s="1560">
        <f t="shared" si="12"/>
        <v>100</v>
      </c>
      <c r="T32" s="1559" t="s">
        <v>11</v>
      </c>
      <c r="U32" s="1560">
        <f t="shared" si="13"/>
        <v>100</v>
      </c>
      <c r="V32" s="1559" t="s">
        <v>11</v>
      </c>
      <c r="W32" s="1560">
        <f t="shared" si="14"/>
        <v>100</v>
      </c>
      <c r="X32" s="1553"/>
      <c r="Y32" s="3320" t="s">
        <v>550</v>
      </c>
      <c r="Z32" s="1561" t="str">
        <f t="shared" si="15"/>
        <v>建筑类型</v>
      </c>
      <c r="AA32" s="1562">
        <f t="shared" si="3"/>
        <v>1</v>
      </c>
      <c r="AB32" s="1562">
        <f t="shared" si="4"/>
        <v>1</v>
      </c>
      <c r="AC32" s="1562">
        <f t="shared" si="5"/>
        <v>1</v>
      </c>
    </row>
    <row r="33" spans="1:29" s="1335" customFormat="1" ht="16">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20"/>
      <c r="Q33" s="1590" t="str">
        <f t="shared" si="11"/>
        <v>项目建筑规模</v>
      </c>
      <c r="R33" s="1563" t="s">
        <v>11</v>
      </c>
      <c r="S33" s="1564" t="e">
        <f t="shared" si="12"/>
        <v>#N/A</v>
      </c>
      <c r="T33" s="1563" t="s">
        <v>11</v>
      </c>
      <c r="U33" s="1564" t="e">
        <f t="shared" si="13"/>
        <v>#N/A</v>
      </c>
      <c r="V33" s="1563" t="s">
        <v>11</v>
      </c>
      <c r="W33" s="1564" t="e">
        <f t="shared" si="14"/>
        <v>#N/A</v>
      </c>
      <c r="X33" s="1565"/>
      <c r="Y33" s="3320"/>
      <c r="Z33" s="1566" t="str">
        <f t="shared" si="15"/>
        <v>项目建筑规模</v>
      </c>
      <c r="AA33" s="1562" t="e">
        <f t="shared" si="3"/>
        <v>#N/A</v>
      </c>
      <c r="AB33" s="1562" t="e">
        <f t="shared" si="4"/>
        <v>#N/A</v>
      </c>
      <c r="AC33" s="1562" t="e">
        <f t="shared" si="5"/>
        <v>#N/A</v>
      </c>
    </row>
    <row r="34" spans="1:29" ht="16">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20"/>
      <c r="Q34" s="1558" t="str">
        <f t="shared" si="11"/>
        <v>建筑结构</v>
      </c>
      <c r="R34" s="1559" t="s">
        <v>11</v>
      </c>
      <c r="S34" s="1560">
        <f t="shared" si="12"/>
        <v>100</v>
      </c>
      <c r="T34" s="1559" t="s">
        <v>11</v>
      </c>
      <c r="U34" s="1560">
        <f t="shared" si="13"/>
        <v>100</v>
      </c>
      <c r="V34" s="1559" t="s">
        <v>11</v>
      </c>
      <c r="W34" s="1560">
        <f t="shared" si="14"/>
        <v>100</v>
      </c>
      <c r="X34" s="1553"/>
      <c r="Y34" s="3320"/>
      <c r="Z34" s="1561" t="str">
        <f t="shared" si="15"/>
        <v>建筑结构</v>
      </c>
      <c r="AA34" s="1562">
        <f t="shared" si="3"/>
        <v>1</v>
      </c>
      <c r="AB34" s="1562">
        <f t="shared" si="4"/>
        <v>1</v>
      </c>
      <c r="AC34" s="1562">
        <f t="shared" si="5"/>
        <v>1</v>
      </c>
    </row>
    <row r="35" spans="1:29" ht="16">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20"/>
      <c r="Q35" s="1558" t="str">
        <f t="shared" si="11"/>
        <v>建筑品质</v>
      </c>
      <c r="R35" s="1559" t="s">
        <v>11</v>
      </c>
      <c r="S35" s="1560">
        <f t="shared" si="12"/>
        <v>100</v>
      </c>
      <c r="T35" s="1559" t="s">
        <v>11</v>
      </c>
      <c r="U35" s="1560">
        <f t="shared" si="13"/>
        <v>100</v>
      </c>
      <c r="V35" s="1559" t="s">
        <v>11</v>
      </c>
      <c r="W35" s="1560">
        <f t="shared" si="14"/>
        <v>100</v>
      </c>
      <c r="X35" s="1553"/>
      <c r="Y35" s="3320"/>
      <c r="Z35" s="1561" t="str">
        <f t="shared" si="15"/>
        <v>建筑品质</v>
      </c>
      <c r="AA35" s="1562">
        <f t="shared" si="3"/>
        <v>1</v>
      </c>
      <c r="AB35" s="1562">
        <f t="shared" si="4"/>
        <v>1</v>
      </c>
      <c r="AC35" s="1562">
        <f t="shared" si="5"/>
        <v>1</v>
      </c>
    </row>
    <row r="36" spans="1:29" ht="16">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20"/>
      <c r="Q36" s="1558" t="str">
        <f t="shared" si="11"/>
        <v>公共部分装修</v>
      </c>
      <c r="R36" s="1559" t="s">
        <v>11</v>
      </c>
      <c r="S36" s="1560">
        <f t="shared" si="12"/>
        <v>100</v>
      </c>
      <c r="T36" s="1559" t="s">
        <v>11</v>
      </c>
      <c r="U36" s="1560">
        <f t="shared" si="13"/>
        <v>100</v>
      </c>
      <c r="V36" s="1559" t="s">
        <v>11</v>
      </c>
      <c r="W36" s="1560">
        <f t="shared" si="14"/>
        <v>100</v>
      </c>
      <c r="X36" s="1553"/>
      <c r="Y36" s="3320"/>
      <c r="Z36" s="1561" t="str">
        <f t="shared" si="15"/>
        <v>公共部分装修</v>
      </c>
      <c r="AA36" s="1562">
        <f t="shared" si="3"/>
        <v>1</v>
      </c>
      <c r="AB36" s="1562">
        <f t="shared" si="4"/>
        <v>1</v>
      </c>
      <c r="AC36" s="1562">
        <f t="shared" si="5"/>
        <v>1</v>
      </c>
    </row>
    <row r="37" spans="1:29" s="1216" customFormat="1" ht="16">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20"/>
      <c r="Q37" s="1147" t="str">
        <f t="shared" si="11"/>
        <v>成新度</v>
      </c>
      <c r="R37" s="1554" t="s">
        <v>11</v>
      </c>
      <c r="S37" s="1555" t="e">
        <f t="shared" si="12"/>
        <v>#N/A</v>
      </c>
      <c r="T37" s="1554" t="s">
        <v>11</v>
      </c>
      <c r="U37" s="1555" t="e">
        <f t="shared" si="13"/>
        <v>#N/A</v>
      </c>
      <c r="V37" s="1554" t="s">
        <v>11</v>
      </c>
      <c r="W37" s="1555" t="e">
        <f t="shared" si="14"/>
        <v>#N/A</v>
      </c>
      <c r="X37" s="1556"/>
      <c r="Y37" s="3320"/>
      <c r="Z37" s="1146" t="str">
        <f t="shared" si="15"/>
        <v>成新度</v>
      </c>
      <c r="AA37" s="1557" t="e">
        <f t="shared" si="3"/>
        <v>#N/A</v>
      </c>
      <c r="AB37" s="1557" t="e">
        <f t="shared" si="4"/>
        <v>#N/A</v>
      </c>
      <c r="AC37" s="1557" t="e">
        <f t="shared" si="5"/>
        <v>#N/A</v>
      </c>
    </row>
    <row r="38" spans="1:29" ht="16">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20" t="s">
        <v>550</v>
      </c>
      <c r="Q38" s="1558" t="str">
        <f t="shared" si="11"/>
        <v>物业管理</v>
      </c>
      <c r="R38" s="1559" t="s">
        <v>11</v>
      </c>
      <c r="S38" s="1560">
        <f t="shared" si="12"/>
        <v>100</v>
      </c>
      <c r="T38" s="1559" t="s">
        <v>11</v>
      </c>
      <c r="U38" s="1560">
        <f t="shared" si="13"/>
        <v>100</v>
      </c>
      <c r="V38" s="1559" t="s">
        <v>11</v>
      </c>
      <c r="W38" s="1560">
        <f t="shared" si="14"/>
        <v>100</v>
      </c>
      <c r="X38" s="1553"/>
      <c r="Y38" s="3320" t="s">
        <v>550</v>
      </c>
      <c r="Z38" s="1561" t="str">
        <f t="shared" si="15"/>
        <v>物业管理</v>
      </c>
      <c r="AA38" s="1562">
        <f t="shared" si="3"/>
        <v>1</v>
      </c>
      <c r="AB38" s="1562">
        <f t="shared" si="4"/>
        <v>1</v>
      </c>
      <c r="AC38" s="1562">
        <f t="shared" si="5"/>
        <v>1</v>
      </c>
    </row>
    <row r="39" spans="1:29" ht="16">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20"/>
      <c r="Q39" s="1558" t="str">
        <f t="shared" si="11"/>
        <v>市政基础设施</v>
      </c>
      <c r="R39" s="1559" t="s">
        <v>11</v>
      </c>
      <c r="S39" s="1560">
        <f t="shared" si="12"/>
        <v>100</v>
      </c>
      <c r="T39" s="1559" t="s">
        <v>11</v>
      </c>
      <c r="U39" s="1560">
        <f t="shared" si="13"/>
        <v>100</v>
      </c>
      <c r="V39" s="1559" t="s">
        <v>11</v>
      </c>
      <c r="W39" s="1560">
        <f t="shared" si="14"/>
        <v>100</v>
      </c>
      <c r="X39" s="1553"/>
      <c r="Y39" s="3320"/>
      <c r="Z39" s="1561" t="str">
        <f t="shared" si="15"/>
        <v>市政基础设施</v>
      </c>
      <c r="AA39" s="1562">
        <f t="shared" si="3"/>
        <v>1</v>
      </c>
      <c r="AB39" s="1562">
        <f t="shared" si="4"/>
        <v>1</v>
      </c>
      <c r="AC39" s="1562">
        <f t="shared" si="5"/>
        <v>1</v>
      </c>
    </row>
    <row r="40" spans="1:29" ht="16">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20"/>
      <c r="Q40" s="1558" t="str">
        <f t="shared" si="11"/>
        <v>房型</v>
      </c>
      <c r="R40" s="1559" t="s">
        <v>11</v>
      </c>
      <c r="S40" s="1560">
        <f t="shared" si="12"/>
        <v>100</v>
      </c>
      <c r="T40" s="1559" t="s">
        <v>11</v>
      </c>
      <c r="U40" s="1560">
        <f t="shared" si="13"/>
        <v>100</v>
      </c>
      <c r="V40" s="1559" t="s">
        <v>11</v>
      </c>
      <c r="W40" s="1560">
        <f t="shared" si="14"/>
        <v>100</v>
      </c>
      <c r="X40" s="1553"/>
      <c r="Y40" s="3320"/>
      <c r="Z40" s="1561" t="str">
        <f t="shared" si="15"/>
        <v>房型</v>
      </c>
      <c r="AA40" s="1562">
        <f t="shared" si="3"/>
        <v>1</v>
      </c>
      <c r="AB40" s="1562">
        <f t="shared" si="4"/>
        <v>1</v>
      </c>
      <c r="AC40" s="1562">
        <f t="shared" si="5"/>
        <v>1</v>
      </c>
    </row>
    <row r="41" spans="1:29" s="1335" customFormat="1" ht="30">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20"/>
      <c r="Q41" s="1590" t="str">
        <f t="shared" si="11"/>
        <v>单套/主力户型建筑面积</v>
      </c>
      <c r="R41" s="1563" t="s">
        <v>11</v>
      </c>
      <c r="S41" s="1564">
        <f t="shared" si="12"/>
        <v>100</v>
      </c>
      <c r="T41" s="1563" t="s">
        <v>11</v>
      </c>
      <c r="U41" s="1564">
        <f t="shared" si="13"/>
        <v>100</v>
      </c>
      <c r="V41" s="1563" t="s">
        <v>11</v>
      </c>
      <c r="W41" s="1564">
        <f t="shared" si="14"/>
        <v>100</v>
      </c>
      <c r="X41" s="1565"/>
      <c r="Y41" s="3320"/>
      <c r="Z41" s="1566" t="str">
        <f t="shared" si="15"/>
        <v>单套/主力户型建筑面积</v>
      </c>
      <c r="AA41" s="1562">
        <f t="shared" si="3"/>
        <v>1</v>
      </c>
      <c r="AB41" s="1562">
        <f t="shared" si="4"/>
        <v>1</v>
      </c>
      <c r="AC41" s="1562">
        <f t="shared" si="5"/>
        <v>1</v>
      </c>
    </row>
    <row r="42" spans="1:29" ht="16">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20"/>
      <c r="Q42" s="1558" t="str">
        <f t="shared" si="11"/>
        <v>内部装修</v>
      </c>
      <c r="R42" s="1559" t="s">
        <v>11</v>
      </c>
      <c r="S42" s="1560">
        <f t="shared" si="12"/>
        <v>100</v>
      </c>
      <c r="T42" s="1559" t="s">
        <v>11</v>
      </c>
      <c r="U42" s="1560">
        <f t="shared" si="13"/>
        <v>100</v>
      </c>
      <c r="V42" s="1559" t="s">
        <v>11</v>
      </c>
      <c r="W42" s="1560">
        <f t="shared" si="14"/>
        <v>100</v>
      </c>
      <c r="X42" s="1553"/>
      <c r="Y42" s="3320"/>
      <c r="Z42" s="1561" t="str">
        <f t="shared" si="15"/>
        <v>内部装修</v>
      </c>
      <c r="AA42" s="1562">
        <f t="shared" si="3"/>
        <v>1</v>
      </c>
      <c r="AB42" s="1562">
        <f t="shared" si="4"/>
        <v>1</v>
      </c>
      <c r="AC42" s="1562">
        <f t="shared" si="5"/>
        <v>1</v>
      </c>
    </row>
    <row r="43" spans="1:29" ht="16">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20"/>
      <c r="Q43" s="1558" t="str">
        <f t="shared" si="11"/>
        <v>内部装修维护情况</v>
      </c>
      <c r="R43" s="1559" t="s">
        <v>11</v>
      </c>
      <c r="S43" s="1560">
        <f t="shared" si="12"/>
        <v>100</v>
      </c>
      <c r="T43" s="1559" t="s">
        <v>11</v>
      </c>
      <c r="U43" s="1560">
        <f t="shared" si="13"/>
        <v>100</v>
      </c>
      <c r="V43" s="1559" t="s">
        <v>11</v>
      </c>
      <c r="W43" s="1560">
        <f t="shared" si="14"/>
        <v>100</v>
      </c>
      <c r="X43" s="1553"/>
      <c r="Y43" s="3320"/>
      <c r="Z43" s="1561" t="str">
        <f t="shared" si="15"/>
        <v>内部装修维护情况</v>
      </c>
      <c r="AA43" s="1562">
        <f t="shared" si="3"/>
        <v>1</v>
      </c>
      <c r="AB43" s="1562">
        <f t="shared" si="4"/>
        <v>1</v>
      </c>
      <c r="AC43" s="1562">
        <f t="shared" si="5"/>
        <v>1</v>
      </c>
    </row>
    <row r="44" spans="1:29" s="1216" customFormat="1" ht="16">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20"/>
      <c r="Q44" s="1147">
        <f t="shared" si="11"/>
        <v>111</v>
      </c>
      <c r="R44" s="1554" t="s">
        <v>11</v>
      </c>
      <c r="S44" s="1555">
        <f t="shared" si="12"/>
        <v>100</v>
      </c>
      <c r="T44" s="1554" t="s">
        <v>11</v>
      </c>
      <c r="U44" s="1555">
        <f t="shared" si="13"/>
        <v>100</v>
      </c>
      <c r="V44" s="1554" t="s">
        <v>11</v>
      </c>
      <c r="W44" s="1555">
        <f t="shared" si="14"/>
        <v>100</v>
      </c>
      <c r="X44" s="1556"/>
      <c r="Y44" s="3320"/>
      <c r="Z44" s="1146">
        <f t="shared" si="15"/>
        <v>111</v>
      </c>
      <c r="AA44" s="1557">
        <f t="shared" si="3"/>
        <v>1</v>
      </c>
      <c r="AB44" s="1557">
        <f t="shared" si="4"/>
        <v>1</v>
      </c>
      <c r="AC44" s="1557">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20"/>
      <c r="Q45" s="1558">
        <f t="shared" si="11"/>
        <v>111</v>
      </c>
      <c r="R45" s="1559" t="s">
        <v>11</v>
      </c>
      <c r="S45" s="1560">
        <f t="shared" si="12"/>
        <v>100</v>
      </c>
      <c r="T45" s="1559" t="s">
        <v>11</v>
      </c>
      <c r="U45" s="1560">
        <f t="shared" si="13"/>
        <v>100</v>
      </c>
      <c r="V45" s="1559" t="s">
        <v>11</v>
      </c>
      <c r="W45" s="1560">
        <f t="shared" si="14"/>
        <v>100</v>
      </c>
      <c r="X45" s="1553"/>
      <c r="Y45" s="3320"/>
      <c r="Z45" s="1561">
        <f t="shared" si="15"/>
        <v>111</v>
      </c>
      <c r="AA45" s="1562">
        <f t="shared" si="3"/>
        <v>1</v>
      </c>
      <c r="AB45" s="1562">
        <f t="shared" si="4"/>
        <v>1</v>
      </c>
      <c r="AC45" s="1562">
        <f t="shared" si="5"/>
        <v>1</v>
      </c>
    </row>
    <row r="46" spans="1:29" ht="17"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8"/>
      <c r="Q46" s="1558">
        <f t="shared" si="11"/>
        <v>111</v>
      </c>
      <c r="R46" s="1559" t="s">
        <v>10</v>
      </c>
      <c r="S46" s="1560">
        <f t="shared" si="12"/>
        <v>100</v>
      </c>
      <c r="T46" s="1559" t="s">
        <v>10</v>
      </c>
      <c r="U46" s="1560">
        <f t="shared" si="13"/>
        <v>100</v>
      </c>
      <c r="V46" s="1559" t="s">
        <v>10</v>
      </c>
      <c r="W46" s="1560">
        <f t="shared" si="14"/>
        <v>100</v>
      </c>
      <c r="X46" s="1553"/>
      <c r="Y46" s="3498"/>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15" t="str">
        <f>A47</f>
        <v>成交单价（元/平方米）</v>
      </c>
      <c r="Q47" s="3315"/>
      <c r="R47" s="3497">
        <f>E47</f>
        <v>0</v>
      </c>
      <c r="S47" s="3497"/>
      <c r="T47" s="3497">
        <f>G47</f>
        <v>0</v>
      </c>
      <c r="U47" s="3497"/>
      <c r="V47" s="3497">
        <f>I47</f>
        <v>0</v>
      </c>
      <c r="W47" s="3497"/>
      <c r="X47" s="1545"/>
      <c r="Y47" s="1567"/>
      <c r="Z47" s="1545"/>
      <c r="AA47" s="1545"/>
      <c r="AB47" s="1545"/>
      <c r="AC47" s="1545"/>
    </row>
    <row r="48" spans="1:29" ht="1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15" t="str">
        <f>A48</f>
        <v>比较价格（元/平方米）</v>
      </c>
      <c r="Q48" s="3315"/>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5"/>
      <c r="Y48" s="1545"/>
      <c r="Z48" s="1545"/>
      <c r="AA48" s="1545"/>
      <c r="AB48" s="1545"/>
      <c r="AC48" s="1545"/>
    </row>
    <row r="49" spans="1:29" ht="15" thickBot="1">
      <c r="A49" s="621" t="s">
        <v>2934</v>
      </c>
      <c r="B49" s="622"/>
      <c r="C49" s="2600" t="e">
        <f>R49</f>
        <v>#DIV/0!</v>
      </c>
      <c r="D49" s="2600"/>
      <c r="E49" s="2600"/>
      <c r="F49" s="2600"/>
      <c r="G49" s="2600"/>
      <c r="H49" s="2600"/>
      <c r="I49" s="2600"/>
      <c r="J49" s="2600"/>
      <c r="K49" s="1593"/>
      <c r="L49" s="2129"/>
      <c r="M49" s="2130"/>
      <c r="N49" s="2130"/>
      <c r="O49" s="2130"/>
      <c r="P49" s="3336" t="str">
        <f>A49</f>
        <v>估价对象XX用房的比较价格（楼面单价，元/平方米）</v>
      </c>
      <c r="Q49" s="3337"/>
      <c r="R49" s="3496" t="e">
        <f>IF(F1="售价",ROUND(AVERAGE(R48:V48),0),ROUND(AVERAGE(R48:V48),1))</f>
        <v>#DIV/0!</v>
      </c>
      <c r="S49" s="3496"/>
      <c r="T49" s="3496"/>
      <c r="U49" s="3496"/>
      <c r="V49" s="3496"/>
      <c r="W49" s="349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5">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6"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6"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6"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6"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6"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6"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6"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6"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6"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6"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31"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6"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6">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6">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6">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6">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6">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6">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6">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6">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7"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7" sqref="C127:G132"/>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21" t="s">
        <v>522</v>
      </c>
      <c r="D4" s="3322"/>
      <c r="E4" s="3423" t="s">
        <v>523</v>
      </c>
      <c r="F4" s="3424"/>
      <c r="G4" s="3321" t="s">
        <v>524</v>
      </c>
      <c r="H4" s="3322"/>
      <c r="I4" s="3321" t="s">
        <v>525</v>
      </c>
      <c r="J4" s="3322"/>
      <c r="K4" s="514" t="s">
        <v>526</v>
      </c>
      <c r="L4" s="2118"/>
      <c r="M4" s="2119"/>
      <c r="N4" s="2119"/>
      <c r="O4" s="2119"/>
      <c r="P4" s="3323" t="s">
        <v>527</v>
      </c>
      <c r="Q4" s="3324"/>
      <c r="R4" s="3308" t="s">
        <v>523</v>
      </c>
      <c r="S4" s="3309"/>
      <c r="T4" s="3308" t="s">
        <v>524</v>
      </c>
      <c r="U4" s="3309"/>
      <c r="V4" s="3329" t="s">
        <v>525</v>
      </c>
      <c r="W4" s="3329"/>
      <c r="X4" s="1553"/>
      <c r="Y4" s="3308" t="s">
        <v>527</v>
      </c>
      <c r="Z4" s="3309"/>
      <c r="AA4" s="3303" t="s">
        <v>523</v>
      </c>
      <c r="AB4" s="3329" t="s">
        <v>524</v>
      </c>
      <c r="AC4" s="3303" t="s">
        <v>525</v>
      </c>
    </row>
    <row r="5" spans="1:29">
      <c r="A5" s="515"/>
      <c r="B5" s="516"/>
      <c r="C5" s="3332" t="s">
        <v>2928</v>
      </c>
      <c r="D5" s="3333"/>
      <c r="E5" s="3425" t="s">
        <v>2929</v>
      </c>
      <c r="F5" s="3426"/>
      <c r="G5" s="3332" t="s">
        <v>2930</v>
      </c>
      <c r="H5" s="3333"/>
      <c r="I5" s="3332" t="s">
        <v>2931</v>
      </c>
      <c r="J5" s="3333"/>
      <c r="K5" s="514"/>
      <c r="L5" s="2118"/>
      <c r="M5" s="2119"/>
      <c r="N5" s="2119"/>
      <c r="O5" s="2119"/>
      <c r="P5" s="3325"/>
      <c r="Q5" s="3326"/>
      <c r="R5" s="3310"/>
      <c r="S5" s="3311"/>
      <c r="T5" s="3310"/>
      <c r="U5" s="3311"/>
      <c r="V5" s="3329"/>
      <c r="W5" s="3329"/>
      <c r="X5" s="1553"/>
      <c r="Y5" s="3310"/>
      <c r="Z5" s="3311"/>
      <c r="AA5" s="3304"/>
      <c r="AB5" s="3329"/>
      <c r="AC5" s="3304"/>
    </row>
    <row r="6" spans="1:29" ht="16" thickBot="1">
      <c r="A6" s="517"/>
      <c r="B6" s="518"/>
      <c r="C6" s="3330" t="s">
        <v>2932</v>
      </c>
      <c r="D6" s="3331"/>
      <c r="E6" s="3427" t="s">
        <v>2932</v>
      </c>
      <c r="F6" s="3428"/>
      <c r="G6" s="3330" t="s">
        <v>2932</v>
      </c>
      <c r="H6" s="3331"/>
      <c r="I6" s="3330" t="s">
        <v>2932</v>
      </c>
      <c r="J6" s="3331"/>
      <c r="K6" s="514" t="s">
        <v>528</v>
      </c>
      <c r="L6" s="2118"/>
      <c r="M6" s="2119"/>
      <c r="N6" s="2119"/>
      <c r="O6" s="2119"/>
      <c r="P6" s="3327"/>
      <c r="Q6" s="3328"/>
      <c r="R6" s="3310"/>
      <c r="S6" s="3311"/>
      <c r="T6" s="3313"/>
      <c r="U6" s="3314"/>
      <c r="V6" s="3329"/>
      <c r="W6" s="3329"/>
      <c r="X6" s="1553"/>
      <c r="Y6" s="3313"/>
      <c r="Z6" s="3314"/>
      <c r="AA6" s="3305"/>
      <c r="AB6" s="3329"/>
      <c r="AC6" s="3305"/>
    </row>
    <row r="7" spans="1:29" s="1216" customFormat="1" ht="16" thickBot="1">
      <c r="A7" s="2867"/>
      <c r="B7" s="2874" t="s">
        <v>529</v>
      </c>
      <c r="C7" s="519">
        <f>'数据-取费表'!B2</f>
        <v>43875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06" t="s">
        <v>530</v>
      </c>
      <c r="Q7" s="3316"/>
      <c r="R7" s="1554" t="s">
        <v>8</v>
      </c>
      <c r="S7" s="1555">
        <f t="shared" ref="S7:S15" si="0">F7</f>
        <v>0</v>
      </c>
      <c r="T7" s="1554" t="s">
        <v>8</v>
      </c>
      <c r="U7" s="1555">
        <f t="shared" ref="U7:U15" si="1">H7</f>
        <v>0</v>
      </c>
      <c r="V7" s="1554" t="s">
        <v>8</v>
      </c>
      <c r="W7" s="1555">
        <f t="shared" ref="W7:W15" si="2">J7</f>
        <v>0</v>
      </c>
      <c r="X7" s="1556"/>
      <c r="Y7" s="3306" t="s">
        <v>530</v>
      </c>
      <c r="Z7" s="3307"/>
      <c r="AA7" s="1557" t="e">
        <f>D7/F7</f>
        <v>#DIV/0!</v>
      </c>
      <c r="AB7" s="1557" t="e">
        <f>D7/H7</f>
        <v>#DIV/0!</v>
      </c>
      <c r="AC7" s="1557" t="e">
        <f>D7/J7</f>
        <v>#DIV/0!</v>
      </c>
    </row>
    <row r="8" spans="1:29" s="1216" customFormat="1" ht="16"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06" t="s">
        <v>533</v>
      </c>
      <c r="Q8" s="3307"/>
      <c r="R8" s="1554" t="s">
        <v>8</v>
      </c>
      <c r="S8" s="1555">
        <f t="shared" si="0"/>
        <v>0</v>
      </c>
      <c r="T8" s="1554" t="s">
        <v>8</v>
      </c>
      <c r="U8" s="1555">
        <f t="shared" si="1"/>
        <v>0</v>
      </c>
      <c r="V8" s="1554" t="s">
        <v>8</v>
      </c>
      <c r="W8" s="1555">
        <f t="shared" si="2"/>
        <v>0</v>
      </c>
      <c r="X8" s="1556"/>
      <c r="Y8" s="3306" t="s">
        <v>533</v>
      </c>
      <c r="Z8" s="3307"/>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15"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15"/>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6">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15"/>
      <c r="Q11" s="1147" t="str">
        <f t="shared" si="6"/>
        <v>容积率</v>
      </c>
      <c r="R11" s="1554" t="s">
        <v>8</v>
      </c>
      <c r="S11" s="1555" t="e">
        <f t="shared" si="0"/>
        <v>#N/A</v>
      </c>
      <c r="T11" s="1554" t="s">
        <v>8</v>
      </c>
      <c r="U11" s="1555" t="e">
        <f t="shared" si="1"/>
        <v>#N/A</v>
      </c>
      <c r="V11" s="1554" t="s">
        <v>8</v>
      </c>
      <c r="W11" s="1555" t="e">
        <f t="shared" si="2"/>
        <v>#N/A</v>
      </c>
      <c r="X11" s="1556"/>
      <c r="Y11" s="3312"/>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15"/>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6">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15"/>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17"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15"/>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 t="shared" si="3"/>
        <v>1</v>
      </c>
      <c r="AB14" s="1557">
        <f t="shared" si="4"/>
        <v>1</v>
      </c>
      <c r="AC14" s="1557">
        <f t="shared" si="5"/>
        <v>1</v>
      </c>
    </row>
    <row r="15" spans="1:29" ht="7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17" t="s">
        <v>540</v>
      </c>
      <c r="Q15" s="1558" t="str">
        <f t="shared" si="6"/>
        <v>商业繁华度</v>
      </c>
      <c r="R15" s="1559" t="s">
        <v>8</v>
      </c>
      <c r="S15" s="1560">
        <f t="shared" si="0"/>
        <v>100</v>
      </c>
      <c r="T15" s="1559" t="s">
        <v>8</v>
      </c>
      <c r="U15" s="1560">
        <f t="shared" si="1"/>
        <v>100</v>
      </c>
      <c r="V15" s="1559" t="s">
        <v>8</v>
      </c>
      <c r="W15" s="1560">
        <f t="shared" si="2"/>
        <v>100</v>
      </c>
      <c r="X15" s="1553"/>
      <c r="Y15" s="3317" t="s">
        <v>540</v>
      </c>
      <c r="Z15" s="1561" t="str">
        <f t="shared" si="7"/>
        <v>商业繁华度</v>
      </c>
      <c r="AA15" s="1562">
        <f t="shared" si="3"/>
        <v>1</v>
      </c>
      <c r="AB15" s="1562">
        <f t="shared" si="4"/>
        <v>1</v>
      </c>
      <c r="AC15" s="1562">
        <f t="shared" si="5"/>
        <v>1</v>
      </c>
    </row>
    <row r="16" spans="1:29" ht="16">
      <c r="A16" s="532"/>
      <c r="B16" s="869"/>
      <c r="C16" s="576"/>
      <c r="D16" s="555"/>
      <c r="E16" s="576"/>
      <c r="F16" s="557"/>
      <c r="G16" s="576"/>
      <c r="H16" s="559"/>
      <c r="I16" s="576"/>
      <c r="J16" s="555"/>
      <c r="K16" s="899"/>
      <c r="L16" s="2127"/>
      <c r="M16" s="2119"/>
      <c r="N16" s="2119"/>
      <c r="O16" s="2126"/>
      <c r="P16" s="3318"/>
      <c r="Q16" s="1558"/>
      <c r="R16" s="1559"/>
      <c r="S16" s="1560"/>
      <c r="T16" s="1559"/>
      <c r="U16" s="1560"/>
      <c r="V16" s="1559"/>
      <c r="W16" s="1560"/>
      <c r="X16" s="1553"/>
      <c r="Y16" s="3318"/>
      <c r="Z16" s="1561"/>
      <c r="AA16" s="1562">
        <v>1</v>
      </c>
      <c r="AB16" s="1562">
        <v>1</v>
      </c>
      <c r="AC16" s="1562">
        <v>1</v>
      </c>
    </row>
    <row r="17" spans="1:29" ht="90">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18"/>
      <c r="Q17" s="1558" t="str">
        <f>B17</f>
        <v>交通便捷度</v>
      </c>
      <c r="R17" s="1559" t="s">
        <v>8</v>
      </c>
      <c r="S17" s="1560">
        <f>F17</f>
        <v>100</v>
      </c>
      <c r="T17" s="1559" t="s">
        <v>8</v>
      </c>
      <c r="U17" s="1560">
        <f>H17</f>
        <v>100</v>
      </c>
      <c r="V17" s="1559" t="s">
        <v>8</v>
      </c>
      <c r="W17" s="1560">
        <f>J17</f>
        <v>100</v>
      </c>
      <c r="X17" s="1553"/>
      <c r="Y17" s="3318"/>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99"/>
      <c r="L18" s="2127"/>
      <c r="M18" s="2119"/>
      <c r="N18" s="2119"/>
      <c r="O18" s="2126"/>
      <c r="P18" s="3318"/>
      <c r="Q18" s="1558"/>
      <c r="R18" s="1559"/>
      <c r="S18" s="1560"/>
      <c r="T18" s="1559"/>
      <c r="U18" s="1560"/>
      <c r="V18" s="1559"/>
      <c r="W18" s="1560"/>
      <c r="X18" s="1553"/>
      <c r="Y18" s="3318"/>
      <c r="Z18" s="1561"/>
      <c r="AA18" s="1562">
        <v>1</v>
      </c>
      <c r="AB18" s="1562">
        <v>1</v>
      </c>
      <c r="AC18" s="1562">
        <v>1</v>
      </c>
    </row>
    <row r="19" spans="1:29" ht="4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18"/>
      <c r="Q19" s="1558" t="str">
        <f>B19</f>
        <v>公共配套设施</v>
      </c>
      <c r="R19" s="1559" t="s">
        <v>8</v>
      </c>
      <c r="S19" s="1560">
        <f>F19</f>
        <v>100</v>
      </c>
      <c r="T19" s="1559" t="s">
        <v>8</v>
      </c>
      <c r="U19" s="1560">
        <f>H19</f>
        <v>100</v>
      </c>
      <c r="V19" s="1559" t="s">
        <v>8</v>
      </c>
      <c r="W19" s="1560">
        <f>J19</f>
        <v>100</v>
      </c>
      <c r="X19" s="1553"/>
      <c r="Y19" s="3318"/>
      <c r="Z19" s="1561" t="str">
        <f>Q19</f>
        <v>公共配套设施</v>
      </c>
      <c r="AA19" s="1562">
        <f t="shared" si="3"/>
        <v>1</v>
      </c>
      <c r="AB19" s="1562">
        <f t="shared" si="4"/>
        <v>1</v>
      </c>
      <c r="AC19" s="1562">
        <f t="shared" si="5"/>
        <v>1</v>
      </c>
    </row>
    <row r="20" spans="1:29" ht="16">
      <c r="A20" s="532"/>
      <c r="B20" s="595"/>
      <c r="C20" s="576"/>
      <c r="D20" s="555"/>
      <c r="E20" s="556"/>
      <c r="F20" s="557"/>
      <c r="G20" s="558"/>
      <c r="H20" s="555"/>
      <c r="I20" s="556"/>
      <c r="J20" s="555"/>
      <c r="K20" s="899"/>
      <c r="L20" s="2127"/>
      <c r="M20" s="2119"/>
      <c r="N20" s="2119"/>
      <c r="O20" s="2126"/>
      <c r="P20" s="3318"/>
      <c r="Q20" s="1558"/>
      <c r="R20" s="1559"/>
      <c r="S20" s="1560"/>
      <c r="T20" s="1559"/>
      <c r="U20" s="1560"/>
      <c r="V20" s="1559"/>
      <c r="W20" s="1560"/>
      <c r="X20" s="1553"/>
      <c r="Y20" s="3318"/>
      <c r="Z20" s="1561"/>
      <c r="AA20" s="1562">
        <v>1</v>
      </c>
      <c r="AB20" s="1562">
        <v>1</v>
      </c>
      <c r="AC20" s="1562">
        <v>1</v>
      </c>
    </row>
    <row r="21" spans="1:29" ht="30">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18"/>
      <c r="Q21" s="2543" t="str">
        <f>B21</f>
        <v>基础设施水平</v>
      </c>
      <c r="R21" s="1559" t="s">
        <v>8</v>
      </c>
      <c r="S21" s="1560">
        <f>F21</f>
        <v>100</v>
      </c>
      <c r="T21" s="1559" t="s">
        <v>8</v>
      </c>
      <c r="U21" s="1560">
        <f>H21</f>
        <v>100</v>
      </c>
      <c r="V21" s="1559" t="s">
        <v>8</v>
      </c>
      <c r="W21" s="1560">
        <f>J21</f>
        <v>100</v>
      </c>
      <c r="X21" s="2545"/>
      <c r="Y21" s="3318"/>
      <c r="Z21" s="2544" t="str">
        <f>Q21</f>
        <v>基础设施水平</v>
      </c>
      <c r="AA21" s="1562">
        <f t="shared" ref="AA21" si="8">D21/F21</f>
        <v>1</v>
      </c>
      <c r="AB21" s="1562">
        <f t="shared" ref="AB21" si="9">D21/H21</f>
        <v>1</v>
      </c>
      <c r="AC21" s="1562">
        <f t="shared" ref="AC21" si="10">D21/J21</f>
        <v>1</v>
      </c>
    </row>
    <row r="22" spans="1:29" ht="16">
      <c r="A22" s="532"/>
      <c r="B22" s="922"/>
      <c r="C22" s="873"/>
      <c r="D22" s="555"/>
      <c r="E22" s="576"/>
      <c r="F22" s="557"/>
      <c r="G22" s="576"/>
      <c r="H22" s="555"/>
      <c r="I22" s="576"/>
      <c r="J22" s="555"/>
      <c r="K22" s="2566"/>
      <c r="L22" s="2127"/>
      <c r="M22" s="2119"/>
      <c r="N22" s="2119"/>
      <c r="O22" s="2126"/>
      <c r="P22" s="3318"/>
      <c r="Q22" s="2543"/>
      <c r="R22" s="1559"/>
      <c r="S22" s="1560"/>
      <c r="T22" s="1559"/>
      <c r="U22" s="1560"/>
      <c r="V22" s="1559"/>
      <c r="W22" s="1560"/>
      <c r="X22" s="2545"/>
      <c r="Y22" s="3318"/>
      <c r="Z22" s="2544"/>
      <c r="AA22" s="1562">
        <v>1</v>
      </c>
      <c r="AB22" s="1562">
        <v>1</v>
      </c>
      <c r="AC22" s="1562">
        <v>1</v>
      </c>
    </row>
    <row r="23" spans="1:29" ht="60">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18"/>
      <c r="Q23" s="1558" t="str">
        <f>B23</f>
        <v>自然及人文环境</v>
      </c>
      <c r="R23" s="1559" t="s">
        <v>8</v>
      </c>
      <c r="S23" s="1560">
        <f>F23</f>
        <v>100</v>
      </c>
      <c r="T23" s="1559" t="s">
        <v>8</v>
      </c>
      <c r="U23" s="1560">
        <f>H23</f>
        <v>100</v>
      </c>
      <c r="V23" s="1559" t="s">
        <v>8</v>
      </c>
      <c r="W23" s="1560">
        <f>J23</f>
        <v>100</v>
      </c>
      <c r="X23" s="1553"/>
      <c r="Y23" s="3318"/>
      <c r="Z23" s="1561" t="str">
        <f>Q23</f>
        <v>自然及人文环境</v>
      </c>
      <c r="AA23" s="1562">
        <f t="shared" si="3"/>
        <v>1</v>
      </c>
      <c r="AB23" s="1562">
        <f t="shared" si="4"/>
        <v>1</v>
      </c>
      <c r="AC23" s="1562">
        <f t="shared" si="5"/>
        <v>1</v>
      </c>
    </row>
    <row r="24" spans="1:29" ht="16">
      <c r="A24" s="532"/>
      <c r="B24" s="595"/>
      <c r="C24" s="576"/>
      <c r="D24" s="555"/>
      <c r="E24" s="556"/>
      <c r="F24" s="557"/>
      <c r="G24" s="558"/>
      <c r="H24" s="555"/>
      <c r="I24" s="556"/>
      <c r="J24" s="555"/>
      <c r="K24" s="899"/>
      <c r="L24" s="2127"/>
      <c r="M24" s="2119"/>
      <c r="N24" s="2119"/>
      <c r="O24" s="2126"/>
      <c r="P24" s="3318"/>
      <c r="Q24" s="1558"/>
      <c r="R24" s="1559"/>
      <c r="S24" s="1560"/>
      <c r="T24" s="1559"/>
      <c r="U24" s="1560"/>
      <c r="V24" s="1559"/>
      <c r="W24" s="1560"/>
      <c r="X24" s="1553"/>
      <c r="Y24" s="3318"/>
      <c r="Z24" s="1561"/>
      <c r="AA24" s="1562">
        <v>1</v>
      </c>
      <c r="AB24" s="1562">
        <v>1</v>
      </c>
      <c r="AC24" s="1562">
        <v>1</v>
      </c>
    </row>
    <row r="25" spans="1:29" ht="16">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18"/>
      <c r="Q25" s="1558" t="str">
        <f t="shared" ref="Q25:Q46" si="11">B25</f>
        <v>临街状况</v>
      </c>
      <c r="R25" s="1559" t="s">
        <v>8</v>
      </c>
      <c r="S25" s="1560">
        <f>F25</f>
        <v>100</v>
      </c>
      <c r="T25" s="1559" t="s">
        <v>8</v>
      </c>
      <c r="U25" s="1560">
        <f>H25</f>
        <v>100</v>
      </c>
      <c r="V25" s="1559" t="s">
        <v>8</v>
      </c>
      <c r="W25" s="1560">
        <f>J25</f>
        <v>100</v>
      </c>
      <c r="X25" s="1553"/>
      <c r="Y25" s="3318"/>
      <c r="Z25" s="1561" t="str">
        <f>Q25</f>
        <v>临街状况</v>
      </c>
      <c r="AA25" s="1562">
        <f t="shared" si="3"/>
        <v>1</v>
      </c>
      <c r="AB25" s="1562">
        <f t="shared" si="4"/>
        <v>1</v>
      </c>
      <c r="AC25" s="1562">
        <f t="shared" si="5"/>
        <v>1</v>
      </c>
    </row>
    <row r="26" spans="1:29" ht="16">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18"/>
      <c r="Q26" s="1558" t="str">
        <f t="shared" si="11"/>
        <v>平面位置/可视性</v>
      </c>
      <c r="R26" s="1559" t="s">
        <v>8</v>
      </c>
      <c r="S26" s="1560">
        <f>F26</f>
        <v>100</v>
      </c>
      <c r="T26" s="1559" t="s">
        <v>8</v>
      </c>
      <c r="U26" s="1560">
        <f>H26</f>
        <v>100</v>
      </c>
      <c r="V26" s="1559" t="s">
        <v>8</v>
      </c>
      <c r="W26" s="1560">
        <f>J26</f>
        <v>100</v>
      </c>
      <c r="X26" s="1553"/>
      <c r="Y26" s="3318"/>
      <c r="Z26" s="1561" t="str">
        <f>Q26</f>
        <v>平面位置/可视性</v>
      </c>
      <c r="AA26" s="1562">
        <f t="shared" si="3"/>
        <v>1</v>
      </c>
      <c r="AB26" s="1562">
        <f t="shared" si="4"/>
        <v>1</v>
      </c>
      <c r="AC26" s="1562">
        <f t="shared" si="5"/>
        <v>1</v>
      </c>
    </row>
    <row r="27" spans="1:29" s="1216" customFormat="1" ht="16">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18"/>
      <c r="Q27" s="1147" t="str">
        <f t="shared" si="11"/>
        <v>人流量</v>
      </c>
      <c r="R27" s="1554" t="s">
        <v>8</v>
      </c>
      <c r="S27" s="1555">
        <f>F27</f>
        <v>100</v>
      </c>
      <c r="T27" s="1554" t="s">
        <v>8</v>
      </c>
      <c r="U27" s="1555">
        <f>H27</f>
        <v>100</v>
      </c>
      <c r="V27" s="1554" t="s">
        <v>8</v>
      </c>
      <c r="W27" s="1555">
        <f>J27</f>
        <v>100</v>
      </c>
      <c r="X27" s="1556"/>
      <c r="Y27" s="3318"/>
      <c r="Z27" s="1146" t="str">
        <f>Q27</f>
        <v>人流量</v>
      </c>
      <c r="AA27" s="1562">
        <f>D27/F27</f>
        <v>1</v>
      </c>
      <c r="AB27" s="1562">
        <f>D27/H27</f>
        <v>1</v>
      </c>
      <c r="AC27" s="1562">
        <f>D27/J27</f>
        <v>1</v>
      </c>
    </row>
    <row r="28" spans="1:29" ht="16">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1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18"/>
      <c r="Z28" s="1561" t="str">
        <f t="shared" ref="Z28:Z46" si="15">Q28</f>
        <v>楼层</v>
      </c>
      <c r="AA28" s="1562">
        <f t="shared" si="3"/>
        <v>1</v>
      </c>
      <c r="AB28" s="1562">
        <f t="shared" si="4"/>
        <v>1</v>
      </c>
      <c r="AC28" s="1562">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18"/>
      <c r="Q29" s="1558">
        <f t="shared" si="11"/>
        <v>111</v>
      </c>
      <c r="R29" s="1559" t="s">
        <v>8</v>
      </c>
      <c r="S29" s="1560">
        <f t="shared" si="12"/>
        <v>100</v>
      </c>
      <c r="T29" s="1559" t="s">
        <v>8</v>
      </c>
      <c r="U29" s="1560">
        <f t="shared" si="13"/>
        <v>100</v>
      </c>
      <c r="V29" s="1559" t="s">
        <v>8</v>
      </c>
      <c r="W29" s="1560">
        <f t="shared" si="14"/>
        <v>100</v>
      </c>
      <c r="X29" s="1553"/>
      <c r="Y29" s="3318"/>
      <c r="Z29" s="1561">
        <f t="shared" si="15"/>
        <v>111</v>
      </c>
      <c r="AA29" s="1562">
        <f t="shared" si="3"/>
        <v>1</v>
      </c>
      <c r="AB29" s="1562">
        <f t="shared" si="4"/>
        <v>1</v>
      </c>
      <c r="AC29" s="1562">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18"/>
      <c r="Q30" s="1558">
        <f t="shared" si="11"/>
        <v>111</v>
      </c>
      <c r="R30" s="1559" t="s">
        <v>8</v>
      </c>
      <c r="S30" s="1560">
        <f t="shared" si="12"/>
        <v>100</v>
      </c>
      <c r="T30" s="1559" t="s">
        <v>8</v>
      </c>
      <c r="U30" s="1560">
        <f t="shared" si="13"/>
        <v>100</v>
      </c>
      <c r="V30" s="1559" t="s">
        <v>8</v>
      </c>
      <c r="W30" s="1560">
        <f t="shared" si="14"/>
        <v>100</v>
      </c>
      <c r="X30" s="1553"/>
      <c r="Y30" s="3318"/>
      <c r="Z30" s="1561">
        <f t="shared" si="15"/>
        <v>111</v>
      </c>
      <c r="AA30" s="1562">
        <f t="shared" si="3"/>
        <v>1</v>
      </c>
      <c r="AB30" s="1562">
        <f t="shared" si="4"/>
        <v>1</v>
      </c>
      <c r="AC30" s="1562">
        <f t="shared" si="5"/>
        <v>1</v>
      </c>
    </row>
    <row r="31" spans="1:29" ht="17"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18"/>
      <c r="Q31" s="1558">
        <f t="shared" si="11"/>
        <v>111</v>
      </c>
      <c r="R31" s="1559" t="s">
        <v>8</v>
      </c>
      <c r="S31" s="1560">
        <f t="shared" si="12"/>
        <v>100</v>
      </c>
      <c r="T31" s="1559" t="s">
        <v>8</v>
      </c>
      <c r="U31" s="1560">
        <f t="shared" si="13"/>
        <v>100</v>
      </c>
      <c r="V31" s="1559" t="s">
        <v>8</v>
      </c>
      <c r="W31" s="1560">
        <f t="shared" si="14"/>
        <v>100</v>
      </c>
      <c r="X31" s="1553"/>
      <c r="Y31" s="3318"/>
      <c r="Z31" s="1561">
        <f t="shared" si="15"/>
        <v>111</v>
      </c>
      <c r="AA31" s="1562">
        <f t="shared" si="3"/>
        <v>1</v>
      </c>
      <c r="AB31" s="1562">
        <f t="shared" si="4"/>
        <v>1</v>
      </c>
      <c r="AC31" s="1562">
        <f t="shared" si="5"/>
        <v>1</v>
      </c>
    </row>
    <row r="32" spans="1:29" ht="16">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19" t="s">
        <v>550</v>
      </c>
      <c r="Q32" s="1558" t="str">
        <f t="shared" si="11"/>
        <v>商业类型</v>
      </c>
      <c r="R32" s="1559" t="s">
        <v>8</v>
      </c>
      <c r="S32" s="1560">
        <f t="shared" si="12"/>
        <v>100</v>
      </c>
      <c r="T32" s="1559" t="s">
        <v>8</v>
      </c>
      <c r="U32" s="1560">
        <f t="shared" si="13"/>
        <v>100</v>
      </c>
      <c r="V32" s="1559" t="s">
        <v>8</v>
      </c>
      <c r="W32" s="1560">
        <f t="shared" si="14"/>
        <v>100</v>
      </c>
      <c r="X32" s="1553"/>
      <c r="Y32" s="3320" t="s">
        <v>550</v>
      </c>
      <c r="Z32" s="1561" t="str">
        <f t="shared" si="15"/>
        <v>商业类型</v>
      </c>
      <c r="AA32" s="1562">
        <f t="shared" si="3"/>
        <v>1</v>
      </c>
      <c r="AB32" s="1562">
        <f t="shared" si="4"/>
        <v>1</v>
      </c>
      <c r="AC32" s="1562">
        <f t="shared" si="5"/>
        <v>1</v>
      </c>
    </row>
    <row r="33" spans="1:29" s="1335" customFormat="1" ht="16">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20"/>
      <c r="Q33" s="1590" t="str">
        <f t="shared" si="11"/>
        <v>项目建筑规模</v>
      </c>
      <c r="R33" s="1563" t="s">
        <v>8</v>
      </c>
      <c r="S33" s="1564" t="e">
        <f t="shared" si="12"/>
        <v>#N/A</v>
      </c>
      <c r="T33" s="1563" t="s">
        <v>8</v>
      </c>
      <c r="U33" s="1564" t="e">
        <f t="shared" si="13"/>
        <v>#N/A</v>
      </c>
      <c r="V33" s="1563" t="s">
        <v>8</v>
      </c>
      <c r="W33" s="1564" t="e">
        <f t="shared" si="14"/>
        <v>#N/A</v>
      </c>
      <c r="X33" s="1565"/>
      <c r="Y33" s="3320"/>
      <c r="Z33" s="1566" t="str">
        <f t="shared" si="15"/>
        <v>项目建筑规模</v>
      </c>
      <c r="AA33" s="1562" t="e">
        <f t="shared" si="3"/>
        <v>#N/A</v>
      </c>
      <c r="AB33" s="1562" t="e">
        <f t="shared" si="4"/>
        <v>#N/A</v>
      </c>
      <c r="AC33" s="1562" t="e">
        <f t="shared" si="5"/>
        <v>#N/A</v>
      </c>
    </row>
    <row r="34" spans="1:29" ht="16">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20"/>
      <c r="Q34" s="1558" t="str">
        <f t="shared" si="11"/>
        <v>建筑结构</v>
      </c>
      <c r="R34" s="1559" t="s">
        <v>8</v>
      </c>
      <c r="S34" s="1560">
        <f t="shared" si="12"/>
        <v>100</v>
      </c>
      <c r="T34" s="1559" t="s">
        <v>8</v>
      </c>
      <c r="U34" s="1560">
        <f t="shared" si="13"/>
        <v>100</v>
      </c>
      <c r="V34" s="1559" t="s">
        <v>8</v>
      </c>
      <c r="W34" s="1560">
        <f t="shared" si="14"/>
        <v>100</v>
      </c>
      <c r="X34" s="1553"/>
      <c r="Y34" s="3320"/>
      <c r="Z34" s="1561" t="str">
        <f t="shared" si="15"/>
        <v>建筑结构</v>
      </c>
      <c r="AA34" s="1562">
        <f t="shared" si="3"/>
        <v>1</v>
      </c>
      <c r="AB34" s="1562">
        <f t="shared" si="4"/>
        <v>1</v>
      </c>
      <c r="AC34" s="1562">
        <f t="shared" si="5"/>
        <v>1</v>
      </c>
    </row>
    <row r="35" spans="1:29" ht="16">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20"/>
      <c r="Q35" s="1558" t="str">
        <f t="shared" si="11"/>
        <v>公共部分装修</v>
      </c>
      <c r="R35" s="1559" t="s">
        <v>8</v>
      </c>
      <c r="S35" s="1560">
        <f t="shared" si="12"/>
        <v>100</v>
      </c>
      <c r="T35" s="1559" t="s">
        <v>8</v>
      </c>
      <c r="U35" s="1560">
        <f t="shared" si="13"/>
        <v>100</v>
      </c>
      <c r="V35" s="1559" t="s">
        <v>8</v>
      </c>
      <c r="W35" s="1560">
        <f t="shared" si="14"/>
        <v>100</v>
      </c>
      <c r="X35" s="1553"/>
      <c r="Y35" s="3320"/>
      <c r="Z35" s="1561" t="str">
        <f t="shared" si="15"/>
        <v>公共部分装修</v>
      </c>
      <c r="AA35" s="1562">
        <f t="shared" si="3"/>
        <v>1</v>
      </c>
      <c r="AB35" s="1562">
        <f t="shared" si="4"/>
        <v>1</v>
      </c>
      <c r="AC35" s="1562">
        <f t="shared" si="5"/>
        <v>1</v>
      </c>
    </row>
    <row r="36" spans="1:29" ht="16">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20"/>
      <c r="Q36" s="1558" t="str">
        <f t="shared" si="11"/>
        <v>成新度</v>
      </c>
      <c r="R36" s="1559" t="s">
        <v>8</v>
      </c>
      <c r="S36" s="1560" t="e">
        <f t="shared" si="12"/>
        <v>#N/A</v>
      </c>
      <c r="T36" s="1559" t="s">
        <v>8</v>
      </c>
      <c r="U36" s="1560" t="e">
        <f t="shared" si="13"/>
        <v>#N/A</v>
      </c>
      <c r="V36" s="1559" t="s">
        <v>8</v>
      </c>
      <c r="W36" s="1560" t="e">
        <f t="shared" si="14"/>
        <v>#N/A</v>
      </c>
      <c r="X36" s="1553"/>
      <c r="Y36" s="3320"/>
      <c r="Z36" s="1561" t="str">
        <f t="shared" si="15"/>
        <v>成新度</v>
      </c>
      <c r="AA36" s="1562" t="e">
        <f t="shared" si="3"/>
        <v>#N/A</v>
      </c>
      <c r="AB36" s="1562" t="e">
        <f t="shared" si="4"/>
        <v>#N/A</v>
      </c>
      <c r="AC36" s="1562" t="e">
        <f t="shared" si="5"/>
        <v>#N/A</v>
      </c>
    </row>
    <row r="37" spans="1:29" s="1216" customFormat="1" ht="16">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20"/>
      <c r="Q37" s="1147" t="str">
        <f t="shared" si="11"/>
        <v>市政基础设施</v>
      </c>
      <c r="R37" s="1554" t="s">
        <v>8</v>
      </c>
      <c r="S37" s="1555">
        <f t="shared" si="12"/>
        <v>100</v>
      </c>
      <c r="T37" s="1554" t="s">
        <v>8</v>
      </c>
      <c r="U37" s="1555">
        <f t="shared" si="13"/>
        <v>100</v>
      </c>
      <c r="V37" s="1554" t="s">
        <v>8</v>
      </c>
      <c r="W37" s="1555">
        <f t="shared" si="14"/>
        <v>100</v>
      </c>
      <c r="X37" s="1556"/>
      <c r="Y37" s="3320"/>
      <c r="Z37" s="1146" t="str">
        <f t="shared" si="15"/>
        <v>市政基础设施</v>
      </c>
      <c r="AA37" s="1557">
        <f t="shared" si="3"/>
        <v>1</v>
      </c>
      <c r="AB37" s="1557">
        <f t="shared" si="4"/>
        <v>1</v>
      </c>
      <c r="AC37" s="1557">
        <f t="shared" si="5"/>
        <v>1</v>
      </c>
    </row>
    <row r="38" spans="1:29" ht="16">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20" t="s">
        <v>766</v>
      </c>
      <c r="Q38" s="1558" t="str">
        <f t="shared" si="11"/>
        <v>业态</v>
      </c>
      <c r="R38" s="1559" t="s">
        <v>8</v>
      </c>
      <c r="S38" s="1560">
        <f t="shared" si="12"/>
        <v>100</v>
      </c>
      <c r="T38" s="1559" t="s">
        <v>8</v>
      </c>
      <c r="U38" s="1560">
        <f t="shared" si="13"/>
        <v>100</v>
      </c>
      <c r="V38" s="1559" t="s">
        <v>8</v>
      </c>
      <c r="W38" s="1560">
        <f t="shared" si="14"/>
        <v>100</v>
      </c>
      <c r="X38" s="1553"/>
      <c r="Y38" s="3320" t="s">
        <v>766</v>
      </c>
      <c r="Z38" s="1561" t="str">
        <f t="shared" si="15"/>
        <v>业态</v>
      </c>
      <c r="AA38" s="1562">
        <f t="shared" si="3"/>
        <v>1</v>
      </c>
      <c r="AB38" s="1562">
        <f t="shared" si="4"/>
        <v>1</v>
      </c>
      <c r="AC38" s="1562">
        <f t="shared" si="5"/>
        <v>1</v>
      </c>
    </row>
    <row r="39" spans="1:29" ht="16">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20"/>
      <c r="Q39" s="1558" t="str">
        <f t="shared" si="11"/>
        <v>层高</v>
      </c>
      <c r="R39" s="1559" t="s">
        <v>8</v>
      </c>
      <c r="S39" s="1560">
        <f t="shared" si="12"/>
        <v>100</v>
      </c>
      <c r="T39" s="1559" t="s">
        <v>8</v>
      </c>
      <c r="U39" s="1560">
        <f t="shared" si="13"/>
        <v>100</v>
      </c>
      <c r="V39" s="1559" t="s">
        <v>8</v>
      </c>
      <c r="W39" s="1560">
        <f t="shared" si="14"/>
        <v>100</v>
      </c>
      <c r="X39" s="1553"/>
      <c r="Y39" s="3320"/>
      <c r="Z39" s="1561" t="str">
        <f t="shared" si="15"/>
        <v>层高</v>
      </c>
      <c r="AA39" s="1562">
        <f t="shared" si="3"/>
        <v>1</v>
      </c>
      <c r="AB39" s="1562">
        <f t="shared" si="4"/>
        <v>1</v>
      </c>
      <c r="AC39" s="1562">
        <f t="shared" si="5"/>
        <v>1</v>
      </c>
    </row>
    <row r="40" spans="1:29" ht="16">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20"/>
      <c r="Q40" s="1558" t="str">
        <f t="shared" si="11"/>
        <v>单套建筑面积</v>
      </c>
      <c r="R40" s="1559" t="s">
        <v>8</v>
      </c>
      <c r="S40" s="1560">
        <f t="shared" si="12"/>
        <v>100</v>
      </c>
      <c r="T40" s="1559" t="s">
        <v>8</v>
      </c>
      <c r="U40" s="1560">
        <f t="shared" si="13"/>
        <v>100</v>
      </c>
      <c r="V40" s="1559" t="s">
        <v>8</v>
      </c>
      <c r="W40" s="1560">
        <f t="shared" si="14"/>
        <v>100</v>
      </c>
      <c r="X40" s="1553"/>
      <c r="Y40" s="3320"/>
      <c r="Z40" s="1561" t="str">
        <f t="shared" si="15"/>
        <v>单套建筑面积</v>
      </c>
      <c r="AA40" s="1562">
        <f t="shared" si="3"/>
        <v>1</v>
      </c>
      <c r="AB40" s="1562">
        <f t="shared" si="4"/>
        <v>1</v>
      </c>
      <c r="AC40" s="1562">
        <f t="shared" si="5"/>
        <v>1</v>
      </c>
    </row>
    <row r="41" spans="1:29" s="1335" customFormat="1" ht="16">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20"/>
      <c r="Q41" s="1590" t="str">
        <f t="shared" si="11"/>
        <v>进深比</v>
      </c>
      <c r="R41" s="1563" t="s">
        <v>8</v>
      </c>
      <c r="S41" s="1564">
        <f t="shared" si="12"/>
        <v>100</v>
      </c>
      <c r="T41" s="1563" t="s">
        <v>8</v>
      </c>
      <c r="U41" s="1564">
        <f t="shared" si="13"/>
        <v>100</v>
      </c>
      <c r="V41" s="1563" t="s">
        <v>8</v>
      </c>
      <c r="W41" s="1564">
        <f t="shared" si="14"/>
        <v>100</v>
      </c>
      <c r="X41" s="1565"/>
      <c r="Y41" s="3320"/>
      <c r="Z41" s="1566" t="str">
        <f t="shared" si="15"/>
        <v>进深比</v>
      </c>
      <c r="AA41" s="1562">
        <f t="shared" si="3"/>
        <v>1</v>
      </c>
      <c r="AB41" s="1562">
        <f t="shared" si="4"/>
        <v>1</v>
      </c>
      <c r="AC41" s="1562">
        <f t="shared" si="5"/>
        <v>1</v>
      </c>
    </row>
    <row r="42" spans="1:29" ht="16">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20"/>
      <c r="Q42" s="1558" t="str">
        <f t="shared" si="11"/>
        <v>内部装修</v>
      </c>
      <c r="R42" s="1559" t="s">
        <v>8</v>
      </c>
      <c r="S42" s="1560">
        <f t="shared" si="12"/>
        <v>100</v>
      </c>
      <c r="T42" s="1559" t="s">
        <v>8</v>
      </c>
      <c r="U42" s="1560">
        <f t="shared" si="13"/>
        <v>100</v>
      </c>
      <c r="V42" s="1559" t="s">
        <v>8</v>
      </c>
      <c r="W42" s="1560">
        <f t="shared" si="14"/>
        <v>100</v>
      </c>
      <c r="X42" s="1553"/>
      <c r="Y42" s="3320"/>
      <c r="Z42" s="1561" t="str">
        <f t="shared" si="15"/>
        <v>内部装修</v>
      </c>
      <c r="AA42" s="1562">
        <f t="shared" si="3"/>
        <v>1</v>
      </c>
      <c r="AB42" s="1562">
        <f t="shared" si="4"/>
        <v>1</v>
      </c>
      <c r="AC42" s="1562">
        <f t="shared" si="5"/>
        <v>1</v>
      </c>
    </row>
    <row r="43" spans="1:29" ht="16">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20"/>
      <c r="Q43" s="1558" t="str">
        <f t="shared" si="11"/>
        <v>内部装修维护情况</v>
      </c>
      <c r="R43" s="1559" t="s">
        <v>8</v>
      </c>
      <c r="S43" s="1560">
        <f t="shared" si="12"/>
        <v>100</v>
      </c>
      <c r="T43" s="1559" t="s">
        <v>8</v>
      </c>
      <c r="U43" s="1560">
        <f t="shared" si="13"/>
        <v>100</v>
      </c>
      <c r="V43" s="1559" t="s">
        <v>8</v>
      </c>
      <c r="W43" s="1560">
        <f t="shared" si="14"/>
        <v>100</v>
      </c>
      <c r="X43" s="1553"/>
      <c r="Y43" s="3320"/>
      <c r="Z43" s="1561" t="str">
        <f t="shared" si="15"/>
        <v>内部装修维护情况</v>
      </c>
      <c r="AA43" s="1562">
        <f t="shared" si="3"/>
        <v>1</v>
      </c>
      <c r="AB43" s="1562">
        <f t="shared" si="4"/>
        <v>1</v>
      </c>
      <c r="AC43" s="1562">
        <f t="shared" si="5"/>
        <v>1</v>
      </c>
    </row>
    <row r="44" spans="1:29" s="1216" customFormat="1" ht="16">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20"/>
      <c r="Q44" s="1147">
        <f t="shared" si="11"/>
        <v>111</v>
      </c>
      <c r="R44" s="1554" t="s">
        <v>8</v>
      </c>
      <c r="S44" s="1555">
        <f t="shared" si="12"/>
        <v>100</v>
      </c>
      <c r="T44" s="1554" t="s">
        <v>8</v>
      </c>
      <c r="U44" s="1555">
        <f t="shared" si="13"/>
        <v>100</v>
      </c>
      <c r="V44" s="1554" t="s">
        <v>8</v>
      </c>
      <c r="W44" s="1555">
        <f t="shared" si="14"/>
        <v>100</v>
      </c>
      <c r="X44" s="1556"/>
      <c r="Y44" s="3320"/>
      <c r="Z44" s="1146">
        <f t="shared" si="15"/>
        <v>111</v>
      </c>
      <c r="AA44" s="1557">
        <f t="shared" si="3"/>
        <v>1</v>
      </c>
      <c r="AB44" s="1557">
        <f t="shared" si="4"/>
        <v>1</v>
      </c>
      <c r="AC44" s="1557">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20"/>
      <c r="Q45" s="1558">
        <f t="shared" si="11"/>
        <v>111</v>
      </c>
      <c r="R45" s="1559" t="s">
        <v>8</v>
      </c>
      <c r="S45" s="1560">
        <f t="shared" si="12"/>
        <v>100</v>
      </c>
      <c r="T45" s="1559" t="s">
        <v>8</v>
      </c>
      <c r="U45" s="1560">
        <f t="shared" si="13"/>
        <v>100</v>
      </c>
      <c r="V45" s="1559" t="s">
        <v>8</v>
      </c>
      <c r="W45" s="1560">
        <f t="shared" si="14"/>
        <v>100</v>
      </c>
      <c r="X45" s="1553"/>
      <c r="Y45" s="3320"/>
      <c r="Z45" s="1561">
        <f t="shared" si="15"/>
        <v>111</v>
      </c>
      <c r="AA45" s="1562">
        <f t="shared" si="3"/>
        <v>1</v>
      </c>
      <c r="AB45" s="1562">
        <f t="shared" si="4"/>
        <v>1</v>
      </c>
      <c r="AC45" s="1562">
        <f t="shared" si="5"/>
        <v>1</v>
      </c>
    </row>
    <row r="46" spans="1:29" ht="17"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8"/>
      <c r="Q46" s="1558">
        <f t="shared" si="11"/>
        <v>111</v>
      </c>
      <c r="R46" s="1559" t="s">
        <v>8</v>
      </c>
      <c r="S46" s="1560">
        <f t="shared" si="12"/>
        <v>100</v>
      </c>
      <c r="T46" s="1559" t="s">
        <v>8</v>
      </c>
      <c r="U46" s="1560">
        <f t="shared" si="13"/>
        <v>100</v>
      </c>
      <c r="V46" s="1559" t="s">
        <v>8</v>
      </c>
      <c r="W46" s="1560">
        <f t="shared" si="14"/>
        <v>100</v>
      </c>
      <c r="X46" s="1553"/>
      <c r="Y46" s="3498"/>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15" t="str">
        <f>A47</f>
        <v>成交单价（元/平方米）</v>
      </c>
      <c r="Q47" s="3315"/>
      <c r="R47" s="3497">
        <f>E47</f>
        <v>0</v>
      </c>
      <c r="S47" s="3497"/>
      <c r="T47" s="3497">
        <f>G47</f>
        <v>0</v>
      </c>
      <c r="U47" s="3497"/>
      <c r="V47" s="3497">
        <f>I47</f>
        <v>0</v>
      </c>
      <c r="W47" s="3497"/>
      <c r="X47" s="1545"/>
      <c r="Y47" s="1567"/>
      <c r="Z47" s="1545"/>
      <c r="AA47" s="1545"/>
      <c r="AB47" s="1545"/>
      <c r="AC47" s="1545"/>
    </row>
    <row r="48" spans="1:29" ht="1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15" t="str">
        <f>A48</f>
        <v>比较价格（元/平方米）</v>
      </c>
      <c r="Q48" s="3315"/>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5"/>
      <c r="Y48" s="1545"/>
      <c r="Z48" s="1545"/>
      <c r="AA48" s="1545"/>
      <c r="AB48" s="1545"/>
      <c r="AC48" s="1545"/>
    </row>
    <row r="49" spans="1:29" ht="15" thickBot="1">
      <c r="A49" s="621" t="s">
        <v>2934</v>
      </c>
      <c r="B49" s="622"/>
      <c r="C49" s="2600" t="e">
        <f>R49</f>
        <v>#DIV/0!</v>
      </c>
      <c r="D49" s="2600"/>
      <c r="E49" s="2600"/>
      <c r="F49" s="2600"/>
      <c r="G49" s="2600"/>
      <c r="H49" s="2600"/>
      <c r="I49" s="2600"/>
      <c r="J49" s="2600"/>
      <c r="K49" s="1598"/>
      <c r="L49" s="2129"/>
      <c r="M49" s="2130"/>
      <c r="N49" s="2119"/>
      <c r="O49" s="2130"/>
      <c r="P49" s="3336" t="str">
        <f>A49</f>
        <v>估价对象XX用房的比较价格（楼面单价，元/平方米）</v>
      </c>
      <c r="Q49" s="3337"/>
      <c r="R49" s="3496" t="e">
        <f>IF(F1="售价",ROUND(AVERAGE(R48:V48),0),ROUND(AVERAGE(R48:V48),1))</f>
        <v>#DIV/0!</v>
      </c>
      <c r="S49" s="3496"/>
      <c r="T49" s="3496"/>
      <c r="U49" s="3496"/>
      <c r="V49" s="3496"/>
      <c r="W49" s="349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5">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6"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6"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6"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6"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6"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6"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6"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6"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6"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6"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6"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6"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6"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6"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4">
      <c r="A1" s="1762" t="s">
        <v>1904</v>
      </c>
    </row>
    <row r="2" spans="1:4">
      <c r="A2" s="1764"/>
    </row>
    <row r="3" spans="1:4" ht="17">
      <c r="A3" s="1782" t="str">
        <f>项目基本情况!B5&amp;"："</f>
        <v>：</v>
      </c>
    </row>
    <row r="4" spans="1:4" ht="19">
      <c r="A4" s="1776" t="str">
        <f>"受贵公司委托，我公司对"&amp;项目基本情况!K2&amp;项目基本情况!B9&amp;"进行了预评估。"</f>
        <v>受贵公司委托，我公司对出让国有建设用地使用权进行了预评估。</v>
      </c>
    </row>
    <row r="5" spans="1:4" ht="17">
      <c r="A5" s="1779" t="s">
        <v>1905</v>
      </c>
    </row>
    <row r="6" spans="1:4" ht="76">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7" spans="1:4" ht="95">
      <c r="A7" s="2828" t="s">
        <v>2745</v>
      </c>
    </row>
    <row r="8" spans="1:4" ht="17">
      <c r="A8" s="1779" t="s">
        <v>1906</v>
      </c>
    </row>
    <row r="9" spans="1:4" ht="57">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2" t="s">
        <v>2024</v>
      </c>
    </row>
    <row r="11" spans="1:4" ht="18">
      <c r="A11" s="1765" t="str">
        <f>TEXT(项目基本情况!D3,"yyyy年m月d日;;")&amp;IF(项目基本情况!B3=项目基本情况!D3,"（评估专业人员勘察现场之日）","")</f>
        <v>2020年2月14日（评估专业人员勘察现场之日）</v>
      </c>
    </row>
    <row r="12" spans="1:4" ht="17">
      <c r="A12" s="1782" t="s">
        <v>2023</v>
      </c>
    </row>
    <row r="13" spans="1:4" ht="19">
      <c r="A13" s="1776" t="s">
        <v>2069</v>
      </c>
    </row>
    <row r="14" spans="1:4" ht="19">
      <c r="A14" s="1776" t="str">
        <f>"根据"&amp;项目基本情况!F12&amp;"，本次评估估价对象证载（地类）用途为"&amp;项目基本情况!B12&amp;"。"</f>
        <v>根据《国有土地使用证》[]，本次评估估价对象证载（地类）用途为。</v>
      </c>
      <c r="C14" s="1766"/>
      <c r="D14" s="1767"/>
    </row>
    <row r="15" spans="1:4" ht="1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9">
      <c r="A16" s="1776" t="s">
        <v>2070</v>
      </c>
    </row>
    <row r="17" spans="1:1" ht="57">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9">
      <c r="A19" s="1776" t="s">
        <v>2071</v>
      </c>
    </row>
    <row r="20" spans="1:1" ht="57">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根据《国有土地使用证》[]，估价对象（分摊）出让国有建设用地使用权面积为63650平方米。根据《建设工程规划许可证》[]、《出让合同》[]，估价对象规划建筑面积为237128平方米。</v>
      </c>
    </row>
    <row r="21" spans="1:1" ht="9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9">
      <c r="A22" s="1776" t="s">
        <v>2072</v>
      </c>
    </row>
    <row r="23" spans="1:1" ht="18">
      <c r="A23" s="2830" t="s">
        <v>2746</v>
      </c>
    </row>
    <row r="24" spans="1:1" ht="19">
      <c r="A24" s="1776" t="s">
        <v>2073</v>
      </c>
    </row>
    <row r="25" spans="1:1" ht="76">
      <c r="A25" s="1776" t="str">
        <f>定义!C53</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26" spans="1:1" ht="9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2" t="s">
        <v>2025</v>
      </c>
    </row>
    <row r="30" spans="1:1" ht="76">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
      <c r="A32" s="1784"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2206"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21" t="s">
        <v>522</v>
      </c>
      <c r="D4" s="3322"/>
      <c r="E4" s="3423" t="s">
        <v>523</v>
      </c>
      <c r="F4" s="3424"/>
      <c r="G4" s="3321" t="s">
        <v>524</v>
      </c>
      <c r="H4" s="3322"/>
      <c r="I4" s="3321" t="s">
        <v>525</v>
      </c>
      <c r="J4" s="3322"/>
      <c r="K4" s="514" t="s">
        <v>526</v>
      </c>
      <c r="L4" s="2118"/>
      <c r="M4" s="2119"/>
      <c r="N4" s="2119"/>
      <c r="O4" s="2119"/>
      <c r="P4" s="3499" t="s">
        <v>527</v>
      </c>
      <c r="Q4" s="3324"/>
      <c r="R4" s="3308" t="s">
        <v>523</v>
      </c>
      <c r="S4" s="3309"/>
      <c r="T4" s="3308" t="s">
        <v>524</v>
      </c>
      <c r="U4" s="3309"/>
      <c r="V4" s="3329" t="s">
        <v>525</v>
      </c>
      <c r="W4" s="3329"/>
      <c r="X4" s="1553"/>
      <c r="Y4" s="3308" t="s">
        <v>527</v>
      </c>
      <c r="Z4" s="3309"/>
      <c r="AA4" s="3303" t="s">
        <v>523</v>
      </c>
      <c r="AB4" s="3303" t="s">
        <v>524</v>
      </c>
      <c r="AC4" s="3303" t="s">
        <v>525</v>
      </c>
    </row>
    <row r="5" spans="1:29">
      <c r="A5" s="515"/>
      <c r="B5" s="516"/>
      <c r="C5" s="3332" t="s">
        <v>2928</v>
      </c>
      <c r="D5" s="3333"/>
      <c r="E5" s="3425" t="s">
        <v>2929</v>
      </c>
      <c r="F5" s="3426"/>
      <c r="G5" s="3332" t="s">
        <v>2930</v>
      </c>
      <c r="H5" s="3333"/>
      <c r="I5" s="3332" t="s">
        <v>2931</v>
      </c>
      <c r="J5" s="3333"/>
      <c r="K5" s="514"/>
      <c r="L5" s="2118"/>
      <c r="M5" s="2119"/>
      <c r="N5" s="2119"/>
      <c r="O5" s="2119"/>
      <c r="P5" s="3500"/>
      <c r="Q5" s="3326"/>
      <c r="R5" s="3310"/>
      <c r="S5" s="3311"/>
      <c r="T5" s="3310"/>
      <c r="U5" s="3311"/>
      <c r="V5" s="3329"/>
      <c r="W5" s="3329"/>
      <c r="X5" s="1553"/>
      <c r="Y5" s="3310"/>
      <c r="Z5" s="3311"/>
      <c r="AA5" s="3304"/>
      <c r="AB5" s="3304"/>
      <c r="AC5" s="3304"/>
    </row>
    <row r="6" spans="1:29" ht="16" thickBot="1">
      <c r="A6" s="517"/>
      <c r="B6" s="518"/>
      <c r="C6" s="3330" t="s">
        <v>2932</v>
      </c>
      <c r="D6" s="3331"/>
      <c r="E6" s="3427" t="s">
        <v>2932</v>
      </c>
      <c r="F6" s="3428"/>
      <c r="G6" s="3330" t="s">
        <v>2932</v>
      </c>
      <c r="H6" s="3331"/>
      <c r="I6" s="3330" t="s">
        <v>2932</v>
      </c>
      <c r="J6" s="3331"/>
      <c r="K6" s="514" t="s">
        <v>528</v>
      </c>
      <c r="L6" s="2118"/>
      <c r="M6" s="2119"/>
      <c r="N6" s="2119"/>
      <c r="O6" s="2119"/>
      <c r="P6" s="3501"/>
      <c r="Q6" s="3328"/>
      <c r="R6" s="3310"/>
      <c r="S6" s="3311"/>
      <c r="T6" s="3313"/>
      <c r="U6" s="3314"/>
      <c r="V6" s="3329"/>
      <c r="W6" s="3329"/>
      <c r="X6" s="1553"/>
      <c r="Y6" s="3313"/>
      <c r="Z6" s="3314"/>
      <c r="AA6" s="3305"/>
      <c r="AB6" s="3305"/>
      <c r="AC6" s="3305"/>
    </row>
    <row r="7" spans="1:29" s="1216" customFormat="1" ht="16" thickBot="1">
      <c r="A7" s="2867"/>
      <c r="B7" s="2874" t="s">
        <v>529</v>
      </c>
      <c r="C7" s="519">
        <f>'数据-取费表'!B2</f>
        <v>43875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16" t="s">
        <v>530</v>
      </c>
      <c r="Q7" s="3316"/>
      <c r="R7" s="1554" t="s">
        <v>8</v>
      </c>
      <c r="S7" s="1555">
        <f t="shared" ref="S7:S15" si="0">F7</f>
        <v>0</v>
      </c>
      <c r="T7" s="1554" t="s">
        <v>8</v>
      </c>
      <c r="U7" s="1555">
        <f t="shared" ref="U7:U15" si="1">H7</f>
        <v>0</v>
      </c>
      <c r="V7" s="1554" t="s">
        <v>8</v>
      </c>
      <c r="W7" s="1555">
        <f t="shared" ref="W7:W15" si="2">J7</f>
        <v>0</v>
      </c>
      <c r="X7" s="1556"/>
      <c r="Y7" s="3306" t="s">
        <v>530</v>
      </c>
      <c r="Z7" s="3307"/>
      <c r="AA7" s="1557" t="e">
        <f>D7/F7</f>
        <v>#DIV/0!</v>
      </c>
      <c r="AB7" s="1557" t="e">
        <f>D7/H7</f>
        <v>#DIV/0!</v>
      </c>
      <c r="AC7" s="1557" t="e">
        <f>D7/J7</f>
        <v>#DIV/0!</v>
      </c>
    </row>
    <row r="8" spans="1:29" s="1216" customFormat="1" ht="16"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16" t="s">
        <v>533</v>
      </c>
      <c r="Q8" s="3307"/>
      <c r="R8" s="1554" t="s">
        <v>8</v>
      </c>
      <c r="S8" s="1555">
        <f t="shared" si="0"/>
        <v>0</v>
      </c>
      <c r="T8" s="1554" t="s">
        <v>8</v>
      </c>
      <c r="U8" s="1555">
        <f t="shared" si="1"/>
        <v>0</v>
      </c>
      <c r="V8" s="1554" t="s">
        <v>8</v>
      </c>
      <c r="W8" s="1555">
        <f t="shared" si="2"/>
        <v>0</v>
      </c>
      <c r="X8" s="1556"/>
      <c r="Y8" s="3306" t="s">
        <v>533</v>
      </c>
      <c r="Z8" s="3307"/>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15"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15"/>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6">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15"/>
      <c r="Q11" s="1147" t="str">
        <f t="shared" si="6"/>
        <v>容积率</v>
      </c>
      <c r="R11" s="1554" t="s">
        <v>8</v>
      </c>
      <c r="S11" s="1555" t="e">
        <f t="shared" si="0"/>
        <v>#N/A</v>
      </c>
      <c r="T11" s="1554" t="s">
        <v>8</v>
      </c>
      <c r="U11" s="1555" t="e">
        <f t="shared" si="1"/>
        <v>#N/A</v>
      </c>
      <c r="V11" s="1554" t="s">
        <v>8</v>
      </c>
      <c r="W11" s="1555" t="e">
        <f t="shared" si="2"/>
        <v>#N/A</v>
      </c>
      <c r="X11" s="1556"/>
      <c r="Y11" s="3312"/>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15"/>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6">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15"/>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17"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15"/>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 t="shared" si="3"/>
        <v>1</v>
      </c>
      <c r="AB14" s="1557">
        <f t="shared" si="4"/>
        <v>1</v>
      </c>
      <c r="AC14" s="1557">
        <f t="shared" si="5"/>
        <v>1</v>
      </c>
    </row>
    <row r="15" spans="1:29" ht="7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17" t="s">
        <v>540</v>
      </c>
      <c r="Q15" s="1558" t="str">
        <f t="shared" si="6"/>
        <v>办公集聚程度</v>
      </c>
      <c r="R15" s="1559" t="s">
        <v>8</v>
      </c>
      <c r="S15" s="1560">
        <f t="shared" si="0"/>
        <v>100</v>
      </c>
      <c r="T15" s="1559" t="s">
        <v>8</v>
      </c>
      <c r="U15" s="1560">
        <f t="shared" si="1"/>
        <v>100</v>
      </c>
      <c r="V15" s="1559" t="s">
        <v>8</v>
      </c>
      <c r="W15" s="1560">
        <f t="shared" si="2"/>
        <v>100</v>
      </c>
      <c r="X15" s="1553"/>
      <c r="Y15" s="3317" t="s">
        <v>540</v>
      </c>
      <c r="Z15" s="1561" t="str">
        <f t="shared" si="7"/>
        <v>办公集聚程度</v>
      </c>
      <c r="AA15" s="1562">
        <f t="shared" si="3"/>
        <v>1</v>
      </c>
      <c r="AB15" s="1562">
        <f t="shared" si="4"/>
        <v>1</v>
      </c>
      <c r="AC15" s="1562">
        <f t="shared" si="5"/>
        <v>1</v>
      </c>
    </row>
    <row r="16" spans="1:29" ht="16">
      <c r="A16" s="532"/>
      <c r="B16" s="553"/>
      <c r="C16" s="554"/>
      <c r="D16" s="555"/>
      <c r="E16" s="576"/>
      <c r="F16" s="555"/>
      <c r="G16" s="554"/>
      <c r="H16" s="559"/>
      <c r="I16" s="576"/>
      <c r="J16" s="555"/>
      <c r="K16" s="899"/>
      <c r="L16" s="2127"/>
      <c r="M16" s="2119"/>
      <c r="N16" s="2119"/>
      <c r="O16" s="2119"/>
      <c r="P16" s="3318"/>
      <c r="Q16" s="1558"/>
      <c r="R16" s="1559"/>
      <c r="S16" s="1560"/>
      <c r="T16" s="1559"/>
      <c r="U16" s="1560"/>
      <c r="V16" s="1559"/>
      <c r="W16" s="1560"/>
      <c r="X16" s="1553"/>
      <c r="Y16" s="3318"/>
      <c r="Z16" s="1561"/>
      <c r="AA16" s="1562">
        <v>1</v>
      </c>
      <c r="AB16" s="1562">
        <v>1</v>
      </c>
      <c r="AC16" s="1562">
        <v>1</v>
      </c>
    </row>
    <row r="17" spans="1:29" ht="90">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18"/>
      <c r="Q17" s="1558" t="str">
        <f>B17</f>
        <v>交通便捷度</v>
      </c>
      <c r="R17" s="1559" t="s">
        <v>8</v>
      </c>
      <c r="S17" s="1560">
        <f>F17</f>
        <v>100</v>
      </c>
      <c r="T17" s="1559" t="s">
        <v>8</v>
      </c>
      <c r="U17" s="1560">
        <f>H17</f>
        <v>100</v>
      </c>
      <c r="V17" s="1559" t="s">
        <v>8</v>
      </c>
      <c r="W17" s="1560">
        <f>J17</f>
        <v>100</v>
      </c>
      <c r="X17" s="1553"/>
      <c r="Y17" s="3318"/>
      <c r="Z17" s="1561" t="str">
        <f>Q17</f>
        <v>交通便捷度</v>
      </c>
      <c r="AA17" s="1562">
        <f t="shared" si="3"/>
        <v>1</v>
      </c>
      <c r="AB17" s="1562">
        <f t="shared" si="4"/>
        <v>1</v>
      </c>
      <c r="AC17" s="1562">
        <f t="shared" si="5"/>
        <v>1</v>
      </c>
    </row>
    <row r="18" spans="1:29" ht="16">
      <c r="A18" s="532"/>
      <c r="B18" s="566"/>
      <c r="C18" s="567"/>
      <c r="D18" s="559"/>
      <c r="E18" s="569"/>
      <c r="F18" s="559"/>
      <c r="G18" s="568"/>
      <c r="H18" s="555"/>
      <c r="I18" s="568"/>
      <c r="J18" s="555"/>
      <c r="K18" s="899"/>
      <c r="L18" s="2127"/>
      <c r="M18" s="2119"/>
      <c r="N18" s="2119"/>
      <c r="O18" s="2119"/>
      <c r="P18" s="3318"/>
      <c r="Q18" s="1558"/>
      <c r="R18" s="1559"/>
      <c r="S18" s="1560"/>
      <c r="T18" s="1559"/>
      <c r="U18" s="1560"/>
      <c r="V18" s="1559"/>
      <c r="W18" s="1560"/>
      <c r="X18" s="1553"/>
      <c r="Y18" s="3318"/>
      <c r="Z18" s="1561"/>
      <c r="AA18" s="1562">
        <v>1</v>
      </c>
      <c r="AB18" s="1562">
        <v>1</v>
      </c>
      <c r="AC18" s="1562">
        <v>1</v>
      </c>
    </row>
    <row r="19" spans="1:29" ht="4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18"/>
      <c r="Q19" s="1558" t="str">
        <f>B19</f>
        <v>公共配套设施</v>
      </c>
      <c r="R19" s="1559" t="s">
        <v>8</v>
      </c>
      <c r="S19" s="1560">
        <f>F19</f>
        <v>100</v>
      </c>
      <c r="T19" s="1559" t="s">
        <v>8</v>
      </c>
      <c r="U19" s="1560">
        <f>H19</f>
        <v>100</v>
      </c>
      <c r="V19" s="1559" t="s">
        <v>8</v>
      </c>
      <c r="W19" s="1560">
        <f>J19</f>
        <v>100</v>
      </c>
      <c r="X19" s="1553"/>
      <c r="Y19" s="3318"/>
      <c r="Z19" s="1561" t="str">
        <f>Q19</f>
        <v>公共配套设施</v>
      </c>
      <c r="AA19" s="1562">
        <f t="shared" si="3"/>
        <v>1</v>
      </c>
      <c r="AB19" s="1562">
        <f t="shared" si="4"/>
        <v>1</v>
      </c>
      <c r="AC19" s="1562">
        <f t="shared" si="5"/>
        <v>1</v>
      </c>
    </row>
    <row r="20" spans="1:29" ht="16">
      <c r="A20" s="532"/>
      <c r="B20" s="566"/>
      <c r="C20" s="554"/>
      <c r="D20" s="555"/>
      <c r="E20" s="558"/>
      <c r="F20" s="555"/>
      <c r="G20" s="556"/>
      <c r="H20" s="555"/>
      <c r="I20" s="556"/>
      <c r="J20" s="555"/>
      <c r="K20" s="899"/>
      <c r="L20" s="2127"/>
      <c r="M20" s="2119"/>
      <c r="N20" s="2119"/>
      <c r="O20" s="2119"/>
      <c r="P20" s="3318"/>
      <c r="Q20" s="1558"/>
      <c r="R20" s="1559"/>
      <c r="S20" s="1560"/>
      <c r="T20" s="1559"/>
      <c r="U20" s="1560"/>
      <c r="V20" s="1559"/>
      <c r="W20" s="1560"/>
      <c r="X20" s="1553"/>
      <c r="Y20" s="3318"/>
      <c r="Z20" s="1561"/>
      <c r="AA20" s="1562">
        <v>1</v>
      </c>
      <c r="AB20" s="1562">
        <v>1</v>
      </c>
      <c r="AC20" s="1562">
        <v>1</v>
      </c>
    </row>
    <row r="21" spans="1:29" ht="30">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18"/>
      <c r="Q21" s="2543" t="str">
        <f>B21</f>
        <v>基础设施水平</v>
      </c>
      <c r="R21" s="1559" t="s">
        <v>8</v>
      </c>
      <c r="S21" s="1560">
        <f>F21</f>
        <v>100</v>
      </c>
      <c r="T21" s="1559" t="s">
        <v>8</v>
      </c>
      <c r="U21" s="1560">
        <f>H21</f>
        <v>100</v>
      </c>
      <c r="V21" s="1559" t="s">
        <v>8</v>
      </c>
      <c r="W21" s="1560">
        <f>J21</f>
        <v>100</v>
      </c>
      <c r="X21" s="2545"/>
      <c r="Y21" s="3318"/>
      <c r="Z21" s="2544" t="str">
        <f>Q21</f>
        <v>基础设施水平</v>
      </c>
      <c r="AA21" s="1562">
        <f t="shared" ref="AA21" si="8">D21/F21</f>
        <v>1</v>
      </c>
      <c r="AB21" s="1562">
        <f t="shared" ref="AB21" si="9">D21/H21</f>
        <v>1</v>
      </c>
      <c r="AC21" s="1562">
        <f t="shared" ref="AC21" si="10">D21/J21</f>
        <v>1</v>
      </c>
    </row>
    <row r="22" spans="1:29" ht="16">
      <c r="A22" s="532"/>
      <c r="B22" s="578"/>
      <c r="C22" s="567"/>
      <c r="D22" s="555"/>
      <c r="E22" s="576"/>
      <c r="F22" s="555"/>
      <c r="G22" s="554"/>
      <c r="H22" s="555"/>
      <c r="I22" s="554"/>
      <c r="J22" s="555"/>
      <c r="K22" s="2566"/>
      <c r="L22" s="2127"/>
      <c r="M22" s="2119"/>
      <c r="N22" s="2119"/>
      <c r="O22" s="2119"/>
      <c r="P22" s="3318"/>
      <c r="Q22" s="2543"/>
      <c r="R22" s="1559"/>
      <c r="S22" s="1560"/>
      <c r="T22" s="1559"/>
      <c r="U22" s="1560"/>
      <c r="V22" s="1559"/>
      <c r="W22" s="1560"/>
      <c r="X22" s="2545"/>
      <c r="Y22" s="3318"/>
      <c r="Z22" s="2544"/>
      <c r="AA22" s="1562">
        <v>1</v>
      </c>
      <c r="AB22" s="1562">
        <v>1</v>
      </c>
      <c r="AC22" s="1562">
        <v>1</v>
      </c>
    </row>
    <row r="23" spans="1:29" ht="60">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18"/>
      <c r="Q23" s="1558" t="str">
        <f>B23</f>
        <v>环境质量</v>
      </c>
      <c r="R23" s="1559" t="s">
        <v>8</v>
      </c>
      <c r="S23" s="1560">
        <f>F23</f>
        <v>100</v>
      </c>
      <c r="T23" s="1559" t="s">
        <v>8</v>
      </c>
      <c r="U23" s="1560">
        <f>H23</f>
        <v>100</v>
      </c>
      <c r="V23" s="1559" t="s">
        <v>8</v>
      </c>
      <c r="W23" s="1560">
        <f>J23</f>
        <v>100</v>
      </c>
      <c r="X23" s="1553"/>
      <c r="Y23" s="3318"/>
      <c r="Z23" s="1561" t="str">
        <f>Q23</f>
        <v>环境质量</v>
      </c>
      <c r="AA23" s="1562">
        <f t="shared" si="3"/>
        <v>1</v>
      </c>
      <c r="AB23" s="1562">
        <f t="shared" si="4"/>
        <v>1</v>
      </c>
      <c r="AC23" s="1562">
        <f t="shared" si="5"/>
        <v>1</v>
      </c>
    </row>
    <row r="24" spans="1:29" ht="16">
      <c r="A24" s="532"/>
      <c r="B24" s="578"/>
      <c r="C24" s="554"/>
      <c r="D24" s="555"/>
      <c r="E24" s="558"/>
      <c r="F24" s="555"/>
      <c r="G24" s="556"/>
      <c r="H24" s="555"/>
      <c r="I24" s="556"/>
      <c r="J24" s="555"/>
      <c r="K24" s="899"/>
      <c r="L24" s="2127"/>
      <c r="M24" s="2119"/>
      <c r="N24" s="2119"/>
      <c r="O24" s="2119"/>
      <c r="P24" s="3318"/>
      <c r="Q24" s="1558"/>
      <c r="R24" s="1559"/>
      <c r="S24" s="1560"/>
      <c r="T24" s="1559"/>
      <c r="U24" s="1560"/>
      <c r="V24" s="1559"/>
      <c r="W24" s="1560"/>
      <c r="X24" s="1553"/>
      <c r="Y24" s="3318"/>
      <c r="Z24" s="1561"/>
      <c r="AA24" s="1562">
        <v>1</v>
      </c>
      <c r="AB24" s="1562">
        <v>1</v>
      </c>
      <c r="AC24" s="1562">
        <v>1</v>
      </c>
    </row>
    <row r="25" spans="1:29" ht="30">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18"/>
      <c r="Q25" s="1558" t="str">
        <f>B25</f>
        <v>毗邻道路的类型与等级</v>
      </c>
      <c r="R25" s="1559" t="s">
        <v>8</v>
      </c>
      <c r="S25" s="1560">
        <f>F25</f>
        <v>100</v>
      </c>
      <c r="T25" s="1559" t="s">
        <v>8</v>
      </c>
      <c r="U25" s="1560">
        <f>H25</f>
        <v>100</v>
      </c>
      <c r="V25" s="1559" t="s">
        <v>8</v>
      </c>
      <c r="W25" s="1560">
        <f>J25</f>
        <v>100</v>
      </c>
      <c r="X25" s="1553"/>
      <c r="Y25" s="3318"/>
      <c r="Z25" s="1561" t="str">
        <f>Q25</f>
        <v>毗邻道路的类型与等级</v>
      </c>
      <c r="AA25" s="1562">
        <f t="shared" si="3"/>
        <v>1</v>
      </c>
      <c r="AB25" s="1562">
        <f t="shared" si="4"/>
        <v>1</v>
      </c>
      <c r="AC25" s="1562">
        <f t="shared" si="5"/>
        <v>1</v>
      </c>
    </row>
    <row r="26" spans="1:29" ht="16">
      <c r="A26" s="515"/>
      <c r="B26" s="566"/>
      <c r="C26" s="580"/>
      <c r="D26" s="540"/>
      <c r="E26" s="583"/>
      <c r="F26" s="540"/>
      <c r="G26" s="580"/>
      <c r="H26" s="540"/>
      <c r="I26" s="583"/>
      <c r="J26" s="540"/>
      <c r="K26" s="899"/>
      <c r="L26" s="2127"/>
      <c r="M26" s="2119"/>
      <c r="N26" s="2119"/>
      <c r="O26" s="2119"/>
      <c r="P26" s="3318"/>
      <c r="Q26" s="1558"/>
      <c r="R26" s="1559"/>
      <c r="S26" s="1560"/>
      <c r="T26" s="1559"/>
      <c r="U26" s="1560"/>
      <c r="V26" s="1559"/>
      <c r="W26" s="1560"/>
      <c r="X26" s="1553"/>
      <c r="Y26" s="3318"/>
      <c r="Z26" s="1561"/>
      <c r="AA26" s="1562">
        <v>1</v>
      </c>
      <c r="AB26" s="1562">
        <v>1</v>
      </c>
      <c r="AC26" s="1562">
        <v>1</v>
      </c>
    </row>
    <row r="27" spans="1:29" ht="16">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18"/>
      <c r="Q27" s="1558" t="str">
        <f t="shared" ref="Q27:Q47" si="11">B27</f>
        <v>楼层</v>
      </c>
      <c r="R27" s="1559" t="s">
        <v>8</v>
      </c>
      <c r="S27" s="1560">
        <f>F27</f>
        <v>100</v>
      </c>
      <c r="T27" s="1559" t="s">
        <v>8</v>
      </c>
      <c r="U27" s="1560">
        <f>H27</f>
        <v>100</v>
      </c>
      <c r="V27" s="1559" t="s">
        <v>8</v>
      </c>
      <c r="W27" s="1560">
        <f>J27</f>
        <v>100</v>
      </c>
      <c r="X27" s="1553"/>
      <c r="Y27" s="3318"/>
      <c r="Z27" s="1561" t="str">
        <f>Q27</f>
        <v>楼层</v>
      </c>
      <c r="AA27" s="1562">
        <f t="shared" si="3"/>
        <v>1</v>
      </c>
      <c r="AB27" s="1562">
        <f t="shared" si="4"/>
        <v>1</v>
      </c>
      <c r="AC27" s="1562">
        <f t="shared" si="5"/>
        <v>1</v>
      </c>
    </row>
    <row r="28" spans="1:29" s="1216" customFormat="1" ht="16">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18"/>
      <c r="Q28" s="1147" t="str">
        <f t="shared" si="11"/>
        <v>朝向</v>
      </c>
      <c r="R28" s="1554" t="s">
        <v>8</v>
      </c>
      <c r="S28" s="1555">
        <f>F28</f>
        <v>100</v>
      </c>
      <c r="T28" s="1554" t="s">
        <v>8</v>
      </c>
      <c r="U28" s="1555">
        <f>H28</f>
        <v>100</v>
      </c>
      <c r="V28" s="1554" t="s">
        <v>8</v>
      </c>
      <c r="W28" s="1555">
        <f>J28</f>
        <v>100</v>
      </c>
      <c r="X28" s="1556"/>
      <c r="Y28" s="3318"/>
      <c r="Z28" s="1146" t="str">
        <f>Q28</f>
        <v>朝向</v>
      </c>
      <c r="AA28" s="1562">
        <f>D28/F28</f>
        <v>1</v>
      </c>
      <c r="AB28" s="1562">
        <f>D28/H28</f>
        <v>1</v>
      </c>
      <c r="AC28" s="1562">
        <f>D28/J28</f>
        <v>1</v>
      </c>
    </row>
    <row r="29" spans="1:29" ht="16">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18"/>
      <c r="Q29" s="1558">
        <f t="shared" si="11"/>
        <v>111</v>
      </c>
      <c r="R29" s="1559" t="s">
        <v>8</v>
      </c>
      <c r="S29" s="1560">
        <f t="shared" ref="S29:S47" si="12">F29</f>
        <v>100</v>
      </c>
      <c r="T29" s="1559" t="s">
        <v>8</v>
      </c>
      <c r="U29" s="1560">
        <f t="shared" ref="U29:U47" si="13">H29</f>
        <v>100</v>
      </c>
      <c r="V29" s="1559" t="s">
        <v>8</v>
      </c>
      <c r="W29" s="1560">
        <f t="shared" ref="W29:W47" si="14">J29</f>
        <v>100</v>
      </c>
      <c r="X29" s="1553"/>
      <c r="Y29" s="3318"/>
      <c r="Z29" s="1561">
        <f t="shared" ref="Z29:Z47" si="15">Q29</f>
        <v>111</v>
      </c>
      <c r="AA29" s="1562">
        <f t="shared" si="3"/>
        <v>1</v>
      </c>
      <c r="AB29" s="1562">
        <f t="shared" si="4"/>
        <v>1</v>
      </c>
      <c r="AC29" s="1562">
        <f t="shared" si="5"/>
        <v>1</v>
      </c>
    </row>
    <row r="30" spans="1:29" ht="16">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18"/>
      <c r="Q30" s="1558">
        <f t="shared" si="11"/>
        <v>111</v>
      </c>
      <c r="R30" s="1559" t="s">
        <v>8</v>
      </c>
      <c r="S30" s="1560">
        <f t="shared" si="12"/>
        <v>100</v>
      </c>
      <c r="T30" s="1559" t="s">
        <v>8</v>
      </c>
      <c r="U30" s="1560">
        <f t="shared" si="13"/>
        <v>100</v>
      </c>
      <c r="V30" s="1559" t="s">
        <v>8</v>
      </c>
      <c r="W30" s="1560">
        <f t="shared" si="14"/>
        <v>100</v>
      </c>
      <c r="X30" s="1553"/>
      <c r="Y30" s="3318"/>
      <c r="Z30" s="1561">
        <f t="shared" si="15"/>
        <v>111</v>
      </c>
      <c r="AA30" s="1562">
        <f t="shared" si="3"/>
        <v>1</v>
      </c>
      <c r="AB30" s="1562">
        <f t="shared" si="4"/>
        <v>1</v>
      </c>
      <c r="AC30" s="1562">
        <f t="shared" si="5"/>
        <v>1</v>
      </c>
    </row>
    <row r="31" spans="1:29" ht="16">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18"/>
      <c r="Q31" s="1558">
        <f t="shared" si="11"/>
        <v>111</v>
      </c>
      <c r="R31" s="1559" t="s">
        <v>8</v>
      </c>
      <c r="S31" s="1560">
        <f t="shared" si="12"/>
        <v>100</v>
      </c>
      <c r="T31" s="1559" t="s">
        <v>8</v>
      </c>
      <c r="U31" s="1560">
        <f t="shared" si="13"/>
        <v>100</v>
      </c>
      <c r="V31" s="1559" t="s">
        <v>8</v>
      </c>
      <c r="W31" s="1560">
        <f t="shared" si="14"/>
        <v>100</v>
      </c>
      <c r="X31" s="1553"/>
      <c r="Y31" s="3318"/>
      <c r="Z31" s="1561">
        <f t="shared" si="15"/>
        <v>111</v>
      </c>
      <c r="AA31" s="1562">
        <f t="shared" si="3"/>
        <v>1</v>
      </c>
      <c r="AB31" s="1562">
        <f t="shared" si="4"/>
        <v>1</v>
      </c>
      <c r="AC31" s="1562">
        <f t="shared" si="5"/>
        <v>1</v>
      </c>
    </row>
    <row r="32" spans="1:29" ht="17"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18"/>
      <c r="Q32" s="1558">
        <f t="shared" si="11"/>
        <v>111</v>
      </c>
      <c r="R32" s="1559" t="s">
        <v>8</v>
      </c>
      <c r="S32" s="1560">
        <f t="shared" si="12"/>
        <v>100</v>
      </c>
      <c r="T32" s="1559" t="s">
        <v>8</v>
      </c>
      <c r="U32" s="1560">
        <f t="shared" si="13"/>
        <v>100</v>
      </c>
      <c r="V32" s="1559" t="s">
        <v>8</v>
      </c>
      <c r="W32" s="1560">
        <f t="shared" si="14"/>
        <v>100</v>
      </c>
      <c r="X32" s="1553"/>
      <c r="Y32" s="3318"/>
      <c r="Z32" s="1561">
        <f t="shared" si="15"/>
        <v>111</v>
      </c>
      <c r="AA32" s="1562">
        <f t="shared" si="3"/>
        <v>1</v>
      </c>
      <c r="AB32" s="1562">
        <f t="shared" si="4"/>
        <v>1</v>
      </c>
      <c r="AC32" s="1562">
        <f t="shared" si="5"/>
        <v>1</v>
      </c>
    </row>
    <row r="33" spans="1:29" ht="16">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19" t="s">
        <v>550</v>
      </c>
      <c r="Q33" s="1558" t="str">
        <f t="shared" si="11"/>
        <v>建筑类型</v>
      </c>
      <c r="R33" s="1559" t="s">
        <v>8</v>
      </c>
      <c r="S33" s="1560">
        <f t="shared" si="12"/>
        <v>100</v>
      </c>
      <c r="T33" s="1559" t="s">
        <v>8</v>
      </c>
      <c r="U33" s="1560">
        <f t="shared" si="13"/>
        <v>100</v>
      </c>
      <c r="V33" s="1559" t="s">
        <v>8</v>
      </c>
      <c r="W33" s="1560">
        <f t="shared" si="14"/>
        <v>100</v>
      </c>
      <c r="X33" s="1553"/>
      <c r="Y33" s="3320" t="s">
        <v>550</v>
      </c>
      <c r="Z33" s="1561" t="str">
        <f t="shared" si="15"/>
        <v>建筑类型</v>
      </c>
      <c r="AA33" s="1562">
        <f t="shared" si="3"/>
        <v>1</v>
      </c>
      <c r="AB33" s="1562">
        <f t="shared" si="4"/>
        <v>1</v>
      </c>
      <c r="AC33" s="1562">
        <f t="shared" si="5"/>
        <v>1</v>
      </c>
    </row>
    <row r="34" spans="1:29" s="1335" customFormat="1" ht="16">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20"/>
      <c r="Q34" s="1590" t="str">
        <f t="shared" si="11"/>
        <v>项目建筑规模</v>
      </c>
      <c r="R34" s="1563" t="s">
        <v>8</v>
      </c>
      <c r="S34" s="1564" t="e">
        <f t="shared" si="12"/>
        <v>#N/A</v>
      </c>
      <c r="T34" s="1563" t="s">
        <v>8</v>
      </c>
      <c r="U34" s="1564" t="e">
        <f t="shared" si="13"/>
        <v>#N/A</v>
      </c>
      <c r="V34" s="1563" t="s">
        <v>8</v>
      </c>
      <c r="W34" s="1564" t="e">
        <f t="shared" si="14"/>
        <v>#N/A</v>
      </c>
      <c r="X34" s="1565"/>
      <c r="Y34" s="3320"/>
      <c r="Z34" s="1566" t="str">
        <f t="shared" si="15"/>
        <v>项目建筑规模</v>
      </c>
      <c r="AA34" s="1562" t="e">
        <f t="shared" si="3"/>
        <v>#N/A</v>
      </c>
      <c r="AB34" s="1562" t="e">
        <f t="shared" si="4"/>
        <v>#N/A</v>
      </c>
      <c r="AC34" s="1562" t="e">
        <f t="shared" si="5"/>
        <v>#N/A</v>
      </c>
    </row>
    <row r="35" spans="1:29" ht="16">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20"/>
      <c r="Q35" s="1558" t="str">
        <f t="shared" si="11"/>
        <v>建筑结构</v>
      </c>
      <c r="R35" s="1559" t="s">
        <v>8</v>
      </c>
      <c r="S35" s="1560">
        <f t="shared" si="12"/>
        <v>100</v>
      </c>
      <c r="T35" s="1559" t="s">
        <v>8</v>
      </c>
      <c r="U35" s="1560">
        <f t="shared" si="13"/>
        <v>100</v>
      </c>
      <c r="V35" s="1559" t="s">
        <v>8</v>
      </c>
      <c r="W35" s="1560">
        <f t="shared" si="14"/>
        <v>100</v>
      </c>
      <c r="X35" s="1553"/>
      <c r="Y35" s="3320"/>
      <c r="Z35" s="1561" t="str">
        <f t="shared" si="15"/>
        <v>建筑结构</v>
      </c>
      <c r="AA35" s="1562">
        <f t="shared" si="3"/>
        <v>1</v>
      </c>
      <c r="AB35" s="1562">
        <f t="shared" si="4"/>
        <v>1</v>
      </c>
      <c r="AC35" s="1562">
        <f t="shared" si="5"/>
        <v>1</v>
      </c>
    </row>
    <row r="36" spans="1:29" ht="16">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20"/>
      <c r="Q36" s="1558" t="str">
        <f t="shared" si="11"/>
        <v>公共部分装修</v>
      </c>
      <c r="R36" s="1559" t="s">
        <v>8</v>
      </c>
      <c r="S36" s="1560">
        <f t="shared" si="12"/>
        <v>100</v>
      </c>
      <c r="T36" s="1559" t="s">
        <v>8</v>
      </c>
      <c r="U36" s="1560">
        <f t="shared" si="13"/>
        <v>100</v>
      </c>
      <c r="V36" s="1559" t="s">
        <v>8</v>
      </c>
      <c r="W36" s="1560">
        <f t="shared" si="14"/>
        <v>100</v>
      </c>
      <c r="X36" s="1553"/>
      <c r="Y36" s="3320"/>
      <c r="Z36" s="1561" t="str">
        <f t="shared" si="15"/>
        <v>公共部分装修</v>
      </c>
      <c r="AA36" s="1562">
        <f t="shared" si="3"/>
        <v>1</v>
      </c>
      <c r="AB36" s="1562">
        <f t="shared" si="4"/>
        <v>1</v>
      </c>
      <c r="AC36" s="1562">
        <f t="shared" si="5"/>
        <v>1</v>
      </c>
    </row>
    <row r="37" spans="1:29" ht="16">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20"/>
      <c r="Q37" s="1558" t="str">
        <f t="shared" si="11"/>
        <v>成新度</v>
      </c>
      <c r="R37" s="1559" t="s">
        <v>8</v>
      </c>
      <c r="S37" s="1560" t="e">
        <f t="shared" si="12"/>
        <v>#N/A</v>
      </c>
      <c r="T37" s="1559" t="s">
        <v>8</v>
      </c>
      <c r="U37" s="1560" t="e">
        <f t="shared" si="13"/>
        <v>#N/A</v>
      </c>
      <c r="V37" s="1559" t="s">
        <v>8</v>
      </c>
      <c r="W37" s="1560" t="e">
        <f t="shared" si="14"/>
        <v>#N/A</v>
      </c>
      <c r="X37" s="1553"/>
      <c r="Y37" s="3320"/>
      <c r="Z37" s="1561" t="str">
        <f t="shared" si="15"/>
        <v>成新度</v>
      </c>
      <c r="AA37" s="1562" t="e">
        <f t="shared" si="3"/>
        <v>#N/A</v>
      </c>
      <c r="AB37" s="1562" t="e">
        <f t="shared" si="4"/>
        <v>#N/A</v>
      </c>
      <c r="AC37" s="1562" t="e">
        <f t="shared" si="5"/>
        <v>#N/A</v>
      </c>
    </row>
    <row r="38" spans="1:29" s="1216" customFormat="1" ht="16">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20"/>
      <c r="Q38" s="1147" t="str">
        <f t="shared" si="11"/>
        <v>写字楼等级</v>
      </c>
      <c r="R38" s="1554" t="s">
        <v>8</v>
      </c>
      <c r="S38" s="1555">
        <f t="shared" si="12"/>
        <v>100</v>
      </c>
      <c r="T38" s="1554" t="s">
        <v>8</v>
      </c>
      <c r="U38" s="1555">
        <f t="shared" si="13"/>
        <v>100</v>
      </c>
      <c r="V38" s="1554" t="s">
        <v>8</v>
      </c>
      <c r="W38" s="1555">
        <f t="shared" si="14"/>
        <v>100</v>
      </c>
      <c r="X38" s="1556"/>
      <c r="Y38" s="3320"/>
      <c r="Z38" s="1146" t="str">
        <f t="shared" si="15"/>
        <v>写字楼等级</v>
      </c>
      <c r="AA38" s="1557">
        <f t="shared" si="3"/>
        <v>1</v>
      </c>
      <c r="AB38" s="1557">
        <f t="shared" si="4"/>
        <v>1</v>
      </c>
      <c r="AC38" s="1557">
        <f t="shared" si="5"/>
        <v>1</v>
      </c>
    </row>
    <row r="39" spans="1:29" ht="16">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20" t="s">
        <v>550</v>
      </c>
      <c r="Q39" s="1558" t="str">
        <f t="shared" si="11"/>
        <v>物业管理</v>
      </c>
      <c r="R39" s="1559" t="s">
        <v>8</v>
      </c>
      <c r="S39" s="1560">
        <f t="shared" si="12"/>
        <v>100</v>
      </c>
      <c r="T39" s="1559" t="s">
        <v>8</v>
      </c>
      <c r="U39" s="1560">
        <f t="shared" si="13"/>
        <v>100</v>
      </c>
      <c r="V39" s="1559" t="s">
        <v>8</v>
      </c>
      <c r="W39" s="1560">
        <f t="shared" si="14"/>
        <v>100</v>
      </c>
      <c r="X39" s="1553"/>
      <c r="Y39" s="3320" t="s">
        <v>550</v>
      </c>
      <c r="Z39" s="1561" t="str">
        <f t="shared" si="15"/>
        <v>物业管理</v>
      </c>
      <c r="AA39" s="1562">
        <f t="shared" si="3"/>
        <v>1</v>
      </c>
      <c r="AB39" s="1562">
        <f t="shared" si="4"/>
        <v>1</v>
      </c>
      <c r="AC39" s="1562">
        <f t="shared" si="5"/>
        <v>1</v>
      </c>
    </row>
    <row r="40" spans="1:29" ht="16">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20"/>
      <c r="Q40" s="1558" t="str">
        <f t="shared" si="11"/>
        <v>市政基础设施</v>
      </c>
      <c r="R40" s="1559" t="s">
        <v>8</v>
      </c>
      <c r="S40" s="1560">
        <f t="shared" si="12"/>
        <v>100</v>
      </c>
      <c r="T40" s="1559" t="s">
        <v>8</v>
      </c>
      <c r="U40" s="1560">
        <f t="shared" si="13"/>
        <v>100</v>
      </c>
      <c r="V40" s="1559" t="s">
        <v>8</v>
      </c>
      <c r="W40" s="1560">
        <f t="shared" si="14"/>
        <v>100</v>
      </c>
      <c r="X40" s="1553"/>
      <c r="Y40" s="3320"/>
      <c r="Z40" s="1561" t="str">
        <f t="shared" si="15"/>
        <v>市政基础设施</v>
      </c>
      <c r="AA40" s="1562">
        <f t="shared" si="3"/>
        <v>1</v>
      </c>
      <c r="AB40" s="1562">
        <f t="shared" si="4"/>
        <v>1</v>
      </c>
      <c r="AC40" s="1562">
        <f t="shared" si="5"/>
        <v>1</v>
      </c>
    </row>
    <row r="41" spans="1:29" ht="16">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20"/>
      <c r="Q41" s="1558" t="str">
        <f t="shared" si="11"/>
        <v>层高</v>
      </c>
      <c r="R41" s="1559" t="s">
        <v>8</v>
      </c>
      <c r="S41" s="1560">
        <f t="shared" si="12"/>
        <v>100</v>
      </c>
      <c r="T41" s="1559" t="s">
        <v>8</v>
      </c>
      <c r="U41" s="1560">
        <f t="shared" si="13"/>
        <v>100</v>
      </c>
      <c r="V41" s="1559" t="s">
        <v>8</v>
      </c>
      <c r="W41" s="1560">
        <f t="shared" si="14"/>
        <v>100</v>
      </c>
      <c r="X41" s="1553"/>
      <c r="Y41" s="3320"/>
      <c r="Z41" s="1561" t="str">
        <f t="shared" si="15"/>
        <v>层高</v>
      </c>
      <c r="AA41" s="1562">
        <f t="shared" si="3"/>
        <v>1</v>
      </c>
      <c r="AB41" s="1562">
        <f t="shared" si="4"/>
        <v>1</v>
      </c>
      <c r="AC41" s="1562">
        <f t="shared" si="5"/>
        <v>1</v>
      </c>
    </row>
    <row r="42" spans="1:29" s="1335" customFormat="1" ht="16">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20"/>
      <c r="Q42" s="1590" t="str">
        <f t="shared" si="11"/>
        <v>单套建筑面积</v>
      </c>
      <c r="R42" s="1563" t="s">
        <v>8</v>
      </c>
      <c r="S42" s="1564">
        <f t="shared" si="12"/>
        <v>100</v>
      </c>
      <c r="T42" s="1563" t="s">
        <v>8</v>
      </c>
      <c r="U42" s="1564">
        <f t="shared" si="13"/>
        <v>100</v>
      </c>
      <c r="V42" s="1563" t="s">
        <v>8</v>
      </c>
      <c r="W42" s="1564">
        <f t="shared" si="14"/>
        <v>100</v>
      </c>
      <c r="X42" s="1565"/>
      <c r="Y42" s="3320"/>
      <c r="Z42" s="1566" t="str">
        <f t="shared" si="15"/>
        <v>单套建筑面积</v>
      </c>
      <c r="AA42" s="1562">
        <f t="shared" si="3"/>
        <v>1</v>
      </c>
      <c r="AB42" s="1562">
        <f t="shared" si="4"/>
        <v>1</v>
      </c>
      <c r="AC42" s="1562">
        <f t="shared" si="5"/>
        <v>1</v>
      </c>
    </row>
    <row r="43" spans="1:29" ht="16">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20"/>
      <c r="Q43" s="1558" t="str">
        <f t="shared" si="11"/>
        <v>内部装修</v>
      </c>
      <c r="R43" s="1559" t="s">
        <v>8</v>
      </c>
      <c r="S43" s="1560">
        <f t="shared" si="12"/>
        <v>100</v>
      </c>
      <c r="T43" s="1559" t="s">
        <v>8</v>
      </c>
      <c r="U43" s="1560">
        <f t="shared" si="13"/>
        <v>100</v>
      </c>
      <c r="V43" s="1559" t="s">
        <v>8</v>
      </c>
      <c r="W43" s="1560">
        <f t="shared" si="14"/>
        <v>100</v>
      </c>
      <c r="X43" s="1553"/>
      <c r="Y43" s="3320"/>
      <c r="Z43" s="1561" t="str">
        <f t="shared" si="15"/>
        <v>内部装修</v>
      </c>
      <c r="AA43" s="1562">
        <f t="shared" si="3"/>
        <v>1</v>
      </c>
      <c r="AB43" s="1562">
        <f t="shared" si="4"/>
        <v>1</v>
      </c>
      <c r="AC43" s="1562">
        <f t="shared" si="5"/>
        <v>1</v>
      </c>
    </row>
    <row r="44" spans="1:29" ht="16">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20"/>
      <c r="Q44" s="1558" t="str">
        <f t="shared" si="11"/>
        <v>内部装修维护情况</v>
      </c>
      <c r="R44" s="1559" t="s">
        <v>8</v>
      </c>
      <c r="S44" s="1560">
        <f t="shared" si="12"/>
        <v>100</v>
      </c>
      <c r="T44" s="1559" t="s">
        <v>8</v>
      </c>
      <c r="U44" s="1560">
        <f t="shared" si="13"/>
        <v>100</v>
      </c>
      <c r="V44" s="1559" t="s">
        <v>8</v>
      </c>
      <c r="W44" s="1560">
        <f t="shared" si="14"/>
        <v>100</v>
      </c>
      <c r="X44" s="1553"/>
      <c r="Y44" s="3320"/>
      <c r="Z44" s="1561" t="str">
        <f t="shared" si="15"/>
        <v>内部装修维护情况</v>
      </c>
      <c r="AA44" s="1562">
        <f t="shared" si="3"/>
        <v>1</v>
      </c>
      <c r="AB44" s="1562">
        <f t="shared" si="4"/>
        <v>1</v>
      </c>
      <c r="AC44" s="1562">
        <f t="shared" si="5"/>
        <v>1</v>
      </c>
    </row>
    <row r="45" spans="1:29" s="1216" customFormat="1" ht="16">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20"/>
      <c r="Q45" s="1147">
        <f t="shared" si="11"/>
        <v>111</v>
      </c>
      <c r="R45" s="1554" t="s">
        <v>8</v>
      </c>
      <c r="S45" s="1555">
        <f t="shared" si="12"/>
        <v>100</v>
      </c>
      <c r="T45" s="1554" t="s">
        <v>8</v>
      </c>
      <c r="U45" s="1555">
        <f t="shared" si="13"/>
        <v>100</v>
      </c>
      <c r="V45" s="1554" t="s">
        <v>8</v>
      </c>
      <c r="W45" s="1555">
        <f t="shared" si="14"/>
        <v>100</v>
      </c>
      <c r="X45" s="1556"/>
      <c r="Y45" s="3320"/>
      <c r="Z45" s="1146">
        <f t="shared" si="15"/>
        <v>111</v>
      </c>
      <c r="AA45" s="1557">
        <f t="shared" si="3"/>
        <v>1</v>
      </c>
      <c r="AB45" s="1557">
        <f t="shared" si="4"/>
        <v>1</v>
      </c>
      <c r="AC45" s="1557">
        <f t="shared" si="5"/>
        <v>1</v>
      </c>
    </row>
    <row r="46" spans="1:29" ht="16">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20"/>
      <c r="Q46" s="1558">
        <f t="shared" si="11"/>
        <v>111</v>
      </c>
      <c r="R46" s="1559" t="s">
        <v>8</v>
      </c>
      <c r="S46" s="1560">
        <f t="shared" si="12"/>
        <v>100</v>
      </c>
      <c r="T46" s="1559" t="s">
        <v>8</v>
      </c>
      <c r="U46" s="1560">
        <f t="shared" si="13"/>
        <v>100</v>
      </c>
      <c r="V46" s="1559" t="s">
        <v>8</v>
      </c>
      <c r="W46" s="1560">
        <f t="shared" si="14"/>
        <v>100</v>
      </c>
      <c r="X46" s="1553"/>
      <c r="Y46" s="3320"/>
      <c r="Z46" s="1561">
        <f t="shared" si="15"/>
        <v>111</v>
      </c>
      <c r="AA46" s="1562">
        <f t="shared" si="3"/>
        <v>1</v>
      </c>
      <c r="AB46" s="1562">
        <f t="shared" si="4"/>
        <v>1</v>
      </c>
      <c r="AC46" s="1562">
        <f t="shared" si="5"/>
        <v>1</v>
      </c>
    </row>
    <row r="47" spans="1:29" ht="17"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8"/>
      <c r="Q47" s="1558">
        <f t="shared" si="11"/>
        <v>111</v>
      </c>
      <c r="R47" s="1559" t="s">
        <v>8</v>
      </c>
      <c r="S47" s="1560">
        <f t="shared" si="12"/>
        <v>100</v>
      </c>
      <c r="T47" s="1559" t="s">
        <v>8</v>
      </c>
      <c r="U47" s="1560">
        <f t="shared" si="13"/>
        <v>100</v>
      </c>
      <c r="V47" s="1559" t="s">
        <v>8</v>
      </c>
      <c r="W47" s="1560">
        <f t="shared" si="14"/>
        <v>100</v>
      </c>
      <c r="X47" s="1553"/>
      <c r="Y47" s="3498"/>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37" t="str">
        <f>A48</f>
        <v>成交单价（元/平方米）</v>
      </c>
      <c r="Q48" s="3315"/>
      <c r="R48" s="3497">
        <f>E48</f>
        <v>0</v>
      </c>
      <c r="S48" s="3497"/>
      <c r="T48" s="3497">
        <f>G48</f>
        <v>0</v>
      </c>
      <c r="U48" s="3497"/>
      <c r="V48" s="3497">
        <f>I48</f>
        <v>0</v>
      </c>
      <c r="W48" s="3497"/>
      <c r="X48" s="1545"/>
      <c r="Y48" s="1567"/>
      <c r="Z48" s="1545"/>
      <c r="AA48" s="1545"/>
      <c r="AB48" s="1545"/>
      <c r="AC48" s="1545"/>
    </row>
    <row r="49" spans="1:29" ht="1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37" t="str">
        <f>A49</f>
        <v>比较价格（元/平方米）</v>
      </c>
      <c r="Q49" s="3315"/>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5"/>
      <c r="Y49" s="1545"/>
      <c r="Z49" s="1545"/>
      <c r="AA49" s="1545"/>
      <c r="AB49" s="1545"/>
      <c r="AC49" s="1545"/>
    </row>
    <row r="50" spans="1:29" ht="15" thickBot="1">
      <c r="A50" s="621" t="s">
        <v>2934</v>
      </c>
      <c r="B50" s="622"/>
      <c r="C50" s="2600" t="e">
        <f>R50</f>
        <v>#DIV/0!</v>
      </c>
      <c r="D50" s="2600"/>
      <c r="E50" s="2600"/>
      <c r="F50" s="2600"/>
      <c r="G50" s="2600"/>
      <c r="H50" s="2600"/>
      <c r="I50" s="2600"/>
      <c r="J50" s="2600"/>
      <c r="K50" s="1598"/>
      <c r="L50" s="2129"/>
      <c r="M50" s="2119"/>
      <c r="N50" s="2119"/>
      <c r="O50" s="2119"/>
      <c r="P50" s="3502" t="str">
        <f>A50</f>
        <v>估价对象XX用房的比较价格（楼面单价，元/平方米）</v>
      </c>
      <c r="Q50" s="3337"/>
      <c r="R50" s="3496" t="e">
        <f>IF(F1="售价",ROUND(AVERAGE(R49:V49),0),ROUND(AVERAGE(R49:V49),1))</f>
        <v>#DIV/0!</v>
      </c>
      <c r="S50" s="3496"/>
      <c r="T50" s="3496"/>
      <c r="U50" s="3496"/>
      <c r="V50" s="3496"/>
      <c r="W50" s="349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2020-2</v>
      </c>
      <c r="D59" s="2759">
        <f>EDATE(C59,-1)</f>
        <v>43831</v>
      </c>
      <c r="E59" s="2759">
        <f t="shared" ref="E59:O59" si="16">EDATE(D59,-1)</f>
        <v>43800</v>
      </c>
      <c r="F59" s="2759">
        <f t="shared" si="16"/>
        <v>43770</v>
      </c>
      <c r="G59" s="2759">
        <f t="shared" si="16"/>
        <v>43739</v>
      </c>
      <c r="H59" s="2759">
        <f t="shared" si="16"/>
        <v>43709</v>
      </c>
      <c r="I59" s="2759">
        <f t="shared" si="16"/>
        <v>43678</v>
      </c>
      <c r="J59" s="2759">
        <f t="shared" si="16"/>
        <v>43647</v>
      </c>
      <c r="K59" s="2759">
        <f t="shared" si="16"/>
        <v>43617</v>
      </c>
      <c r="L59" s="2759">
        <f t="shared" si="16"/>
        <v>43586</v>
      </c>
      <c r="M59" s="2759">
        <f t="shared" si="16"/>
        <v>43556</v>
      </c>
      <c r="N59" s="2759">
        <f t="shared" si="16"/>
        <v>43525</v>
      </c>
      <c r="O59" s="2759">
        <f t="shared" si="16"/>
        <v>43497</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5">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31"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6"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6"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5">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6"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6"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6"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6"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31"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6"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6"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5">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6"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6"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6"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6"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6"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6"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6"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6"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6"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6"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16"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21" t="s">
        <v>522</v>
      </c>
      <c r="D4" s="3322"/>
      <c r="E4" s="3423" t="s">
        <v>523</v>
      </c>
      <c r="F4" s="3424"/>
      <c r="G4" s="3321" t="s">
        <v>524</v>
      </c>
      <c r="H4" s="3322"/>
      <c r="I4" s="3321" t="s">
        <v>525</v>
      </c>
      <c r="J4" s="3322"/>
      <c r="K4" s="514" t="s">
        <v>526</v>
      </c>
      <c r="L4" s="2118"/>
      <c r="M4" s="2119"/>
      <c r="N4" s="2119"/>
      <c r="O4" s="2119"/>
      <c r="P4" s="3323" t="s">
        <v>527</v>
      </c>
      <c r="Q4" s="3324"/>
      <c r="R4" s="3308" t="s">
        <v>523</v>
      </c>
      <c r="S4" s="3309"/>
      <c r="T4" s="3308" t="s">
        <v>524</v>
      </c>
      <c r="U4" s="3309"/>
      <c r="V4" s="3329" t="s">
        <v>525</v>
      </c>
      <c r="W4" s="3329"/>
      <c r="X4" s="1553"/>
      <c r="Y4" s="3308" t="s">
        <v>527</v>
      </c>
      <c r="Z4" s="3309"/>
      <c r="AA4" s="3303" t="s">
        <v>523</v>
      </c>
      <c r="AB4" s="3304" t="s">
        <v>524</v>
      </c>
      <c r="AC4" s="3303" t="s">
        <v>525</v>
      </c>
    </row>
    <row r="5" spans="1:29">
      <c r="A5" s="515"/>
      <c r="B5" s="516"/>
      <c r="C5" s="3332" t="s">
        <v>2928</v>
      </c>
      <c r="D5" s="3333"/>
      <c r="E5" s="3425" t="s">
        <v>2929</v>
      </c>
      <c r="F5" s="3426"/>
      <c r="G5" s="3332" t="s">
        <v>2930</v>
      </c>
      <c r="H5" s="3333"/>
      <c r="I5" s="3332" t="s">
        <v>2931</v>
      </c>
      <c r="J5" s="3333"/>
      <c r="K5" s="514"/>
      <c r="L5" s="2118"/>
      <c r="M5" s="2119"/>
      <c r="N5" s="2119"/>
      <c r="O5" s="2119"/>
      <c r="P5" s="3325"/>
      <c r="Q5" s="3326"/>
      <c r="R5" s="3310"/>
      <c r="S5" s="3311"/>
      <c r="T5" s="3310"/>
      <c r="U5" s="3311"/>
      <c r="V5" s="3329"/>
      <c r="W5" s="3329"/>
      <c r="X5" s="1553"/>
      <c r="Y5" s="3310"/>
      <c r="Z5" s="3311"/>
      <c r="AA5" s="3304"/>
      <c r="AB5" s="3304"/>
      <c r="AC5" s="3304"/>
    </row>
    <row r="6" spans="1:29" ht="16" thickBot="1">
      <c r="A6" s="517"/>
      <c r="B6" s="518"/>
      <c r="C6" s="3330" t="s">
        <v>2932</v>
      </c>
      <c r="D6" s="3331"/>
      <c r="E6" s="3427" t="s">
        <v>2932</v>
      </c>
      <c r="F6" s="3428"/>
      <c r="G6" s="3330" t="s">
        <v>2932</v>
      </c>
      <c r="H6" s="3331"/>
      <c r="I6" s="3330" t="s">
        <v>2932</v>
      </c>
      <c r="J6" s="3331"/>
      <c r="K6" s="514" t="s">
        <v>528</v>
      </c>
      <c r="L6" s="2118"/>
      <c r="M6" s="2119"/>
      <c r="N6" s="2119"/>
      <c r="O6" s="2119"/>
      <c r="P6" s="3327"/>
      <c r="Q6" s="3328"/>
      <c r="R6" s="3310"/>
      <c r="S6" s="3311"/>
      <c r="T6" s="3313"/>
      <c r="U6" s="3314"/>
      <c r="V6" s="3329"/>
      <c r="W6" s="3329"/>
      <c r="X6" s="1553"/>
      <c r="Y6" s="3313"/>
      <c r="Z6" s="3314"/>
      <c r="AA6" s="3305"/>
      <c r="AB6" s="3305"/>
      <c r="AC6" s="3305"/>
    </row>
    <row r="7" spans="1:29" s="1216" customFormat="1" ht="16" thickBot="1">
      <c r="A7" s="2867"/>
      <c r="B7" s="2874" t="s">
        <v>529</v>
      </c>
      <c r="C7" s="519">
        <f>'数据-取费表'!B2</f>
        <v>43875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06" t="s">
        <v>530</v>
      </c>
      <c r="Q7" s="3316"/>
      <c r="R7" s="1554" t="s">
        <v>8</v>
      </c>
      <c r="S7" s="1555">
        <f t="shared" ref="S7:S15" si="0">F7</f>
        <v>0</v>
      </c>
      <c r="T7" s="1554" t="s">
        <v>8</v>
      </c>
      <c r="U7" s="1555">
        <f t="shared" ref="U7:U15" si="1">H7</f>
        <v>0</v>
      </c>
      <c r="V7" s="1554" t="s">
        <v>8</v>
      </c>
      <c r="W7" s="1555">
        <f t="shared" ref="W7:W15" si="2">J7</f>
        <v>0</v>
      </c>
      <c r="X7" s="1556"/>
      <c r="Y7" s="3306" t="s">
        <v>530</v>
      </c>
      <c r="Z7" s="3307"/>
      <c r="AA7" s="1557" t="e">
        <f>D7/F7</f>
        <v>#DIV/0!</v>
      </c>
      <c r="AB7" s="1557" t="e">
        <f>D7/H7</f>
        <v>#DIV/0!</v>
      </c>
      <c r="AC7" s="1557" t="e">
        <f>D7/J7</f>
        <v>#DIV/0!</v>
      </c>
    </row>
    <row r="8" spans="1:29" s="1216" customFormat="1" ht="16"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06" t="s">
        <v>533</v>
      </c>
      <c r="Q8" s="3307"/>
      <c r="R8" s="1554" t="s">
        <v>8</v>
      </c>
      <c r="S8" s="1555">
        <f t="shared" si="0"/>
        <v>0</v>
      </c>
      <c r="T8" s="1554" t="s">
        <v>8</v>
      </c>
      <c r="U8" s="1555">
        <f t="shared" si="1"/>
        <v>0</v>
      </c>
      <c r="V8" s="1554" t="s">
        <v>8</v>
      </c>
      <c r="W8" s="1555">
        <f t="shared" si="2"/>
        <v>0</v>
      </c>
      <c r="X8" s="1556"/>
      <c r="Y8" s="3306" t="s">
        <v>533</v>
      </c>
      <c r="Z8" s="3307"/>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15"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15"/>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6">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15"/>
      <c r="Q11" s="1147" t="str">
        <f t="shared" si="6"/>
        <v>容积率</v>
      </c>
      <c r="R11" s="1554" t="s">
        <v>8</v>
      </c>
      <c r="S11" s="1555" t="e">
        <f t="shared" si="0"/>
        <v>#N/A</v>
      </c>
      <c r="T11" s="1554" t="s">
        <v>8</v>
      </c>
      <c r="U11" s="1555" t="e">
        <f t="shared" si="1"/>
        <v>#N/A</v>
      </c>
      <c r="V11" s="1554" t="s">
        <v>8</v>
      </c>
      <c r="W11" s="1555" t="e">
        <f t="shared" si="2"/>
        <v>#N/A</v>
      </c>
      <c r="X11" s="1556"/>
      <c r="Y11" s="3312"/>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15"/>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6">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15"/>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17"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15"/>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 t="shared" si="3"/>
        <v>1</v>
      </c>
      <c r="AB14" s="1557">
        <f t="shared" si="4"/>
        <v>1</v>
      </c>
      <c r="AC14" s="1557">
        <f t="shared" si="5"/>
        <v>1</v>
      </c>
    </row>
    <row r="15" spans="1:29" ht="60">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17" t="s">
        <v>540</v>
      </c>
      <c r="Q15" s="1558" t="str">
        <f t="shared" si="6"/>
        <v>产业集聚程度</v>
      </c>
      <c r="R15" s="1559" t="s">
        <v>8</v>
      </c>
      <c r="S15" s="1560">
        <f t="shared" si="0"/>
        <v>100</v>
      </c>
      <c r="T15" s="1559" t="s">
        <v>8</v>
      </c>
      <c r="U15" s="1560">
        <f t="shared" si="1"/>
        <v>100</v>
      </c>
      <c r="V15" s="1559" t="s">
        <v>8</v>
      </c>
      <c r="W15" s="1560">
        <f t="shared" si="2"/>
        <v>100</v>
      </c>
      <c r="X15" s="1553"/>
      <c r="Y15" s="3317" t="s">
        <v>540</v>
      </c>
      <c r="Z15" s="1561" t="str">
        <f t="shared" si="7"/>
        <v>产业集聚程度</v>
      </c>
      <c r="AA15" s="1562">
        <f t="shared" si="3"/>
        <v>1</v>
      </c>
      <c r="AB15" s="1562">
        <f t="shared" si="4"/>
        <v>1</v>
      </c>
      <c r="AC15" s="1562">
        <f t="shared" si="5"/>
        <v>1</v>
      </c>
    </row>
    <row r="16" spans="1:29" ht="16">
      <c r="A16" s="532"/>
      <c r="B16" s="869"/>
      <c r="C16" s="576"/>
      <c r="D16" s="555"/>
      <c r="E16" s="576"/>
      <c r="F16" s="557"/>
      <c r="G16" s="576"/>
      <c r="H16" s="559"/>
      <c r="I16" s="576"/>
      <c r="J16" s="555"/>
      <c r="K16" s="899"/>
      <c r="L16" s="2127"/>
      <c r="M16" s="2119"/>
      <c r="N16" s="2119"/>
      <c r="O16" s="2126"/>
      <c r="P16" s="3318"/>
      <c r="Q16" s="1558"/>
      <c r="R16" s="1559"/>
      <c r="S16" s="1560"/>
      <c r="T16" s="1559"/>
      <c r="U16" s="1560"/>
      <c r="V16" s="1559"/>
      <c r="W16" s="1560"/>
      <c r="X16" s="1553"/>
      <c r="Y16" s="3318"/>
      <c r="Z16" s="1561"/>
      <c r="AA16" s="1562">
        <v>1</v>
      </c>
      <c r="AB16" s="1562">
        <v>1</v>
      </c>
      <c r="AC16" s="1562">
        <v>1</v>
      </c>
    </row>
    <row r="17" spans="1:29" ht="90">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18"/>
      <c r="Q17" s="1558" t="str">
        <f>B17</f>
        <v>交通便捷度</v>
      </c>
      <c r="R17" s="1559" t="s">
        <v>8</v>
      </c>
      <c r="S17" s="1560">
        <f>F17</f>
        <v>100</v>
      </c>
      <c r="T17" s="1559" t="s">
        <v>8</v>
      </c>
      <c r="U17" s="1560">
        <f>H17</f>
        <v>100</v>
      </c>
      <c r="V17" s="1559" t="s">
        <v>8</v>
      </c>
      <c r="W17" s="1560">
        <f>J17</f>
        <v>100</v>
      </c>
      <c r="X17" s="1553"/>
      <c r="Y17" s="3318"/>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99"/>
      <c r="L18" s="2127"/>
      <c r="M18" s="2119"/>
      <c r="N18" s="2119"/>
      <c r="O18" s="2126"/>
      <c r="P18" s="3318"/>
      <c r="Q18" s="1558"/>
      <c r="R18" s="1559"/>
      <c r="S18" s="1560"/>
      <c r="T18" s="1559"/>
      <c r="U18" s="1560"/>
      <c r="V18" s="1559"/>
      <c r="W18" s="1560"/>
      <c r="X18" s="1553"/>
      <c r="Y18" s="3318"/>
      <c r="Z18" s="1561"/>
      <c r="AA18" s="1562">
        <v>1</v>
      </c>
      <c r="AB18" s="1562">
        <v>1</v>
      </c>
      <c r="AC18" s="1562">
        <v>1</v>
      </c>
    </row>
    <row r="19" spans="1:29" ht="4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18"/>
      <c r="Q19" s="1558" t="str">
        <f>B19</f>
        <v>公共配套设施</v>
      </c>
      <c r="R19" s="1559" t="s">
        <v>8</v>
      </c>
      <c r="S19" s="1560">
        <f>F19</f>
        <v>100</v>
      </c>
      <c r="T19" s="1559" t="s">
        <v>8</v>
      </c>
      <c r="U19" s="1560">
        <f>H19</f>
        <v>100</v>
      </c>
      <c r="V19" s="1559" t="s">
        <v>8</v>
      </c>
      <c r="W19" s="1560">
        <f>J19</f>
        <v>100</v>
      </c>
      <c r="X19" s="1553"/>
      <c r="Y19" s="3318"/>
      <c r="Z19" s="1561" t="str">
        <f>Q19</f>
        <v>公共配套设施</v>
      </c>
      <c r="AA19" s="1562">
        <f t="shared" si="3"/>
        <v>1</v>
      </c>
      <c r="AB19" s="1562">
        <f t="shared" si="4"/>
        <v>1</v>
      </c>
      <c r="AC19" s="1562">
        <f t="shared" si="5"/>
        <v>1</v>
      </c>
    </row>
    <row r="20" spans="1:29" ht="16">
      <c r="A20" s="532"/>
      <c r="B20" s="566"/>
      <c r="C20" s="576"/>
      <c r="D20" s="555"/>
      <c r="E20" s="556"/>
      <c r="F20" s="557"/>
      <c r="G20" s="558"/>
      <c r="H20" s="555"/>
      <c r="I20" s="556"/>
      <c r="J20" s="555"/>
      <c r="K20" s="899"/>
      <c r="L20" s="2127"/>
      <c r="M20" s="2119"/>
      <c r="N20" s="2119"/>
      <c r="O20" s="2126"/>
      <c r="P20" s="3318"/>
      <c r="Q20" s="1558"/>
      <c r="R20" s="1559"/>
      <c r="S20" s="1560"/>
      <c r="T20" s="1559"/>
      <c r="U20" s="1560"/>
      <c r="V20" s="1559"/>
      <c r="W20" s="1560"/>
      <c r="X20" s="1553"/>
      <c r="Y20" s="3318"/>
      <c r="Z20" s="1561"/>
      <c r="AA20" s="1562">
        <v>1</v>
      </c>
      <c r="AB20" s="1562">
        <v>1</v>
      </c>
      <c r="AC20" s="1562">
        <v>1</v>
      </c>
    </row>
    <row r="21" spans="1:29" ht="30">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18"/>
      <c r="Q21" s="2543" t="str">
        <f>B21</f>
        <v>基础设施水平</v>
      </c>
      <c r="R21" s="1559" t="s">
        <v>8</v>
      </c>
      <c r="S21" s="1560">
        <f>F21</f>
        <v>100</v>
      </c>
      <c r="T21" s="1559" t="s">
        <v>8</v>
      </c>
      <c r="U21" s="1560">
        <f>H21</f>
        <v>100</v>
      </c>
      <c r="V21" s="1559" t="s">
        <v>8</v>
      </c>
      <c r="W21" s="1560">
        <f>J21</f>
        <v>100</v>
      </c>
      <c r="X21" s="2545"/>
      <c r="Y21" s="3318"/>
      <c r="Z21" s="2544" t="str">
        <f>Q21</f>
        <v>基础设施水平</v>
      </c>
      <c r="AA21" s="1562">
        <f t="shared" ref="AA21" si="8">D21/F21</f>
        <v>1</v>
      </c>
      <c r="AB21" s="1562">
        <f t="shared" ref="AB21" si="9">D21/H21</f>
        <v>1</v>
      </c>
      <c r="AC21" s="1562">
        <f t="shared" ref="AC21" si="10">D21/J21</f>
        <v>1</v>
      </c>
    </row>
    <row r="22" spans="1:29" ht="16">
      <c r="A22" s="532"/>
      <c r="B22" s="578"/>
      <c r="C22" s="873"/>
      <c r="D22" s="555"/>
      <c r="E22" s="576"/>
      <c r="F22" s="557"/>
      <c r="G22" s="576"/>
      <c r="H22" s="555"/>
      <c r="I22" s="576"/>
      <c r="J22" s="555"/>
      <c r="K22" s="2566"/>
      <c r="L22" s="2127"/>
      <c r="M22" s="2119"/>
      <c r="N22" s="2119"/>
      <c r="O22" s="2126"/>
      <c r="P22" s="3318"/>
      <c r="Q22" s="2543"/>
      <c r="R22" s="1559"/>
      <c r="S22" s="1560"/>
      <c r="T22" s="1559"/>
      <c r="U22" s="1560"/>
      <c r="V22" s="1559"/>
      <c r="W22" s="1560"/>
      <c r="X22" s="2545"/>
      <c r="Y22" s="3318"/>
      <c r="Z22" s="2544"/>
      <c r="AA22" s="1562">
        <v>1</v>
      </c>
      <c r="AB22" s="1562">
        <v>1</v>
      </c>
      <c r="AC22" s="1562">
        <v>1</v>
      </c>
    </row>
    <row r="23" spans="1:29" ht="7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18"/>
      <c r="Q23" s="1558" t="str">
        <f>B23</f>
        <v>环境质量</v>
      </c>
      <c r="R23" s="1559" t="s">
        <v>8</v>
      </c>
      <c r="S23" s="1560">
        <f>F23</f>
        <v>100</v>
      </c>
      <c r="T23" s="1559" t="s">
        <v>8</v>
      </c>
      <c r="U23" s="1560">
        <f>H23</f>
        <v>100</v>
      </c>
      <c r="V23" s="1559" t="s">
        <v>8</v>
      </c>
      <c r="W23" s="1560">
        <f>J23</f>
        <v>100</v>
      </c>
      <c r="X23" s="1553"/>
      <c r="Y23" s="3318"/>
      <c r="Z23" s="1561" t="str">
        <f>Q23</f>
        <v>环境质量</v>
      </c>
      <c r="AA23" s="1562">
        <f t="shared" si="3"/>
        <v>1</v>
      </c>
      <c r="AB23" s="1562">
        <f t="shared" si="4"/>
        <v>1</v>
      </c>
      <c r="AC23" s="1562">
        <f t="shared" si="5"/>
        <v>1</v>
      </c>
    </row>
    <row r="24" spans="1:29" ht="16">
      <c r="A24" s="532"/>
      <c r="B24" s="922"/>
      <c r="C24" s="576"/>
      <c r="D24" s="555"/>
      <c r="E24" s="556"/>
      <c r="F24" s="557"/>
      <c r="G24" s="558"/>
      <c r="H24" s="555"/>
      <c r="I24" s="556"/>
      <c r="J24" s="555"/>
      <c r="K24" s="899"/>
      <c r="L24" s="2127"/>
      <c r="M24" s="2119"/>
      <c r="N24" s="2119"/>
      <c r="O24" s="2126"/>
      <c r="P24" s="3318"/>
      <c r="Q24" s="1558"/>
      <c r="R24" s="1559"/>
      <c r="S24" s="1560"/>
      <c r="T24" s="1559"/>
      <c r="U24" s="1560"/>
      <c r="V24" s="1559"/>
      <c r="W24" s="1560"/>
      <c r="X24" s="1553"/>
      <c r="Y24" s="3318"/>
      <c r="Z24" s="1561"/>
      <c r="AA24" s="1562">
        <v>1</v>
      </c>
      <c r="AB24" s="1562">
        <v>1</v>
      </c>
      <c r="AC24" s="1562">
        <v>1</v>
      </c>
    </row>
    <row r="25" spans="1:29" ht="16">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18"/>
      <c r="Q25" s="1558">
        <f>B25</f>
        <v>111</v>
      </c>
      <c r="R25" s="1559" t="s">
        <v>8</v>
      </c>
      <c r="S25" s="1560">
        <f>F25</f>
        <v>100</v>
      </c>
      <c r="T25" s="1559" t="s">
        <v>8</v>
      </c>
      <c r="U25" s="1560">
        <f>H25</f>
        <v>100</v>
      </c>
      <c r="V25" s="1559" t="s">
        <v>8</v>
      </c>
      <c r="W25" s="1560">
        <f>J25</f>
        <v>100</v>
      </c>
      <c r="X25" s="1553"/>
      <c r="Y25" s="3318"/>
      <c r="Z25" s="1561">
        <f>Q25</f>
        <v>111</v>
      </c>
      <c r="AA25" s="1562">
        <f t="shared" si="3"/>
        <v>1</v>
      </c>
      <c r="AB25" s="1562">
        <f t="shared" si="4"/>
        <v>1</v>
      </c>
      <c r="AC25" s="1562">
        <f t="shared" si="5"/>
        <v>1</v>
      </c>
    </row>
    <row r="26" spans="1:29" ht="16">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18"/>
      <c r="Q26" s="1558">
        <f t="shared" ref="Q26:Q40" si="11">B26</f>
        <v>111</v>
      </c>
      <c r="R26" s="1559" t="s">
        <v>8</v>
      </c>
      <c r="S26" s="1560">
        <f>F26</f>
        <v>100</v>
      </c>
      <c r="T26" s="1559" t="s">
        <v>8</v>
      </c>
      <c r="U26" s="1560">
        <f>H26</f>
        <v>100</v>
      </c>
      <c r="V26" s="1559" t="s">
        <v>8</v>
      </c>
      <c r="W26" s="1560">
        <f>J26</f>
        <v>100</v>
      </c>
      <c r="X26" s="1553"/>
      <c r="Y26" s="3318"/>
      <c r="Z26" s="1561">
        <f>Q26</f>
        <v>111</v>
      </c>
      <c r="AA26" s="1562">
        <f t="shared" si="3"/>
        <v>1</v>
      </c>
      <c r="AB26" s="1562">
        <f t="shared" si="4"/>
        <v>1</v>
      </c>
      <c r="AC26" s="1562">
        <f t="shared" si="5"/>
        <v>1</v>
      </c>
    </row>
    <row r="27" spans="1:29" s="1216" customFormat="1" ht="16">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18"/>
      <c r="Q27" s="1147">
        <f t="shared" si="11"/>
        <v>111</v>
      </c>
      <c r="R27" s="1554" t="s">
        <v>8</v>
      </c>
      <c r="S27" s="1555">
        <f>F27</f>
        <v>100</v>
      </c>
      <c r="T27" s="1554" t="s">
        <v>8</v>
      </c>
      <c r="U27" s="1555">
        <f>H27</f>
        <v>100</v>
      </c>
      <c r="V27" s="1554" t="s">
        <v>8</v>
      </c>
      <c r="W27" s="1555">
        <f>J27</f>
        <v>100</v>
      </c>
      <c r="X27" s="1556"/>
      <c r="Y27" s="3318"/>
      <c r="Z27" s="1146">
        <f>Q27</f>
        <v>111</v>
      </c>
      <c r="AA27" s="1562">
        <f>D27/F27</f>
        <v>1</v>
      </c>
      <c r="AB27" s="1562">
        <f>D27/H27</f>
        <v>1</v>
      </c>
      <c r="AC27" s="1562">
        <f>D27/J27</f>
        <v>1</v>
      </c>
    </row>
    <row r="28" spans="1:29" ht="17"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18"/>
      <c r="Q28" s="1558">
        <f t="shared" si="11"/>
        <v>111</v>
      </c>
      <c r="R28" s="1559" t="s">
        <v>8</v>
      </c>
      <c r="S28" s="1560">
        <f t="shared" ref="S28:S40" si="12">F28</f>
        <v>100</v>
      </c>
      <c r="T28" s="1559" t="s">
        <v>8</v>
      </c>
      <c r="U28" s="1560">
        <f t="shared" ref="U28:U40" si="13">H28</f>
        <v>100</v>
      </c>
      <c r="V28" s="1559" t="s">
        <v>8</v>
      </c>
      <c r="W28" s="1560">
        <f t="shared" ref="W28:W40" si="14">J28</f>
        <v>100</v>
      </c>
      <c r="X28" s="1553"/>
      <c r="Y28" s="3318"/>
      <c r="Z28" s="1561">
        <f t="shared" ref="Z28:Z40" si="15">Q28</f>
        <v>111</v>
      </c>
      <c r="AA28" s="1562">
        <f t="shared" si="3"/>
        <v>1</v>
      </c>
      <c r="AB28" s="1562">
        <f t="shared" si="4"/>
        <v>1</v>
      </c>
      <c r="AC28" s="1562">
        <f t="shared" si="5"/>
        <v>1</v>
      </c>
    </row>
    <row r="29" spans="1:29" ht="16">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19" t="s">
        <v>550</v>
      </c>
      <c r="Q29" s="1558" t="str">
        <f t="shared" si="11"/>
        <v>建筑类型</v>
      </c>
      <c r="R29" s="1559" t="s">
        <v>8</v>
      </c>
      <c r="S29" s="1560">
        <f t="shared" si="12"/>
        <v>100</v>
      </c>
      <c r="T29" s="1559" t="s">
        <v>8</v>
      </c>
      <c r="U29" s="1560">
        <f t="shared" si="13"/>
        <v>100</v>
      </c>
      <c r="V29" s="1559" t="s">
        <v>8</v>
      </c>
      <c r="W29" s="1560">
        <f t="shared" si="14"/>
        <v>100</v>
      </c>
      <c r="X29" s="1553"/>
      <c r="Y29" s="3320" t="s">
        <v>550</v>
      </c>
      <c r="Z29" s="1561" t="str">
        <f t="shared" si="15"/>
        <v>建筑类型</v>
      </c>
      <c r="AA29" s="1562">
        <f t="shared" si="3"/>
        <v>1</v>
      </c>
      <c r="AB29" s="1562">
        <f t="shared" si="4"/>
        <v>1</v>
      </c>
      <c r="AC29" s="1562">
        <f t="shared" si="5"/>
        <v>1</v>
      </c>
    </row>
    <row r="30" spans="1:29" s="1335" customFormat="1" ht="16">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20"/>
      <c r="Q30" s="1590" t="str">
        <f t="shared" si="11"/>
        <v>项目建筑规模</v>
      </c>
      <c r="R30" s="1563" t="s">
        <v>8</v>
      </c>
      <c r="S30" s="1564" t="e">
        <f t="shared" si="12"/>
        <v>#N/A</v>
      </c>
      <c r="T30" s="1563" t="s">
        <v>8</v>
      </c>
      <c r="U30" s="1564" t="e">
        <f t="shared" si="13"/>
        <v>#N/A</v>
      </c>
      <c r="V30" s="1563" t="s">
        <v>8</v>
      </c>
      <c r="W30" s="1564" t="e">
        <f t="shared" si="14"/>
        <v>#N/A</v>
      </c>
      <c r="X30" s="1565"/>
      <c r="Y30" s="3320"/>
      <c r="Z30" s="1566" t="str">
        <f t="shared" si="15"/>
        <v>项目建筑规模</v>
      </c>
      <c r="AA30" s="1562" t="e">
        <f t="shared" si="3"/>
        <v>#N/A</v>
      </c>
      <c r="AB30" s="1562" t="e">
        <f t="shared" si="4"/>
        <v>#N/A</v>
      </c>
      <c r="AC30" s="1562" t="e">
        <f t="shared" si="5"/>
        <v>#N/A</v>
      </c>
    </row>
    <row r="31" spans="1:29" ht="16">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20"/>
      <c r="Q31" s="1558" t="str">
        <f t="shared" si="11"/>
        <v>建筑结构</v>
      </c>
      <c r="R31" s="1559" t="s">
        <v>8</v>
      </c>
      <c r="S31" s="1560">
        <f t="shared" si="12"/>
        <v>100</v>
      </c>
      <c r="T31" s="1559" t="s">
        <v>8</v>
      </c>
      <c r="U31" s="1560">
        <f t="shared" si="13"/>
        <v>100</v>
      </c>
      <c r="V31" s="1559" t="s">
        <v>8</v>
      </c>
      <c r="W31" s="1560">
        <f t="shared" si="14"/>
        <v>100</v>
      </c>
      <c r="X31" s="1553"/>
      <c r="Y31" s="3320"/>
      <c r="Z31" s="1561" t="str">
        <f t="shared" si="15"/>
        <v>建筑结构</v>
      </c>
      <c r="AA31" s="1562">
        <f t="shared" si="3"/>
        <v>1</v>
      </c>
      <c r="AB31" s="1562">
        <f t="shared" si="4"/>
        <v>1</v>
      </c>
      <c r="AC31" s="1562">
        <f t="shared" si="5"/>
        <v>1</v>
      </c>
    </row>
    <row r="32" spans="1:29" ht="16">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20"/>
      <c r="Q32" s="1558" t="str">
        <f t="shared" si="11"/>
        <v>公共部分装修</v>
      </c>
      <c r="R32" s="1559" t="s">
        <v>8</v>
      </c>
      <c r="S32" s="1560">
        <f t="shared" si="12"/>
        <v>100</v>
      </c>
      <c r="T32" s="1559" t="s">
        <v>8</v>
      </c>
      <c r="U32" s="1560">
        <f t="shared" si="13"/>
        <v>100</v>
      </c>
      <c r="V32" s="1559" t="s">
        <v>8</v>
      </c>
      <c r="W32" s="1560">
        <f t="shared" si="14"/>
        <v>100</v>
      </c>
      <c r="X32" s="1553"/>
      <c r="Y32" s="3320"/>
      <c r="Z32" s="1561" t="str">
        <f t="shared" si="15"/>
        <v>公共部分装修</v>
      </c>
      <c r="AA32" s="1562">
        <f t="shared" si="3"/>
        <v>1</v>
      </c>
      <c r="AB32" s="1562">
        <f t="shared" si="4"/>
        <v>1</v>
      </c>
      <c r="AC32" s="1562">
        <f t="shared" si="5"/>
        <v>1</v>
      </c>
    </row>
    <row r="33" spans="1:29" ht="16">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20"/>
      <c r="Q33" s="1558" t="str">
        <f t="shared" si="11"/>
        <v>成新度</v>
      </c>
      <c r="R33" s="1559" t="s">
        <v>8</v>
      </c>
      <c r="S33" s="1560" t="e">
        <f t="shared" si="12"/>
        <v>#N/A</v>
      </c>
      <c r="T33" s="1559" t="s">
        <v>8</v>
      </c>
      <c r="U33" s="1560" t="e">
        <f t="shared" si="13"/>
        <v>#N/A</v>
      </c>
      <c r="V33" s="1559" t="s">
        <v>8</v>
      </c>
      <c r="W33" s="1560" t="e">
        <f t="shared" si="14"/>
        <v>#N/A</v>
      </c>
      <c r="X33" s="1553"/>
      <c r="Y33" s="3320"/>
      <c r="Z33" s="1561" t="str">
        <f t="shared" si="15"/>
        <v>成新度</v>
      </c>
      <c r="AA33" s="1562" t="e">
        <f t="shared" si="3"/>
        <v>#N/A</v>
      </c>
      <c r="AB33" s="1562" t="e">
        <f t="shared" si="4"/>
        <v>#N/A</v>
      </c>
      <c r="AC33" s="1562" t="e">
        <f t="shared" si="5"/>
        <v>#N/A</v>
      </c>
    </row>
    <row r="34" spans="1:29" s="1216" customFormat="1" ht="16">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20"/>
      <c r="Q34" s="1147" t="str">
        <f t="shared" si="11"/>
        <v>物业管理</v>
      </c>
      <c r="R34" s="1554" t="s">
        <v>8</v>
      </c>
      <c r="S34" s="1555">
        <f t="shared" si="12"/>
        <v>100</v>
      </c>
      <c r="T34" s="1554" t="s">
        <v>8</v>
      </c>
      <c r="U34" s="1555">
        <f t="shared" si="13"/>
        <v>100</v>
      </c>
      <c r="V34" s="1554" t="s">
        <v>8</v>
      </c>
      <c r="W34" s="1555">
        <f t="shared" si="14"/>
        <v>100</v>
      </c>
      <c r="X34" s="1556"/>
      <c r="Y34" s="3320"/>
      <c r="Z34" s="1146" t="str">
        <f t="shared" si="15"/>
        <v>物业管理</v>
      </c>
      <c r="AA34" s="1557">
        <f t="shared" si="3"/>
        <v>1</v>
      </c>
      <c r="AB34" s="1557">
        <f t="shared" si="4"/>
        <v>1</v>
      </c>
      <c r="AC34" s="1557">
        <f t="shared" si="5"/>
        <v>1</v>
      </c>
    </row>
    <row r="35" spans="1:29" ht="16">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20" t="s">
        <v>550</v>
      </c>
      <c r="Q35" s="1558" t="str">
        <f t="shared" si="11"/>
        <v>市政基础设施</v>
      </c>
      <c r="R35" s="1559" t="s">
        <v>8</v>
      </c>
      <c r="S35" s="1560">
        <f t="shared" si="12"/>
        <v>100</v>
      </c>
      <c r="T35" s="1559" t="s">
        <v>8</v>
      </c>
      <c r="U35" s="1560">
        <f t="shared" si="13"/>
        <v>100</v>
      </c>
      <c r="V35" s="1559" t="s">
        <v>8</v>
      </c>
      <c r="W35" s="1560">
        <f t="shared" si="14"/>
        <v>100</v>
      </c>
      <c r="X35" s="1553"/>
      <c r="Y35" s="3320" t="s">
        <v>550</v>
      </c>
      <c r="Z35" s="1561" t="str">
        <f t="shared" si="15"/>
        <v>市政基础设施</v>
      </c>
      <c r="AA35" s="1562">
        <f t="shared" si="3"/>
        <v>1</v>
      </c>
      <c r="AB35" s="1562">
        <f t="shared" si="4"/>
        <v>1</v>
      </c>
      <c r="AC35" s="1562">
        <f t="shared" si="5"/>
        <v>1</v>
      </c>
    </row>
    <row r="36" spans="1:29" ht="16">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20"/>
      <c r="Q36" s="1558" t="str">
        <f t="shared" si="11"/>
        <v>内部装修</v>
      </c>
      <c r="R36" s="1559" t="s">
        <v>8</v>
      </c>
      <c r="S36" s="1560">
        <f t="shared" si="12"/>
        <v>100</v>
      </c>
      <c r="T36" s="1559" t="s">
        <v>8</v>
      </c>
      <c r="U36" s="1560">
        <f t="shared" si="13"/>
        <v>100</v>
      </c>
      <c r="V36" s="1559" t="s">
        <v>8</v>
      </c>
      <c r="W36" s="1560">
        <f t="shared" si="14"/>
        <v>100</v>
      </c>
      <c r="X36" s="1553"/>
      <c r="Y36" s="3320"/>
      <c r="Z36" s="1561" t="str">
        <f t="shared" si="15"/>
        <v>内部装修</v>
      </c>
      <c r="AA36" s="1562">
        <f t="shared" si="3"/>
        <v>1</v>
      </c>
      <c r="AB36" s="1562">
        <f t="shared" si="4"/>
        <v>1</v>
      </c>
      <c r="AC36" s="1562">
        <f t="shared" si="5"/>
        <v>1</v>
      </c>
    </row>
    <row r="37" spans="1:29" ht="16">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20"/>
      <c r="Q37" s="1558" t="str">
        <f t="shared" si="11"/>
        <v>内部装修状况</v>
      </c>
      <c r="R37" s="1559" t="s">
        <v>8</v>
      </c>
      <c r="S37" s="1560">
        <f t="shared" si="12"/>
        <v>100</v>
      </c>
      <c r="T37" s="1559" t="s">
        <v>8</v>
      </c>
      <c r="U37" s="1560">
        <f t="shared" si="13"/>
        <v>100</v>
      </c>
      <c r="V37" s="1559" t="s">
        <v>8</v>
      </c>
      <c r="W37" s="1560">
        <f t="shared" si="14"/>
        <v>100</v>
      </c>
      <c r="X37" s="1553"/>
      <c r="Y37" s="3320"/>
      <c r="Z37" s="1561" t="str">
        <f t="shared" si="15"/>
        <v>内部装修状况</v>
      </c>
      <c r="AA37" s="1562">
        <f t="shared" si="3"/>
        <v>1</v>
      </c>
      <c r="AB37" s="1562">
        <f t="shared" si="4"/>
        <v>1</v>
      </c>
      <c r="AC37" s="1562">
        <f t="shared" si="5"/>
        <v>1</v>
      </c>
    </row>
    <row r="38" spans="1:29" s="1335" customFormat="1" ht="16">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20"/>
      <c r="Q38" s="1590">
        <f t="shared" si="11"/>
        <v>111</v>
      </c>
      <c r="R38" s="1563" t="s">
        <v>8</v>
      </c>
      <c r="S38" s="1564">
        <f t="shared" si="12"/>
        <v>100</v>
      </c>
      <c r="T38" s="1563" t="s">
        <v>8</v>
      </c>
      <c r="U38" s="1564">
        <f t="shared" si="13"/>
        <v>100</v>
      </c>
      <c r="V38" s="1563" t="s">
        <v>8</v>
      </c>
      <c r="W38" s="1564">
        <f t="shared" si="14"/>
        <v>100</v>
      </c>
      <c r="X38" s="1565"/>
      <c r="Y38" s="3320"/>
      <c r="Z38" s="1566">
        <f t="shared" si="15"/>
        <v>111</v>
      </c>
      <c r="AA38" s="1562">
        <f t="shared" si="3"/>
        <v>1</v>
      </c>
      <c r="AB38" s="1562">
        <f t="shared" si="4"/>
        <v>1</v>
      </c>
      <c r="AC38" s="1562">
        <f t="shared" si="5"/>
        <v>1</v>
      </c>
    </row>
    <row r="39" spans="1:29" ht="16">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20"/>
      <c r="Q39" s="1558">
        <f t="shared" si="11"/>
        <v>111</v>
      </c>
      <c r="R39" s="1559" t="s">
        <v>8</v>
      </c>
      <c r="S39" s="1560">
        <f t="shared" si="12"/>
        <v>100</v>
      </c>
      <c r="T39" s="1559" t="s">
        <v>8</v>
      </c>
      <c r="U39" s="1560">
        <f t="shared" si="13"/>
        <v>100</v>
      </c>
      <c r="V39" s="1559" t="s">
        <v>8</v>
      </c>
      <c r="W39" s="1560">
        <f t="shared" si="14"/>
        <v>100</v>
      </c>
      <c r="X39" s="1553"/>
      <c r="Y39" s="3320"/>
      <c r="Z39" s="1561">
        <f t="shared" si="15"/>
        <v>111</v>
      </c>
      <c r="AA39" s="1562">
        <f t="shared" si="3"/>
        <v>1</v>
      </c>
      <c r="AB39" s="1562">
        <f t="shared" si="4"/>
        <v>1</v>
      </c>
      <c r="AC39" s="1562">
        <f t="shared" si="5"/>
        <v>1</v>
      </c>
    </row>
    <row r="40" spans="1:29" ht="17"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8"/>
      <c r="Q40" s="1558">
        <f t="shared" si="11"/>
        <v>111</v>
      </c>
      <c r="R40" s="1559" t="s">
        <v>8</v>
      </c>
      <c r="S40" s="1560">
        <f t="shared" si="12"/>
        <v>100</v>
      </c>
      <c r="T40" s="1559" t="s">
        <v>8</v>
      </c>
      <c r="U40" s="1560">
        <f t="shared" si="13"/>
        <v>100</v>
      </c>
      <c r="V40" s="1559" t="s">
        <v>8</v>
      </c>
      <c r="W40" s="1560">
        <f t="shared" si="14"/>
        <v>100</v>
      </c>
      <c r="X40" s="1553"/>
      <c r="Y40" s="3498"/>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15" t="str">
        <f>A41</f>
        <v>成交单价（元/平方米）</v>
      </c>
      <c r="Q41" s="3315"/>
      <c r="R41" s="3497">
        <f>E41</f>
        <v>0</v>
      </c>
      <c r="S41" s="3497"/>
      <c r="T41" s="3497">
        <f>G41</f>
        <v>0</v>
      </c>
      <c r="U41" s="3497"/>
      <c r="V41" s="3497">
        <f>I41</f>
        <v>0</v>
      </c>
      <c r="W41" s="3497"/>
      <c r="X41" s="1545"/>
      <c r="Y41" s="1567"/>
      <c r="Z41" s="1545"/>
      <c r="AA41" s="1545"/>
      <c r="AB41" s="1545"/>
      <c r="AC41" s="1545"/>
    </row>
    <row r="42" spans="1:29" ht="1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15" t="str">
        <f>A42</f>
        <v>比较价格（元/平方米）</v>
      </c>
      <c r="Q42" s="3315"/>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5"/>
      <c r="Y42" s="1545"/>
      <c r="Z42" s="1545"/>
      <c r="AA42" s="1545"/>
      <c r="AB42" s="1545"/>
      <c r="AC42" s="1545"/>
    </row>
    <row r="43" spans="1:29" ht="15" thickBot="1">
      <c r="A43" s="621" t="s">
        <v>2934</v>
      </c>
      <c r="B43" s="622"/>
      <c r="C43" s="2600" t="e">
        <f>R43</f>
        <v>#DIV/0!</v>
      </c>
      <c r="D43" s="2600"/>
      <c r="E43" s="2600"/>
      <c r="F43" s="2600"/>
      <c r="G43" s="2600"/>
      <c r="H43" s="2600"/>
      <c r="I43" s="2600"/>
      <c r="J43" s="2600"/>
      <c r="K43" s="1598"/>
      <c r="L43" s="2129"/>
      <c r="M43" s="2130"/>
      <c r="N43" s="2130"/>
      <c r="O43" s="2130"/>
      <c r="P43" s="3336" t="str">
        <f>A43</f>
        <v>估价对象XX用房的比较价格（楼面单价，元/平方米）</v>
      </c>
      <c r="Q43" s="3337"/>
      <c r="R43" s="3496" t="e">
        <f>IF(F1="售价",ROUND(AVERAGE(R42:V42),0),ROUND(AVERAGE(R42:V42),1))</f>
        <v>#DIV/0!</v>
      </c>
      <c r="S43" s="3496"/>
      <c r="T43" s="3496"/>
      <c r="U43" s="3496"/>
      <c r="V43" s="3496"/>
      <c r="W43" s="349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2020-2</v>
      </c>
      <c r="D52" s="2759">
        <f>EDATE(C52,-1)</f>
        <v>43831</v>
      </c>
      <c r="E52" s="2759">
        <f t="shared" ref="E52:O52" si="16">EDATE(D52,-1)</f>
        <v>43800</v>
      </c>
      <c r="F52" s="2759">
        <f t="shared" si="16"/>
        <v>43770</v>
      </c>
      <c r="G52" s="2759">
        <f t="shared" si="16"/>
        <v>43739</v>
      </c>
      <c r="H52" s="2759">
        <f t="shared" si="16"/>
        <v>43709</v>
      </c>
      <c r="I52" s="2759">
        <f t="shared" si="16"/>
        <v>43678</v>
      </c>
      <c r="J52" s="2759">
        <f t="shared" si="16"/>
        <v>43647</v>
      </c>
      <c r="K52" s="2759">
        <f t="shared" si="16"/>
        <v>43617</v>
      </c>
      <c r="L52" s="2759">
        <f t="shared" si="16"/>
        <v>43586</v>
      </c>
      <c r="M52" s="2759">
        <f t="shared" si="16"/>
        <v>43556</v>
      </c>
      <c r="N52" s="2759">
        <f t="shared" si="16"/>
        <v>43525</v>
      </c>
      <c r="O52" s="2759">
        <f t="shared" si="16"/>
        <v>43497</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5">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31"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6"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6"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5">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6"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6"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6"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5">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6"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6"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6"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6"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6"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6"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6"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16"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21" t="s">
        <v>798</v>
      </c>
      <c r="D4" s="3322"/>
      <c r="E4" s="3321" t="s">
        <v>799</v>
      </c>
      <c r="F4" s="3322"/>
      <c r="G4" s="3321" t="s">
        <v>800</v>
      </c>
      <c r="H4" s="3322"/>
      <c r="I4" s="3321" t="s">
        <v>801</v>
      </c>
      <c r="J4" s="3322"/>
      <c r="K4" s="514" t="s">
        <v>802</v>
      </c>
      <c r="L4" s="2118"/>
      <c r="M4" s="2119"/>
      <c r="N4" s="2119"/>
      <c r="O4" s="2119"/>
      <c r="P4" s="3323" t="s">
        <v>803</v>
      </c>
      <c r="Q4" s="3324"/>
      <c r="R4" s="3308" t="s">
        <v>799</v>
      </c>
      <c r="S4" s="3309"/>
      <c r="T4" s="3308" t="s">
        <v>800</v>
      </c>
      <c r="U4" s="3309"/>
      <c r="V4" s="3329" t="s">
        <v>801</v>
      </c>
      <c r="W4" s="3329"/>
      <c r="X4" s="1553"/>
      <c r="Y4" s="3308" t="s">
        <v>803</v>
      </c>
      <c r="Z4" s="3309"/>
      <c r="AA4" s="3303" t="s">
        <v>799</v>
      </c>
      <c r="AB4" s="3304" t="s">
        <v>800</v>
      </c>
      <c r="AC4" s="3303" t="s">
        <v>801</v>
      </c>
    </row>
    <row r="5" spans="1:29">
      <c r="A5" s="515"/>
      <c r="B5" s="516"/>
      <c r="C5" s="3332" t="s">
        <v>2928</v>
      </c>
      <c r="D5" s="3333"/>
      <c r="E5" s="3332" t="s">
        <v>2929</v>
      </c>
      <c r="F5" s="3333"/>
      <c r="G5" s="3332" t="s">
        <v>2930</v>
      </c>
      <c r="H5" s="3333"/>
      <c r="I5" s="3332" t="s">
        <v>2931</v>
      </c>
      <c r="J5" s="3333"/>
      <c r="K5" s="514"/>
      <c r="L5" s="2118"/>
      <c r="M5" s="2119"/>
      <c r="N5" s="2119"/>
      <c r="O5" s="2119"/>
      <c r="P5" s="3325"/>
      <c r="Q5" s="3326"/>
      <c r="R5" s="3310"/>
      <c r="S5" s="3311"/>
      <c r="T5" s="3310"/>
      <c r="U5" s="3311"/>
      <c r="V5" s="3329"/>
      <c r="W5" s="3329"/>
      <c r="X5" s="1553"/>
      <c r="Y5" s="3310"/>
      <c r="Z5" s="3311"/>
      <c r="AA5" s="3304"/>
      <c r="AB5" s="3304"/>
      <c r="AC5" s="3304"/>
    </row>
    <row r="6" spans="1:29" ht="16" thickBot="1">
      <c r="A6" s="517"/>
      <c r="B6" s="518"/>
      <c r="C6" s="3330" t="s">
        <v>2932</v>
      </c>
      <c r="D6" s="3331"/>
      <c r="E6" s="3334" t="s">
        <v>2932</v>
      </c>
      <c r="F6" s="3335"/>
      <c r="G6" s="3330" t="s">
        <v>2932</v>
      </c>
      <c r="H6" s="3331"/>
      <c r="I6" s="3330" t="s">
        <v>2932</v>
      </c>
      <c r="J6" s="3331"/>
      <c r="K6" s="514" t="s">
        <v>528</v>
      </c>
      <c r="L6" s="2118"/>
      <c r="M6" s="2119"/>
      <c r="N6" s="2119"/>
      <c r="O6" s="2119"/>
      <c r="P6" s="3327"/>
      <c r="Q6" s="3328"/>
      <c r="R6" s="3310"/>
      <c r="S6" s="3311"/>
      <c r="T6" s="3313"/>
      <c r="U6" s="3314"/>
      <c r="V6" s="3329"/>
      <c r="W6" s="3329"/>
      <c r="X6" s="1553"/>
      <c r="Y6" s="3313"/>
      <c r="Z6" s="3314"/>
      <c r="AA6" s="3305"/>
      <c r="AB6" s="3305"/>
      <c r="AC6" s="3305"/>
    </row>
    <row r="7" spans="1:29" s="1216" customFormat="1" ht="16" thickBot="1">
      <c r="A7" s="2867"/>
      <c r="B7" s="2874" t="s">
        <v>529</v>
      </c>
      <c r="C7" s="519">
        <f>'数据-取费表'!B2</f>
        <v>43875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06" t="s">
        <v>530</v>
      </c>
      <c r="Q7" s="3316"/>
      <c r="R7" s="1554" t="s">
        <v>8</v>
      </c>
      <c r="S7" s="1555">
        <f t="shared" ref="S7:S14" si="0">F7</f>
        <v>0</v>
      </c>
      <c r="T7" s="1554" t="s">
        <v>8</v>
      </c>
      <c r="U7" s="1555">
        <f t="shared" ref="U7:U14" si="1">H7</f>
        <v>0</v>
      </c>
      <c r="V7" s="1554" t="s">
        <v>8</v>
      </c>
      <c r="W7" s="1555">
        <f t="shared" ref="W7:W14" si="2">J7</f>
        <v>0</v>
      </c>
      <c r="X7" s="1556"/>
      <c r="Y7" s="3306" t="s">
        <v>530</v>
      </c>
      <c r="Z7" s="3307"/>
      <c r="AA7" s="1557" t="e">
        <f>D7/F7</f>
        <v>#DIV/0!</v>
      </c>
      <c r="AB7" s="1557" t="e">
        <f>D7/H7</f>
        <v>#DIV/0!</v>
      </c>
      <c r="AC7" s="1557" t="e">
        <f>D7/J7</f>
        <v>#DIV/0!</v>
      </c>
    </row>
    <row r="8" spans="1:29" s="1216" customFormat="1" ht="16"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06" t="s">
        <v>533</v>
      </c>
      <c r="Q8" s="3307"/>
      <c r="R8" s="1554" t="s">
        <v>8</v>
      </c>
      <c r="S8" s="1555">
        <f t="shared" si="0"/>
        <v>0</v>
      </c>
      <c r="T8" s="1554" t="s">
        <v>8</v>
      </c>
      <c r="U8" s="1555">
        <f t="shared" si="1"/>
        <v>0</v>
      </c>
      <c r="V8" s="1554" t="s">
        <v>8</v>
      </c>
      <c r="W8" s="1555">
        <f t="shared" si="2"/>
        <v>0</v>
      </c>
      <c r="X8" s="1556"/>
      <c r="Y8" s="3306" t="s">
        <v>533</v>
      </c>
      <c r="Z8" s="3307"/>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15" t="s">
        <v>535</v>
      </c>
      <c r="Q9" s="1147" t="str">
        <f t="shared" ref="Q9:Q14" si="6">B9</f>
        <v>用途</v>
      </c>
      <c r="R9" s="1554" t="s">
        <v>8</v>
      </c>
      <c r="S9" s="1555">
        <f t="shared" si="0"/>
        <v>100</v>
      </c>
      <c r="T9" s="1554" t="s">
        <v>8</v>
      </c>
      <c r="U9" s="1555">
        <f t="shared" si="1"/>
        <v>100</v>
      </c>
      <c r="V9" s="1554" t="s">
        <v>8</v>
      </c>
      <c r="W9" s="1555">
        <f t="shared" si="2"/>
        <v>100</v>
      </c>
      <c r="X9" s="1556"/>
      <c r="Y9" s="3312" t="s">
        <v>536</v>
      </c>
      <c r="Z9" s="1146" t="str">
        <f t="shared" ref="Z9:Z14" si="7">Q9</f>
        <v>用途</v>
      </c>
      <c r="AA9" s="1557">
        <f t="shared" si="3"/>
        <v>1</v>
      </c>
      <c r="AB9" s="1557">
        <f t="shared" si="4"/>
        <v>1</v>
      </c>
      <c r="AC9" s="1557">
        <f t="shared" si="5"/>
        <v>1</v>
      </c>
    </row>
    <row r="10" spans="1:29" s="1334" customFormat="1" ht="30">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15"/>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6">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15"/>
      <c r="Q11" s="1147">
        <f t="shared" si="6"/>
        <v>111</v>
      </c>
      <c r="R11" s="1554" t="s">
        <v>8</v>
      </c>
      <c r="S11" s="1555">
        <f t="shared" si="0"/>
        <v>100</v>
      </c>
      <c r="T11" s="1554" t="s">
        <v>8</v>
      </c>
      <c r="U11" s="1555">
        <f t="shared" si="1"/>
        <v>100</v>
      </c>
      <c r="V11" s="1554" t="s">
        <v>8</v>
      </c>
      <c r="W11" s="1555">
        <f t="shared" si="2"/>
        <v>100</v>
      </c>
      <c r="X11" s="1556"/>
      <c r="Y11" s="3312"/>
      <c r="Z11" s="1146">
        <f t="shared" si="7"/>
        <v>111</v>
      </c>
      <c r="AA11" s="1557">
        <f t="shared" si="3"/>
        <v>1</v>
      </c>
      <c r="AB11" s="1557">
        <f t="shared" si="4"/>
        <v>1</v>
      </c>
      <c r="AC11" s="1557">
        <f t="shared" si="5"/>
        <v>1</v>
      </c>
    </row>
    <row r="12" spans="1:29" s="1216" customFormat="1" ht="16">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15"/>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7"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15"/>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90">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17" t="s">
        <v>540</v>
      </c>
      <c r="Q14" s="1558" t="str">
        <f t="shared" si="6"/>
        <v>交通便捷度</v>
      </c>
      <c r="R14" s="1559" t="s">
        <v>8</v>
      </c>
      <c r="S14" s="1560">
        <f t="shared" si="0"/>
        <v>100</v>
      </c>
      <c r="T14" s="1559" t="s">
        <v>8</v>
      </c>
      <c r="U14" s="1560">
        <f t="shared" si="1"/>
        <v>100</v>
      </c>
      <c r="V14" s="1559" t="s">
        <v>8</v>
      </c>
      <c r="W14" s="1560">
        <f t="shared" si="2"/>
        <v>100</v>
      </c>
      <c r="X14" s="1553"/>
      <c r="Y14" s="3317" t="s">
        <v>540</v>
      </c>
      <c r="Z14" s="1561" t="str">
        <f t="shared" si="7"/>
        <v>交通便捷度</v>
      </c>
      <c r="AA14" s="1562">
        <f t="shared" si="3"/>
        <v>1</v>
      </c>
      <c r="AB14" s="1562">
        <f t="shared" si="4"/>
        <v>1</v>
      </c>
      <c r="AC14" s="1562">
        <f t="shared" si="5"/>
        <v>1</v>
      </c>
    </row>
    <row r="15" spans="1:29" ht="16">
      <c r="A15" s="515"/>
      <c r="B15" s="924"/>
      <c r="C15" s="576"/>
      <c r="D15" s="555"/>
      <c r="E15" s="576"/>
      <c r="F15" s="557"/>
      <c r="G15" s="576"/>
      <c r="H15" s="559"/>
      <c r="I15" s="576"/>
      <c r="J15" s="555"/>
      <c r="K15" s="899"/>
      <c r="L15" s="2127"/>
      <c r="M15" s="2119"/>
      <c r="N15" s="2119"/>
      <c r="O15" s="2126"/>
      <c r="P15" s="3318"/>
      <c r="Q15" s="1558"/>
      <c r="R15" s="1559"/>
      <c r="S15" s="1560"/>
      <c r="T15" s="1559"/>
      <c r="U15" s="1560"/>
      <c r="V15" s="1559"/>
      <c r="W15" s="1560"/>
      <c r="X15" s="1553"/>
      <c r="Y15" s="3318"/>
      <c r="Z15" s="1561"/>
      <c r="AA15" s="1562">
        <v>1</v>
      </c>
      <c r="AB15" s="1562">
        <v>1</v>
      </c>
      <c r="AC15" s="1562">
        <v>1</v>
      </c>
    </row>
    <row r="16" spans="1:29" ht="4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18"/>
      <c r="Q16" s="1558" t="str">
        <f>B16</f>
        <v>公共配套设施</v>
      </c>
      <c r="R16" s="1559" t="s">
        <v>8</v>
      </c>
      <c r="S16" s="1560">
        <f>F16</f>
        <v>100</v>
      </c>
      <c r="T16" s="1559" t="s">
        <v>8</v>
      </c>
      <c r="U16" s="1560">
        <f>H16</f>
        <v>100</v>
      </c>
      <c r="V16" s="1559" t="s">
        <v>8</v>
      </c>
      <c r="W16" s="1560">
        <f>J16</f>
        <v>100</v>
      </c>
      <c r="X16" s="1553"/>
      <c r="Y16" s="3318"/>
      <c r="Z16" s="1561" t="str">
        <f>Q16</f>
        <v>公共配套设施</v>
      </c>
      <c r="AA16" s="1562">
        <f t="shared" si="3"/>
        <v>1</v>
      </c>
      <c r="AB16" s="1562">
        <f t="shared" si="4"/>
        <v>1</v>
      </c>
      <c r="AC16" s="1562">
        <f t="shared" si="5"/>
        <v>1</v>
      </c>
    </row>
    <row r="17" spans="1:29" ht="16">
      <c r="A17" s="515"/>
      <c r="B17" s="566"/>
      <c r="C17" s="873"/>
      <c r="D17" s="555"/>
      <c r="E17" s="576"/>
      <c r="F17" s="557"/>
      <c r="G17" s="576"/>
      <c r="H17" s="555"/>
      <c r="I17" s="576"/>
      <c r="J17" s="555"/>
      <c r="K17" s="899"/>
      <c r="L17" s="2127"/>
      <c r="M17" s="2119"/>
      <c r="N17" s="2119"/>
      <c r="O17" s="2126"/>
      <c r="P17" s="3318"/>
      <c r="Q17" s="1558"/>
      <c r="R17" s="1559"/>
      <c r="S17" s="1560"/>
      <c r="T17" s="1559"/>
      <c r="U17" s="1560"/>
      <c r="V17" s="1559"/>
      <c r="W17" s="1560"/>
      <c r="X17" s="1553"/>
      <c r="Y17" s="3318"/>
      <c r="Z17" s="1561"/>
      <c r="AA17" s="1562">
        <v>1</v>
      </c>
      <c r="AB17" s="1562">
        <v>1</v>
      </c>
      <c r="AC17" s="1562">
        <v>1</v>
      </c>
    </row>
    <row r="18" spans="1:29" ht="30">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18"/>
      <c r="Q18" s="2543" t="str">
        <f>B18</f>
        <v>基础设施水平</v>
      </c>
      <c r="R18" s="1559" t="s">
        <v>8</v>
      </c>
      <c r="S18" s="1560">
        <f>F18</f>
        <v>100</v>
      </c>
      <c r="T18" s="1559" t="s">
        <v>8</v>
      </c>
      <c r="U18" s="1560">
        <f>H18</f>
        <v>100</v>
      </c>
      <c r="V18" s="1559" t="s">
        <v>8</v>
      </c>
      <c r="W18" s="1560">
        <f>J18</f>
        <v>100</v>
      </c>
      <c r="X18" s="2545"/>
      <c r="Y18" s="3318"/>
      <c r="Z18" s="2544" t="str">
        <f>Q18</f>
        <v>基础设施水平</v>
      </c>
      <c r="AA18" s="1562">
        <f t="shared" ref="AA18" si="8">D18/F18</f>
        <v>1</v>
      </c>
      <c r="AB18" s="1562">
        <f t="shared" ref="AB18" si="9">D18/H18</f>
        <v>1</v>
      </c>
      <c r="AC18" s="1562">
        <f t="shared" ref="AC18" si="10">D18/J18</f>
        <v>1</v>
      </c>
    </row>
    <row r="19" spans="1:29" ht="16">
      <c r="A19" s="515"/>
      <c r="B19" s="578"/>
      <c r="C19" s="873"/>
      <c r="D19" s="559"/>
      <c r="E19" s="576"/>
      <c r="F19" s="557"/>
      <c r="G19" s="576"/>
      <c r="H19" s="555"/>
      <c r="I19" s="576"/>
      <c r="J19" s="555"/>
      <c r="K19" s="2566"/>
      <c r="L19" s="2127"/>
      <c r="M19" s="2119"/>
      <c r="N19" s="2119"/>
      <c r="O19" s="2126"/>
      <c r="P19" s="3318"/>
      <c r="Q19" s="2543"/>
      <c r="R19" s="1559"/>
      <c r="S19" s="1560"/>
      <c r="T19" s="1559"/>
      <c r="U19" s="1560"/>
      <c r="V19" s="1559"/>
      <c r="W19" s="1560"/>
      <c r="X19" s="2545"/>
      <c r="Y19" s="3318"/>
      <c r="Z19" s="2544"/>
      <c r="AA19" s="1562">
        <v>1</v>
      </c>
      <c r="AB19" s="1562">
        <v>1</v>
      </c>
      <c r="AC19" s="1562">
        <v>1</v>
      </c>
    </row>
    <row r="20" spans="1:29" ht="60">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18"/>
      <c r="Q20" s="1558" t="str">
        <f>B20</f>
        <v>自然及人文环境</v>
      </c>
      <c r="R20" s="1559" t="s">
        <v>8</v>
      </c>
      <c r="S20" s="1560">
        <f>F20</f>
        <v>100</v>
      </c>
      <c r="T20" s="1559" t="s">
        <v>8</v>
      </c>
      <c r="U20" s="1560">
        <f>H20</f>
        <v>100</v>
      </c>
      <c r="V20" s="1559" t="s">
        <v>8</v>
      </c>
      <c r="W20" s="1560">
        <f>J20</f>
        <v>100</v>
      </c>
      <c r="X20" s="1553"/>
      <c r="Y20" s="3318"/>
      <c r="Z20" s="1561" t="str">
        <f>Q20</f>
        <v>自然及人文环境</v>
      </c>
      <c r="AA20" s="1562">
        <f t="shared" si="3"/>
        <v>1</v>
      </c>
      <c r="AB20" s="1562">
        <f t="shared" si="4"/>
        <v>1</v>
      </c>
      <c r="AC20" s="1562">
        <f t="shared" si="5"/>
        <v>1</v>
      </c>
    </row>
    <row r="21" spans="1:29" ht="16">
      <c r="A21" s="515"/>
      <c r="B21" s="566"/>
      <c r="C21" s="576"/>
      <c r="D21" s="555"/>
      <c r="E21" s="576"/>
      <c r="F21" s="557"/>
      <c r="G21" s="576"/>
      <c r="H21" s="555"/>
      <c r="I21" s="576"/>
      <c r="J21" s="555"/>
      <c r="K21" s="899"/>
      <c r="L21" s="2127"/>
      <c r="M21" s="2119"/>
      <c r="N21" s="2119"/>
      <c r="O21" s="2126"/>
      <c r="P21" s="3318"/>
      <c r="Q21" s="1558"/>
      <c r="R21" s="1559"/>
      <c r="S21" s="1560"/>
      <c r="T21" s="1559"/>
      <c r="U21" s="1560"/>
      <c r="V21" s="1559"/>
      <c r="W21" s="1560"/>
      <c r="X21" s="1553"/>
      <c r="Y21" s="3318"/>
      <c r="Z21" s="1561"/>
      <c r="AA21" s="1562">
        <v>1</v>
      </c>
      <c r="AB21" s="1562">
        <v>1</v>
      </c>
      <c r="AC21" s="1562">
        <v>1</v>
      </c>
    </row>
    <row r="22" spans="1:29" ht="16">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18"/>
      <c r="Q22" s="1558" t="str">
        <f>B22</f>
        <v>楼层</v>
      </c>
      <c r="R22" s="1559" t="s">
        <v>8</v>
      </c>
      <c r="S22" s="1560">
        <f>F22</f>
        <v>100</v>
      </c>
      <c r="T22" s="1559" t="s">
        <v>8</v>
      </c>
      <c r="U22" s="1560">
        <f>H22</f>
        <v>100</v>
      </c>
      <c r="V22" s="1559" t="s">
        <v>8</v>
      </c>
      <c r="W22" s="1560">
        <f>J22</f>
        <v>100</v>
      </c>
      <c r="X22" s="1553"/>
      <c r="Y22" s="3318"/>
      <c r="Z22" s="1561" t="str">
        <f>Q22</f>
        <v>楼层</v>
      </c>
      <c r="AA22" s="1562">
        <f t="shared" si="3"/>
        <v>1</v>
      </c>
      <c r="AB22" s="1562">
        <f t="shared" si="4"/>
        <v>1</v>
      </c>
      <c r="AC22" s="1562">
        <f t="shared" si="5"/>
        <v>1</v>
      </c>
    </row>
    <row r="23" spans="1:29" ht="16">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18"/>
      <c r="Q23" s="1558">
        <f>B23</f>
        <v>111</v>
      </c>
      <c r="R23" s="1559" t="s">
        <v>8</v>
      </c>
      <c r="S23" s="1560">
        <f>F23</f>
        <v>100</v>
      </c>
      <c r="T23" s="1559" t="s">
        <v>8</v>
      </c>
      <c r="U23" s="1560">
        <f>H23</f>
        <v>100</v>
      </c>
      <c r="V23" s="1559" t="s">
        <v>8</v>
      </c>
      <c r="W23" s="1560">
        <f>J23</f>
        <v>100</v>
      </c>
      <c r="X23" s="1553"/>
      <c r="Y23" s="3318"/>
      <c r="Z23" s="1561">
        <f>Q23</f>
        <v>111</v>
      </c>
      <c r="AA23" s="1562">
        <f t="shared" si="3"/>
        <v>1</v>
      </c>
      <c r="AB23" s="1562">
        <f t="shared" si="4"/>
        <v>1</v>
      </c>
      <c r="AC23" s="1562">
        <f t="shared" si="5"/>
        <v>1</v>
      </c>
    </row>
    <row r="24" spans="1:29" ht="16">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18"/>
      <c r="Q24" s="1558">
        <f t="shared" ref="Q24:Q36" si="11">B24</f>
        <v>111</v>
      </c>
      <c r="R24" s="1559" t="s">
        <v>8</v>
      </c>
      <c r="S24" s="1560">
        <f>F24</f>
        <v>100</v>
      </c>
      <c r="T24" s="1559" t="s">
        <v>8</v>
      </c>
      <c r="U24" s="1560">
        <f>H24</f>
        <v>100</v>
      </c>
      <c r="V24" s="1559" t="s">
        <v>8</v>
      </c>
      <c r="W24" s="1560">
        <f>J24</f>
        <v>100</v>
      </c>
      <c r="X24" s="1553"/>
      <c r="Y24" s="3318"/>
      <c r="Z24" s="1561">
        <f>Q24</f>
        <v>111</v>
      </c>
      <c r="AA24" s="1562">
        <f t="shared" si="3"/>
        <v>1</v>
      </c>
      <c r="AB24" s="1562">
        <f t="shared" si="4"/>
        <v>1</v>
      </c>
      <c r="AC24" s="1562">
        <f t="shared" si="5"/>
        <v>1</v>
      </c>
    </row>
    <row r="25" spans="1:29" s="1216" customFormat="1" ht="17"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18"/>
      <c r="Q25" s="1147">
        <f t="shared" si="11"/>
        <v>111</v>
      </c>
      <c r="R25" s="1554" t="s">
        <v>8</v>
      </c>
      <c r="S25" s="1555">
        <f>F25</f>
        <v>100</v>
      </c>
      <c r="T25" s="1554" t="s">
        <v>8</v>
      </c>
      <c r="U25" s="1555">
        <f>H25</f>
        <v>100</v>
      </c>
      <c r="V25" s="1554" t="s">
        <v>8</v>
      </c>
      <c r="W25" s="1555">
        <f>J25</f>
        <v>100</v>
      </c>
      <c r="X25" s="1556"/>
      <c r="Y25" s="3318"/>
      <c r="Z25" s="1146">
        <f>Q25</f>
        <v>111</v>
      </c>
      <c r="AA25" s="1562">
        <f>D25/F25</f>
        <v>1</v>
      </c>
      <c r="AB25" s="1562">
        <f>D25/H25</f>
        <v>1</v>
      </c>
      <c r="AC25" s="1562">
        <f>D25/J25</f>
        <v>1</v>
      </c>
    </row>
    <row r="26" spans="1:29" ht="16">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1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20" t="s">
        <v>550</v>
      </c>
      <c r="Z26" s="1561" t="str">
        <f t="shared" ref="Z26:Z36" si="15">Q26</f>
        <v>配套类型</v>
      </c>
      <c r="AA26" s="1562">
        <f t="shared" si="3"/>
        <v>1</v>
      </c>
      <c r="AB26" s="1562">
        <f t="shared" si="4"/>
        <v>1</v>
      </c>
      <c r="AC26" s="1562">
        <f t="shared" si="5"/>
        <v>1</v>
      </c>
    </row>
    <row r="27" spans="1:29" s="1335" customFormat="1" ht="16">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20"/>
      <c r="Q27" s="1590" t="str">
        <f t="shared" si="11"/>
        <v>项目停车位配比</v>
      </c>
      <c r="R27" s="1563" t="s">
        <v>8</v>
      </c>
      <c r="S27" s="1564">
        <f t="shared" si="12"/>
        <v>100</v>
      </c>
      <c r="T27" s="1563" t="s">
        <v>8</v>
      </c>
      <c r="U27" s="1564">
        <f t="shared" si="13"/>
        <v>100</v>
      </c>
      <c r="V27" s="1563" t="s">
        <v>8</v>
      </c>
      <c r="W27" s="1564">
        <f t="shared" si="14"/>
        <v>100</v>
      </c>
      <c r="X27" s="1565"/>
      <c r="Y27" s="3320"/>
      <c r="Z27" s="1566" t="str">
        <f t="shared" si="15"/>
        <v>项目停车位配比</v>
      </c>
      <c r="AA27" s="1562">
        <f t="shared" si="3"/>
        <v>1</v>
      </c>
      <c r="AB27" s="1562">
        <f t="shared" si="4"/>
        <v>1</v>
      </c>
      <c r="AC27" s="1562">
        <f t="shared" si="5"/>
        <v>1</v>
      </c>
    </row>
    <row r="28" spans="1:29" ht="16">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20"/>
      <c r="Q28" s="1558" t="str">
        <f t="shared" si="11"/>
        <v>公共部分装修</v>
      </c>
      <c r="R28" s="1559" t="s">
        <v>8</v>
      </c>
      <c r="S28" s="1560">
        <f t="shared" si="12"/>
        <v>100</v>
      </c>
      <c r="T28" s="1559" t="s">
        <v>8</v>
      </c>
      <c r="U28" s="1560">
        <f t="shared" si="13"/>
        <v>100</v>
      </c>
      <c r="V28" s="1559" t="s">
        <v>8</v>
      </c>
      <c r="W28" s="1560">
        <f t="shared" si="14"/>
        <v>100</v>
      </c>
      <c r="X28" s="1553"/>
      <c r="Y28" s="3320"/>
      <c r="Z28" s="1561" t="str">
        <f t="shared" si="15"/>
        <v>公共部分装修</v>
      </c>
      <c r="AA28" s="1562">
        <f t="shared" si="3"/>
        <v>1</v>
      </c>
      <c r="AB28" s="1562">
        <f t="shared" si="4"/>
        <v>1</v>
      </c>
      <c r="AC28" s="1562">
        <f t="shared" si="5"/>
        <v>1</v>
      </c>
    </row>
    <row r="29" spans="1:29" ht="16">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20"/>
      <c r="Q29" s="1558" t="str">
        <f t="shared" si="11"/>
        <v>成新率</v>
      </c>
      <c r="R29" s="1559" t="s">
        <v>8</v>
      </c>
      <c r="S29" s="1560" t="e">
        <f t="shared" si="12"/>
        <v>#N/A</v>
      </c>
      <c r="T29" s="1559" t="s">
        <v>8</v>
      </c>
      <c r="U29" s="1560" t="e">
        <f t="shared" si="13"/>
        <v>#N/A</v>
      </c>
      <c r="V29" s="1559" t="s">
        <v>8</v>
      </c>
      <c r="W29" s="1560" t="e">
        <f t="shared" si="14"/>
        <v>#N/A</v>
      </c>
      <c r="X29" s="1553"/>
      <c r="Y29" s="3320"/>
      <c r="Z29" s="1561" t="str">
        <f t="shared" si="15"/>
        <v>成新率</v>
      </c>
      <c r="AA29" s="1562" t="e">
        <f t="shared" si="3"/>
        <v>#N/A</v>
      </c>
      <c r="AB29" s="1562" t="e">
        <f t="shared" si="4"/>
        <v>#N/A</v>
      </c>
      <c r="AC29" s="1562" t="e">
        <f t="shared" si="5"/>
        <v>#N/A</v>
      </c>
    </row>
    <row r="30" spans="1:29" ht="16">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20"/>
      <c r="Q30" s="1558" t="str">
        <f t="shared" si="11"/>
        <v>物业等级</v>
      </c>
      <c r="R30" s="1559" t="s">
        <v>8</v>
      </c>
      <c r="S30" s="1560">
        <f t="shared" si="12"/>
        <v>100</v>
      </c>
      <c r="T30" s="1559" t="s">
        <v>8</v>
      </c>
      <c r="U30" s="1560">
        <f t="shared" si="13"/>
        <v>100</v>
      </c>
      <c r="V30" s="1559" t="s">
        <v>8</v>
      </c>
      <c r="W30" s="1560">
        <f t="shared" si="14"/>
        <v>100</v>
      </c>
      <c r="X30" s="1553"/>
      <c r="Y30" s="3320"/>
      <c r="Z30" s="1561" t="str">
        <f t="shared" si="15"/>
        <v>物业等级</v>
      </c>
      <c r="AA30" s="1562">
        <f t="shared" si="3"/>
        <v>1</v>
      </c>
      <c r="AB30" s="1562">
        <f t="shared" si="4"/>
        <v>1</v>
      </c>
      <c r="AC30" s="1562">
        <f t="shared" si="5"/>
        <v>1</v>
      </c>
    </row>
    <row r="31" spans="1:29" s="1216" customFormat="1" ht="16">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20"/>
      <c r="Q31" s="1147" t="str">
        <f t="shared" si="11"/>
        <v>停车位面积</v>
      </c>
      <c r="R31" s="1554" t="s">
        <v>8</v>
      </c>
      <c r="S31" s="1555" t="e">
        <f t="shared" si="12"/>
        <v>#N/A</v>
      </c>
      <c r="T31" s="1554" t="s">
        <v>8</v>
      </c>
      <c r="U31" s="1555" t="e">
        <f t="shared" si="13"/>
        <v>#N/A</v>
      </c>
      <c r="V31" s="1554" t="s">
        <v>8</v>
      </c>
      <c r="W31" s="1555" t="e">
        <f t="shared" si="14"/>
        <v>#N/A</v>
      </c>
      <c r="X31" s="1556"/>
      <c r="Y31" s="3320"/>
      <c r="Z31" s="1146" t="str">
        <f t="shared" si="15"/>
        <v>停车位面积</v>
      </c>
      <c r="AA31" s="1557" t="e">
        <f t="shared" si="3"/>
        <v>#N/A</v>
      </c>
      <c r="AB31" s="1557" t="e">
        <f t="shared" si="4"/>
        <v>#N/A</v>
      </c>
      <c r="AC31" s="1557" t="e">
        <f t="shared" si="5"/>
        <v>#N/A</v>
      </c>
    </row>
    <row r="32" spans="1:29" ht="16">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20" t="s">
        <v>550</v>
      </c>
      <c r="Q32" s="1558" t="str">
        <f t="shared" si="11"/>
        <v>车位类型</v>
      </c>
      <c r="R32" s="1559" t="s">
        <v>8</v>
      </c>
      <c r="S32" s="1560">
        <f t="shared" si="12"/>
        <v>100</v>
      </c>
      <c r="T32" s="1559" t="s">
        <v>8</v>
      </c>
      <c r="U32" s="1560">
        <f t="shared" si="13"/>
        <v>100</v>
      </c>
      <c r="V32" s="1559" t="s">
        <v>8</v>
      </c>
      <c r="W32" s="1560">
        <f t="shared" si="14"/>
        <v>100</v>
      </c>
      <c r="X32" s="1553"/>
      <c r="Y32" s="3320" t="s">
        <v>550</v>
      </c>
      <c r="Z32" s="1561" t="str">
        <f t="shared" si="15"/>
        <v>车位类型</v>
      </c>
      <c r="AA32" s="1562">
        <f t="shared" si="3"/>
        <v>1</v>
      </c>
      <c r="AB32" s="1562">
        <f t="shared" si="4"/>
        <v>1</v>
      </c>
      <c r="AC32" s="1562">
        <f t="shared" si="5"/>
        <v>1</v>
      </c>
    </row>
    <row r="33" spans="1:29" ht="16">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20"/>
      <c r="Q33" s="1558" t="str">
        <f t="shared" si="11"/>
        <v>是否直接入户</v>
      </c>
      <c r="R33" s="1559" t="s">
        <v>8</v>
      </c>
      <c r="S33" s="1560">
        <f t="shared" si="12"/>
        <v>100</v>
      </c>
      <c r="T33" s="1559" t="s">
        <v>8</v>
      </c>
      <c r="U33" s="1560">
        <f t="shared" si="13"/>
        <v>100</v>
      </c>
      <c r="V33" s="1559" t="s">
        <v>8</v>
      </c>
      <c r="W33" s="1560">
        <f t="shared" si="14"/>
        <v>100</v>
      </c>
      <c r="X33" s="1553"/>
      <c r="Y33" s="3320"/>
      <c r="Z33" s="1561" t="str">
        <f t="shared" si="15"/>
        <v>是否直接入户</v>
      </c>
      <c r="AA33" s="1562">
        <f t="shared" si="3"/>
        <v>1</v>
      </c>
      <c r="AB33" s="1562">
        <f t="shared" si="4"/>
        <v>1</v>
      </c>
      <c r="AC33" s="1562">
        <f t="shared" si="5"/>
        <v>1</v>
      </c>
    </row>
    <row r="34" spans="1:29" ht="16">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20"/>
      <c r="Q34" s="1558">
        <f t="shared" si="11"/>
        <v>111</v>
      </c>
      <c r="R34" s="1559" t="s">
        <v>8</v>
      </c>
      <c r="S34" s="1560">
        <f t="shared" si="12"/>
        <v>100</v>
      </c>
      <c r="T34" s="1559" t="s">
        <v>8</v>
      </c>
      <c r="U34" s="1560">
        <f t="shared" si="13"/>
        <v>100</v>
      </c>
      <c r="V34" s="1559" t="s">
        <v>8</v>
      </c>
      <c r="W34" s="1560">
        <f t="shared" si="14"/>
        <v>100</v>
      </c>
      <c r="X34" s="1553"/>
      <c r="Y34" s="3320"/>
      <c r="Z34" s="1561">
        <f t="shared" si="15"/>
        <v>111</v>
      </c>
      <c r="AA34" s="1562">
        <f t="shared" si="3"/>
        <v>1</v>
      </c>
      <c r="AB34" s="1562">
        <f t="shared" si="4"/>
        <v>1</v>
      </c>
      <c r="AC34" s="1562">
        <f t="shared" si="5"/>
        <v>1</v>
      </c>
    </row>
    <row r="35" spans="1:29" s="1335" customFormat="1" ht="16">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20"/>
      <c r="Q35" s="1590">
        <f t="shared" si="11"/>
        <v>111</v>
      </c>
      <c r="R35" s="1563" t="s">
        <v>8</v>
      </c>
      <c r="S35" s="1564">
        <f t="shared" si="12"/>
        <v>100</v>
      </c>
      <c r="T35" s="1563" t="s">
        <v>8</v>
      </c>
      <c r="U35" s="1564">
        <f t="shared" si="13"/>
        <v>100</v>
      </c>
      <c r="V35" s="1563" t="s">
        <v>8</v>
      </c>
      <c r="W35" s="1564">
        <f t="shared" si="14"/>
        <v>100</v>
      </c>
      <c r="X35" s="1565"/>
      <c r="Y35" s="3320"/>
      <c r="Z35" s="1566">
        <f t="shared" si="15"/>
        <v>111</v>
      </c>
      <c r="AA35" s="1562">
        <f t="shared" si="3"/>
        <v>1</v>
      </c>
      <c r="AB35" s="1562">
        <f t="shared" si="4"/>
        <v>1</v>
      </c>
      <c r="AC35" s="1562">
        <f t="shared" si="5"/>
        <v>1</v>
      </c>
    </row>
    <row r="36" spans="1:29" ht="17"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20"/>
      <c r="Q36" s="1558">
        <f t="shared" si="11"/>
        <v>111</v>
      </c>
      <c r="R36" s="1559" t="s">
        <v>8</v>
      </c>
      <c r="S36" s="1560">
        <f t="shared" si="12"/>
        <v>100</v>
      </c>
      <c r="T36" s="1559" t="s">
        <v>8</v>
      </c>
      <c r="U36" s="1560">
        <f t="shared" si="13"/>
        <v>100</v>
      </c>
      <c r="V36" s="1559" t="s">
        <v>8</v>
      </c>
      <c r="W36" s="1560">
        <f t="shared" si="14"/>
        <v>100</v>
      </c>
      <c r="X36" s="1553"/>
      <c r="Y36" s="3320"/>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15" t="str">
        <f>A37</f>
        <v>成交单价</v>
      </c>
      <c r="Q37" s="3315"/>
      <c r="R37" s="3497">
        <f>E37</f>
        <v>0</v>
      </c>
      <c r="S37" s="3497"/>
      <c r="T37" s="3497">
        <f>G37</f>
        <v>0</v>
      </c>
      <c r="U37" s="3497"/>
      <c r="V37" s="3497">
        <f>I37</f>
        <v>0</v>
      </c>
      <c r="W37" s="3497"/>
      <c r="X37" s="1545"/>
      <c r="Y37" s="1567"/>
      <c r="Z37" s="1545"/>
      <c r="AA37" s="1545"/>
      <c r="AB37" s="1545"/>
      <c r="AC37" s="1545"/>
    </row>
    <row r="38" spans="1:29" ht="1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15" t="str">
        <f>A38</f>
        <v>比较价格（元/平方米）</v>
      </c>
      <c r="Q38" s="3315"/>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5"/>
      <c r="Y38" s="1545"/>
      <c r="Z38" s="1545"/>
      <c r="AA38" s="1545"/>
      <c r="AB38" s="1545"/>
      <c r="AC38" s="1545"/>
    </row>
    <row r="39" spans="1:29" ht="15" thickBot="1">
      <c r="A39" s="621" t="s">
        <v>2934</v>
      </c>
      <c r="B39" s="622"/>
      <c r="C39" s="2600" t="e">
        <f>R39</f>
        <v>#DIV/0!</v>
      </c>
      <c r="D39" s="2600"/>
      <c r="E39" s="2600"/>
      <c r="F39" s="2600"/>
      <c r="G39" s="2600"/>
      <c r="H39" s="2600"/>
      <c r="I39" s="2600"/>
      <c r="J39" s="2600"/>
      <c r="K39" s="1598"/>
      <c r="L39" s="2129"/>
      <c r="M39" s="2130"/>
      <c r="N39" s="2130"/>
      <c r="O39" s="2130"/>
      <c r="P39" s="3336" t="str">
        <f>A39</f>
        <v>估价对象XX用房的比较价格（楼面单价，元/平方米）</v>
      </c>
      <c r="Q39" s="3337"/>
      <c r="R39" s="3496" t="e">
        <f>IF(F1="售价",ROUND(AVERAGE(R38:V38),0),ROUND(AVERAGE(R38:V38),1))</f>
        <v>#DIV/0!</v>
      </c>
      <c r="S39" s="3496"/>
      <c r="T39" s="3496"/>
      <c r="U39" s="3496"/>
      <c r="V39" s="3496"/>
      <c r="W39" s="349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2020-2</v>
      </c>
      <c r="D48" s="2759">
        <f>EDATE(C48,-1)</f>
        <v>43831</v>
      </c>
      <c r="E48" s="2759">
        <f t="shared" ref="E48:O48" si="16">EDATE(D48,-1)</f>
        <v>43800</v>
      </c>
      <c r="F48" s="2759">
        <f t="shared" si="16"/>
        <v>43770</v>
      </c>
      <c r="G48" s="2759">
        <f t="shared" si="16"/>
        <v>43739</v>
      </c>
      <c r="H48" s="2759">
        <f t="shared" si="16"/>
        <v>43709</v>
      </c>
      <c r="I48" s="2759">
        <f t="shared" si="16"/>
        <v>43678</v>
      </c>
      <c r="J48" s="2759">
        <f t="shared" si="16"/>
        <v>43647</v>
      </c>
      <c r="K48" s="2759">
        <f t="shared" si="16"/>
        <v>43617</v>
      </c>
      <c r="L48" s="2759">
        <f t="shared" si="16"/>
        <v>43586</v>
      </c>
      <c r="M48" s="2759">
        <f t="shared" si="16"/>
        <v>43556</v>
      </c>
      <c r="N48" s="2759">
        <f t="shared" si="16"/>
        <v>43525</v>
      </c>
      <c r="O48" s="2759">
        <f t="shared" si="16"/>
        <v>43497</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5">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31"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6"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6"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6"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6"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6"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31"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6"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6"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6"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6"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6"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6"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6"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21" t="s">
        <v>798</v>
      </c>
      <c r="D4" s="3322"/>
      <c r="E4" s="3423" t="s">
        <v>799</v>
      </c>
      <c r="F4" s="3424"/>
      <c r="G4" s="3321" t="s">
        <v>800</v>
      </c>
      <c r="H4" s="3322"/>
      <c r="I4" s="3321" t="s">
        <v>801</v>
      </c>
      <c r="J4" s="3322"/>
      <c r="K4" s="514" t="s">
        <v>802</v>
      </c>
      <c r="L4" s="2118"/>
      <c r="M4" s="2119"/>
      <c r="N4" s="2119"/>
      <c r="O4" s="2119"/>
      <c r="P4" s="3323" t="s">
        <v>803</v>
      </c>
      <c r="Q4" s="3324"/>
      <c r="R4" s="3308" t="s">
        <v>799</v>
      </c>
      <c r="S4" s="3309"/>
      <c r="T4" s="3308" t="s">
        <v>800</v>
      </c>
      <c r="U4" s="3309"/>
      <c r="V4" s="3329" t="s">
        <v>801</v>
      </c>
      <c r="W4" s="3329"/>
      <c r="X4" s="1553"/>
      <c r="Y4" s="3308" t="s">
        <v>803</v>
      </c>
      <c r="Z4" s="3309"/>
      <c r="AA4" s="3303" t="s">
        <v>799</v>
      </c>
      <c r="AB4" s="3304" t="s">
        <v>800</v>
      </c>
      <c r="AC4" s="3303" t="s">
        <v>801</v>
      </c>
    </row>
    <row r="5" spans="1:29">
      <c r="A5" s="515"/>
      <c r="B5" s="516"/>
      <c r="C5" s="3332" t="s">
        <v>2928</v>
      </c>
      <c r="D5" s="3333"/>
      <c r="E5" s="3425" t="s">
        <v>2929</v>
      </c>
      <c r="F5" s="3426"/>
      <c r="G5" s="3332" t="s">
        <v>2930</v>
      </c>
      <c r="H5" s="3333"/>
      <c r="I5" s="3332" t="s">
        <v>2931</v>
      </c>
      <c r="J5" s="3333"/>
      <c r="K5" s="514"/>
      <c r="L5" s="2118"/>
      <c r="M5" s="2119"/>
      <c r="N5" s="2119"/>
      <c r="O5" s="2119"/>
      <c r="P5" s="3325"/>
      <c r="Q5" s="3326"/>
      <c r="R5" s="3310"/>
      <c r="S5" s="3311"/>
      <c r="T5" s="3310"/>
      <c r="U5" s="3311"/>
      <c r="V5" s="3329"/>
      <c r="W5" s="3329"/>
      <c r="X5" s="1553"/>
      <c r="Y5" s="3310"/>
      <c r="Z5" s="3311"/>
      <c r="AA5" s="3304"/>
      <c r="AB5" s="3304"/>
      <c r="AC5" s="3304"/>
    </row>
    <row r="6" spans="1:29" ht="16" thickBot="1">
      <c r="A6" s="517"/>
      <c r="B6" s="518"/>
      <c r="C6" s="3330" t="s">
        <v>2932</v>
      </c>
      <c r="D6" s="3331"/>
      <c r="E6" s="3427" t="s">
        <v>2932</v>
      </c>
      <c r="F6" s="3428"/>
      <c r="G6" s="3330" t="s">
        <v>2932</v>
      </c>
      <c r="H6" s="3331"/>
      <c r="I6" s="3330" t="s">
        <v>2932</v>
      </c>
      <c r="J6" s="3331"/>
      <c r="K6" s="514" t="s">
        <v>528</v>
      </c>
      <c r="L6" s="2118"/>
      <c r="M6" s="2119"/>
      <c r="N6" s="2119"/>
      <c r="O6" s="2119"/>
      <c r="P6" s="3327"/>
      <c r="Q6" s="3328"/>
      <c r="R6" s="3310"/>
      <c r="S6" s="3311"/>
      <c r="T6" s="3313"/>
      <c r="U6" s="3314"/>
      <c r="V6" s="3329"/>
      <c r="W6" s="3329"/>
      <c r="X6" s="1553"/>
      <c r="Y6" s="3313"/>
      <c r="Z6" s="3314"/>
      <c r="AA6" s="3305"/>
      <c r="AB6" s="3305"/>
      <c r="AC6" s="3305"/>
    </row>
    <row r="7" spans="1:29" s="1216" customFormat="1" ht="16" thickBot="1">
      <c r="A7" s="2867"/>
      <c r="B7" s="2874" t="s">
        <v>529</v>
      </c>
      <c r="C7" s="519">
        <f>'数据-取费表'!B2</f>
        <v>43875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06" t="s">
        <v>530</v>
      </c>
      <c r="Q7" s="3316"/>
      <c r="R7" s="1554" t="s">
        <v>8</v>
      </c>
      <c r="S7" s="1555">
        <f t="shared" ref="S7:S14" si="0">F7</f>
        <v>0</v>
      </c>
      <c r="T7" s="1554" t="s">
        <v>8</v>
      </c>
      <c r="U7" s="1555">
        <f t="shared" ref="U7:U14" si="1">H7</f>
        <v>0</v>
      </c>
      <c r="V7" s="1554" t="s">
        <v>8</v>
      </c>
      <c r="W7" s="1555">
        <f t="shared" ref="W7:W14" si="2">J7</f>
        <v>0</v>
      </c>
      <c r="X7" s="1556"/>
      <c r="Y7" s="3306" t="s">
        <v>530</v>
      </c>
      <c r="Z7" s="3307"/>
      <c r="AA7" s="1557" t="e">
        <f>D7/F7</f>
        <v>#DIV/0!</v>
      </c>
      <c r="AB7" s="1557" t="e">
        <f>D7/H7</f>
        <v>#DIV/0!</v>
      </c>
      <c r="AC7" s="1557" t="e">
        <f>D7/J7</f>
        <v>#DIV/0!</v>
      </c>
    </row>
    <row r="8" spans="1:29" s="1216" customFormat="1" ht="16"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06" t="s">
        <v>533</v>
      </c>
      <c r="Q8" s="3307"/>
      <c r="R8" s="1554" t="s">
        <v>8</v>
      </c>
      <c r="S8" s="1555">
        <f t="shared" si="0"/>
        <v>0</v>
      </c>
      <c r="T8" s="1554" t="s">
        <v>8</v>
      </c>
      <c r="U8" s="1555">
        <f t="shared" si="1"/>
        <v>0</v>
      </c>
      <c r="V8" s="1554" t="s">
        <v>8</v>
      </c>
      <c r="W8" s="1555">
        <f t="shared" si="2"/>
        <v>0</v>
      </c>
      <c r="X8" s="1556"/>
      <c r="Y8" s="3306" t="s">
        <v>533</v>
      </c>
      <c r="Z8" s="3307"/>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15" t="s">
        <v>535</v>
      </c>
      <c r="Q9" s="1147" t="str">
        <f t="shared" ref="Q9:Q14" si="6">B9</f>
        <v>用途</v>
      </c>
      <c r="R9" s="1554" t="s">
        <v>8</v>
      </c>
      <c r="S9" s="1555">
        <f t="shared" si="0"/>
        <v>100</v>
      </c>
      <c r="T9" s="1554" t="s">
        <v>8</v>
      </c>
      <c r="U9" s="1555">
        <f t="shared" si="1"/>
        <v>100</v>
      </c>
      <c r="V9" s="1554" t="s">
        <v>8</v>
      </c>
      <c r="W9" s="1555">
        <f t="shared" si="2"/>
        <v>100</v>
      </c>
      <c r="X9" s="1556"/>
      <c r="Y9" s="3312" t="s">
        <v>536</v>
      </c>
      <c r="Z9" s="1146" t="str">
        <f t="shared" ref="Z9:Z14" si="7">Q9</f>
        <v>用途</v>
      </c>
      <c r="AA9" s="1557">
        <f t="shared" si="3"/>
        <v>1</v>
      </c>
      <c r="AB9" s="1557">
        <f t="shared" si="4"/>
        <v>1</v>
      </c>
      <c r="AC9" s="1557">
        <f t="shared" si="5"/>
        <v>1</v>
      </c>
    </row>
    <row r="10" spans="1:29" s="1334" customFormat="1" ht="30">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15"/>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6">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15"/>
      <c r="Q11" s="1147">
        <f t="shared" si="6"/>
        <v>111</v>
      </c>
      <c r="R11" s="1554" t="s">
        <v>8</v>
      </c>
      <c r="S11" s="1555">
        <f t="shared" si="0"/>
        <v>100</v>
      </c>
      <c r="T11" s="1554" t="s">
        <v>8</v>
      </c>
      <c r="U11" s="1555">
        <f t="shared" si="1"/>
        <v>100</v>
      </c>
      <c r="V11" s="1554" t="s">
        <v>8</v>
      </c>
      <c r="W11" s="1555">
        <f t="shared" si="2"/>
        <v>100</v>
      </c>
      <c r="X11" s="1556"/>
      <c r="Y11" s="3312"/>
      <c r="Z11" s="1146">
        <f t="shared" si="7"/>
        <v>111</v>
      </c>
      <c r="AA11" s="1557">
        <f t="shared" si="3"/>
        <v>1</v>
      </c>
      <c r="AB11" s="1557">
        <f t="shared" si="4"/>
        <v>1</v>
      </c>
      <c r="AC11" s="1557">
        <f t="shared" si="5"/>
        <v>1</v>
      </c>
    </row>
    <row r="12" spans="1:29" s="1216" customFormat="1" ht="16">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15"/>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7"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15"/>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90">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17" t="s">
        <v>540</v>
      </c>
      <c r="Q14" s="1558" t="str">
        <f t="shared" si="6"/>
        <v>交通便捷度</v>
      </c>
      <c r="R14" s="1559" t="s">
        <v>8</v>
      </c>
      <c r="S14" s="1560">
        <f t="shared" si="0"/>
        <v>100</v>
      </c>
      <c r="T14" s="1559" t="s">
        <v>8</v>
      </c>
      <c r="U14" s="1560">
        <f t="shared" si="1"/>
        <v>100</v>
      </c>
      <c r="V14" s="1559" t="s">
        <v>8</v>
      </c>
      <c r="W14" s="1560">
        <f t="shared" si="2"/>
        <v>100</v>
      </c>
      <c r="X14" s="1553"/>
      <c r="Y14" s="3317" t="s">
        <v>540</v>
      </c>
      <c r="Z14" s="1561" t="str">
        <f t="shared" si="7"/>
        <v>交通便捷度</v>
      </c>
      <c r="AA14" s="1562">
        <f t="shared" si="3"/>
        <v>1</v>
      </c>
      <c r="AB14" s="1562">
        <f t="shared" si="4"/>
        <v>1</v>
      </c>
      <c r="AC14" s="1562">
        <f t="shared" si="5"/>
        <v>1</v>
      </c>
    </row>
    <row r="15" spans="1:29" ht="16">
      <c r="A15" s="532"/>
      <c r="B15" s="869"/>
      <c r="C15" s="576"/>
      <c r="D15" s="555"/>
      <c r="E15" s="576"/>
      <c r="F15" s="557"/>
      <c r="G15" s="576"/>
      <c r="H15" s="559"/>
      <c r="I15" s="576"/>
      <c r="J15" s="555"/>
      <c r="K15" s="899"/>
      <c r="L15" s="2127"/>
      <c r="M15" s="2119"/>
      <c r="N15" s="2119"/>
      <c r="O15" s="2126"/>
      <c r="P15" s="3318"/>
      <c r="Q15" s="1558"/>
      <c r="R15" s="1559"/>
      <c r="S15" s="1560"/>
      <c r="T15" s="1559"/>
      <c r="U15" s="1560"/>
      <c r="V15" s="1559"/>
      <c r="W15" s="1560"/>
      <c r="X15" s="1553"/>
      <c r="Y15" s="3318"/>
      <c r="Z15" s="1561"/>
      <c r="AA15" s="1562">
        <v>1</v>
      </c>
      <c r="AB15" s="1562">
        <v>1</v>
      </c>
      <c r="AC15" s="1562">
        <v>1</v>
      </c>
    </row>
    <row r="16" spans="1:29" ht="4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18"/>
      <c r="Q16" s="1558" t="str">
        <f>B16</f>
        <v>公共配套设施</v>
      </c>
      <c r="R16" s="1559" t="s">
        <v>8</v>
      </c>
      <c r="S16" s="1560">
        <f>F16</f>
        <v>100</v>
      </c>
      <c r="T16" s="1559" t="s">
        <v>8</v>
      </c>
      <c r="U16" s="1560">
        <f>H16</f>
        <v>100</v>
      </c>
      <c r="V16" s="1559" t="s">
        <v>8</v>
      </c>
      <c r="W16" s="1560">
        <f>J16</f>
        <v>100</v>
      </c>
      <c r="X16" s="1553"/>
      <c r="Y16" s="3318"/>
      <c r="Z16" s="1561" t="str">
        <f>Q16</f>
        <v>公共配套设施</v>
      </c>
      <c r="AA16" s="1562">
        <f t="shared" si="3"/>
        <v>1</v>
      </c>
      <c r="AB16" s="1562">
        <f t="shared" si="4"/>
        <v>1</v>
      </c>
      <c r="AC16" s="1562">
        <f t="shared" si="5"/>
        <v>1</v>
      </c>
    </row>
    <row r="17" spans="1:29" ht="16">
      <c r="A17" s="532"/>
      <c r="B17" s="566"/>
      <c r="C17" s="873"/>
      <c r="D17" s="555"/>
      <c r="E17" s="576"/>
      <c r="F17" s="557"/>
      <c r="G17" s="576"/>
      <c r="H17" s="555"/>
      <c r="I17" s="576"/>
      <c r="J17" s="555"/>
      <c r="K17" s="899"/>
      <c r="L17" s="2127"/>
      <c r="M17" s="2119"/>
      <c r="N17" s="2119"/>
      <c r="O17" s="2126"/>
      <c r="P17" s="3318"/>
      <c r="Q17" s="1558"/>
      <c r="R17" s="1559"/>
      <c r="S17" s="1560"/>
      <c r="T17" s="1559"/>
      <c r="U17" s="1560"/>
      <c r="V17" s="1559"/>
      <c r="W17" s="1560"/>
      <c r="X17" s="1553"/>
      <c r="Y17" s="3318"/>
      <c r="Z17" s="1561"/>
      <c r="AA17" s="1562">
        <v>1</v>
      </c>
      <c r="AB17" s="1562">
        <v>1</v>
      </c>
      <c r="AC17" s="1562">
        <v>1</v>
      </c>
    </row>
    <row r="18" spans="1:29" ht="30">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18"/>
      <c r="Q18" s="2543" t="str">
        <f>B18</f>
        <v>基础设施水平</v>
      </c>
      <c r="R18" s="1559" t="s">
        <v>8</v>
      </c>
      <c r="S18" s="1560">
        <f>F18</f>
        <v>100</v>
      </c>
      <c r="T18" s="1559" t="s">
        <v>8</v>
      </c>
      <c r="U18" s="1560">
        <f>H18</f>
        <v>100</v>
      </c>
      <c r="V18" s="1559" t="s">
        <v>8</v>
      </c>
      <c r="W18" s="1560">
        <f>J18</f>
        <v>100</v>
      </c>
      <c r="X18" s="2545"/>
      <c r="Y18" s="3318"/>
      <c r="Z18" s="2544" t="str">
        <f>Q18</f>
        <v>基础设施水平</v>
      </c>
      <c r="AA18" s="1562">
        <f t="shared" ref="AA18" si="8">D18/F18</f>
        <v>1</v>
      </c>
      <c r="AB18" s="1562">
        <f t="shared" ref="AB18" si="9">D18/H18</f>
        <v>1</v>
      </c>
      <c r="AC18" s="1562">
        <f t="shared" ref="AC18" si="10">D18/J18</f>
        <v>1</v>
      </c>
    </row>
    <row r="19" spans="1:29" ht="16">
      <c r="A19" s="532"/>
      <c r="B19" s="578"/>
      <c r="C19" s="873"/>
      <c r="D19" s="559"/>
      <c r="E19" s="873"/>
      <c r="F19" s="563"/>
      <c r="G19" s="873"/>
      <c r="H19" s="555"/>
      <c r="I19" s="576"/>
      <c r="J19" s="555"/>
      <c r="K19" s="2566"/>
      <c r="L19" s="2127"/>
      <c r="M19" s="2119"/>
      <c r="N19" s="2119"/>
      <c r="O19" s="2126"/>
      <c r="P19" s="3318"/>
      <c r="Q19" s="2543"/>
      <c r="R19" s="1559"/>
      <c r="S19" s="1560"/>
      <c r="T19" s="1559"/>
      <c r="U19" s="1560"/>
      <c r="V19" s="1559"/>
      <c r="W19" s="1560"/>
      <c r="X19" s="2545"/>
      <c r="Y19" s="3318"/>
      <c r="Z19" s="2544"/>
      <c r="AA19" s="1562">
        <v>1</v>
      </c>
      <c r="AB19" s="1562">
        <v>1</v>
      </c>
      <c r="AC19" s="1562">
        <v>1</v>
      </c>
    </row>
    <row r="20" spans="1:29" ht="60">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18"/>
      <c r="Q20" s="1558" t="str">
        <f>B20</f>
        <v>自然及人文环境</v>
      </c>
      <c r="R20" s="1559" t="s">
        <v>8</v>
      </c>
      <c r="S20" s="1560">
        <f>F20</f>
        <v>100</v>
      </c>
      <c r="T20" s="1559" t="s">
        <v>8</v>
      </c>
      <c r="U20" s="1560">
        <f>H20</f>
        <v>100</v>
      </c>
      <c r="V20" s="1559" t="s">
        <v>8</v>
      </c>
      <c r="W20" s="1560">
        <f>J20</f>
        <v>100</v>
      </c>
      <c r="X20" s="1553"/>
      <c r="Y20" s="3318"/>
      <c r="Z20" s="1561" t="str">
        <f>Q20</f>
        <v>自然及人文环境</v>
      </c>
      <c r="AA20" s="1562">
        <f t="shared" si="3"/>
        <v>1</v>
      </c>
      <c r="AB20" s="1562">
        <f t="shared" si="4"/>
        <v>1</v>
      </c>
      <c r="AC20" s="1562">
        <f t="shared" si="5"/>
        <v>1</v>
      </c>
    </row>
    <row r="21" spans="1:29" ht="16">
      <c r="A21" s="532"/>
      <c r="B21" s="595"/>
      <c r="C21" s="576"/>
      <c r="D21" s="555"/>
      <c r="E21" s="576"/>
      <c r="F21" s="557"/>
      <c r="G21" s="576"/>
      <c r="H21" s="555"/>
      <c r="I21" s="576"/>
      <c r="J21" s="555"/>
      <c r="K21" s="899"/>
      <c r="L21" s="2127"/>
      <c r="M21" s="2119"/>
      <c r="N21" s="2119"/>
      <c r="O21" s="2126"/>
      <c r="P21" s="3318"/>
      <c r="Q21" s="1558"/>
      <c r="R21" s="1559"/>
      <c r="S21" s="1560"/>
      <c r="T21" s="1559"/>
      <c r="U21" s="1560"/>
      <c r="V21" s="1559"/>
      <c r="W21" s="1560"/>
      <c r="X21" s="1553"/>
      <c r="Y21" s="3318"/>
      <c r="Z21" s="1561"/>
      <c r="AA21" s="1562">
        <v>1</v>
      </c>
      <c r="AB21" s="1562">
        <v>1</v>
      </c>
      <c r="AC21" s="1562">
        <v>1</v>
      </c>
    </row>
    <row r="22" spans="1:29" ht="16">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18"/>
      <c r="Q22" s="1558" t="str">
        <f>B22</f>
        <v>楼层</v>
      </c>
      <c r="R22" s="1559" t="s">
        <v>8</v>
      </c>
      <c r="S22" s="1560">
        <f>F22</f>
        <v>100</v>
      </c>
      <c r="T22" s="1559" t="s">
        <v>8</v>
      </c>
      <c r="U22" s="1560">
        <f>H22</f>
        <v>100</v>
      </c>
      <c r="V22" s="1559" t="s">
        <v>8</v>
      </c>
      <c r="W22" s="1560">
        <f>J22</f>
        <v>100</v>
      </c>
      <c r="X22" s="1553"/>
      <c r="Y22" s="3318"/>
      <c r="Z22" s="1561" t="str">
        <f>Q22</f>
        <v>楼层</v>
      </c>
      <c r="AA22" s="1562">
        <f t="shared" si="3"/>
        <v>1</v>
      </c>
      <c r="AB22" s="1562">
        <f t="shared" si="4"/>
        <v>1</v>
      </c>
      <c r="AC22" s="1562">
        <f t="shared" si="5"/>
        <v>1</v>
      </c>
    </row>
    <row r="23" spans="1:29" ht="16">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18"/>
      <c r="Q23" s="1558">
        <f>B23</f>
        <v>111</v>
      </c>
      <c r="R23" s="1559" t="s">
        <v>8</v>
      </c>
      <c r="S23" s="1560">
        <f>F23</f>
        <v>100</v>
      </c>
      <c r="T23" s="1559" t="s">
        <v>8</v>
      </c>
      <c r="U23" s="1560">
        <f>H23</f>
        <v>100</v>
      </c>
      <c r="V23" s="1559" t="s">
        <v>8</v>
      </c>
      <c r="W23" s="1560">
        <f>J23</f>
        <v>100</v>
      </c>
      <c r="X23" s="1553"/>
      <c r="Y23" s="3318"/>
      <c r="Z23" s="1561">
        <f>Q23</f>
        <v>111</v>
      </c>
      <c r="AA23" s="1562">
        <f t="shared" si="3"/>
        <v>1</v>
      </c>
      <c r="AB23" s="1562">
        <f t="shared" si="4"/>
        <v>1</v>
      </c>
      <c r="AC23" s="1562">
        <f t="shared" si="5"/>
        <v>1</v>
      </c>
    </row>
    <row r="24" spans="1:29" ht="16">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18"/>
      <c r="Q24" s="1558">
        <f t="shared" ref="Q24:Q34" si="11">B24</f>
        <v>111</v>
      </c>
      <c r="R24" s="1559" t="s">
        <v>8</v>
      </c>
      <c r="S24" s="1560">
        <f>F24</f>
        <v>100</v>
      </c>
      <c r="T24" s="1559" t="s">
        <v>8</v>
      </c>
      <c r="U24" s="1560">
        <f>H24</f>
        <v>100</v>
      </c>
      <c r="V24" s="1559" t="s">
        <v>8</v>
      </c>
      <c r="W24" s="1560">
        <f>J24</f>
        <v>100</v>
      </c>
      <c r="X24" s="1553"/>
      <c r="Y24" s="3318"/>
      <c r="Z24" s="1561">
        <f>Q24</f>
        <v>111</v>
      </c>
      <c r="AA24" s="1562">
        <f t="shared" si="3"/>
        <v>1</v>
      </c>
      <c r="AB24" s="1562">
        <f t="shared" si="4"/>
        <v>1</v>
      </c>
      <c r="AC24" s="1562">
        <f t="shared" si="5"/>
        <v>1</v>
      </c>
    </row>
    <row r="25" spans="1:29" s="1216" customFormat="1" ht="17"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18"/>
      <c r="Q25" s="1147">
        <f t="shared" si="11"/>
        <v>111</v>
      </c>
      <c r="R25" s="1554" t="s">
        <v>8</v>
      </c>
      <c r="S25" s="1555">
        <f>F25</f>
        <v>100</v>
      </c>
      <c r="T25" s="1554" t="s">
        <v>8</v>
      </c>
      <c r="U25" s="1555">
        <f>H25</f>
        <v>100</v>
      </c>
      <c r="V25" s="1554" t="s">
        <v>8</v>
      </c>
      <c r="W25" s="1555">
        <f>J25</f>
        <v>100</v>
      </c>
      <c r="X25" s="1556"/>
      <c r="Y25" s="3318"/>
      <c r="Z25" s="1146">
        <f>Q25</f>
        <v>111</v>
      </c>
      <c r="AA25" s="1562">
        <f>D25/F25</f>
        <v>1</v>
      </c>
      <c r="AB25" s="1562">
        <f>D25/H25</f>
        <v>1</v>
      </c>
      <c r="AC25" s="1562">
        <f>D25/J25</f>
        <v>1</v>
      </c>
    </row>
    <row r="26" spans="1:29" ht="16">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1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20" t="s">
        <v>821</v>
      </c>
      <c r="Z26" s="1561" t="str">
        <f t="shared" ref="Z26:Z34" si="15">Q26</f>
        <v>公共部分装修</v>
      </c>
      <c r="AA26" s="1562">
        <f t="shared" si="3"/>
        <v>1</v>
      </c>
      <c r="AB26" s="1562">
        <f t="shared" si="4"/>
        <v>1</v>
      </c>
      <c r="AC26" s="1562">
        <f t="shared" si="5"/>
        <v>1</v>
      </c>
    </row>
    <row r="27" spans="1:29" s="1335" customFormat="1" ht="16">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20"/>
      <c r="Q27" s="1590" t="str">
        <f t="shared" si="11"/>
        <v>成新率</v>
      </c>
      <c r="R27" s="1563" t="s">
        <v>8</v>
      </c>
      <c r="S27" s="1564" t="e">
        <f t="shared" si="12"/>
        <v>#N/A</v>
      </c>
      <c r="T27" s="1563" t="s">
        <v>8</v>
      </c>
      <c r="U27" s="1564" t="e">
        <f t="shared" si="13"/>
        <v>#N/A</v>
      </c>
      <c r="V27" s="1563" t="s">
        <v>8</v>
      </c>
      <c r="W27" s="1564" t="e">
        <f t="shared" si="14"/>
        <v>#N/A</v>
      </c>
      <c r="X27" s="1565"/>
      <c r="Y27" s="3320"/>
      <c r="Z27" s="1566" t="str">
        <f t="shared" si="15"/>
        <v>成新率</v>
      </c>
      <c r="AA27" s="1562" t="e">
        <f t="shared" si="3"/>
        <v>#N/A</v>
      </c>
      <c r="AB27" s="1562" t="e">
        <f t="shared" si="4"/>
        <v>#N/A</v>
      </c>
      <c r="AC27" s="1562" t="e">
        <f t="shared" si="5"/>
        <v>#N/A</v>
      </c>
    </row>
    <row r="28" spans="1:29" ht="16">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20"/>
      <c r="Q28" s="1558" t="str">
        <f t="shared" si="11"/>
        <v>物业等级</v>
      </c>
      <c r="R28" s="1559" t="s">
        <v>8</v>
      </c>
      <c r="S28" s="1560">
        <f t="shared" si="12"/>
        <v>100</v>
      </c>
      <c r="T28" s="1559" t="s">
        <v>8</v>
      </c>
      <c r="U28" s="1560">
        <f t="shared" si="13"/>
        <v>100</v>
      </c>
      <c r="V28" s="1559" t="s">
        <v>8</v>
      </c>
      <c r="W28" s="1560">
        <f t="shared" si="14"/>
        <v>100</v>
      </c>
      <c r="X28" s="1553"/>
      <c r="Y28" s="3320"/>
      <c r="Z28" s="1561" t="str">
        <f t="shared" si="15"/>
        <v>物业等级</v>
      </c>
      <c r="AA28" s="1562">
        <f t="shared" si="3"/>
        <v>1</v>
      </c>
      <c r="AB28" s="1562">
        <f t="shared" si="4"/>
        <v>1</v>
      </c>
      <c r="AC28" s="1562">
        <f t="shared" si="5"/>
        <v>1</v>
      </c>
    </row>
    <row r="29" spans="1:29" ht="16">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20"/>
      <c r="Q29" s="1558" t="str">
        <f t="shared" si="11"/>
        <v>有无电梯</v>
      </c>
      <c r="R29" s="1559" t="s">
        <v>8</v>
      </c>
      <c r="S29" s="1560">
        <f t="shared" si="12"/>
        <v>100</v>
      </c>
      <c r="T29" s="1559" t="s">
        <v>8</v>
      </c>
      <c r="U29" s="1560">
        <f t="shared" si="13"/>
        <v>100</v>
      </c>
      <c r="V29" s="1559" t="s">
        <v>8</v>
      </c>
      <c r="W29" s="1560">
        <f t="shared" si="14"/>
        <v>100</v>
      </c>
      <c r="X29" s="1553"/>
      <c r="Y29" s="3320"/>
      <c r="Z29" s="1561" t="str">
        <f t="shared" si="15"/>
        <v>有无电梯</v>
      </c>
      <c r="AA29" s="1562">
        <f t="shared" si="3"/>
        <v>1</v>
      </c>
      <c r="AB29" s="1562">
        <f t="shared" si="4"/>
        <v>1</v>
      </c>
      <c r="AC29" s="1562">
        <f t="shared" si="5"/>
        <v>1</v>
      </c>
    </row>
    <row r="30" spans="1:29" ht="16">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20"/>
      <c r="Q30" s="1558" t="str">
        <f t="shared" si="11"/>
        <v>建筑面积</v>
      </c>
      <c r="R30" s="1559" t="s">
        <v>8</v>
      </c>
      <c r="S30" s="1560" t="e">
        <f t="shared" si="12"/>
        <v>#N/A</v>
      </c>
      <c r="T30" s="1559" t="s">
        <v>8</v>
      </c>
      <c r="U30" s="1560" t="e">
        <f t="shared" si="13"/>
        <v>#N/A</v>
      </c>
      <c r="V30" s="1559" t="s">
        <v>8</v>
      </c>
      <c r="W30" s="1560" t="e">
        <f t="shared" si="14"/>
        <v>#N/A</v>
      </c>
      <c r="X30" s="1553"/>
      <c r="Y30" s="3320"/>
      <c r="Z30" s="1561" t="str">
        <f t="shared" si="15"/>
        <v>建筑面积</v>
      </c>
      <c r="AA30" s="1562" t="e">
        <f t="shared" si="3"/>
        <v>#N/A</v>
      </c>
      <c r="AB30" s="1562" t="e">
        <f t="shared" si="4"/>
        <v>#N/A</v>
      </c>
      <c r="AC30" s="1562" t="e">
        <f t="shared" si="5"/>
        <v>#N/A</v>
      </c>
    </row>
    <row r="31" spans="1:29" s="1216" customFormat="1" ht="16">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20"/>
      <c r="Q31" s="1147" t="str">
        <f t="shared" si="11"/>
        <v>是否封闭</v>
      </c>
      <c r="R31" s="1554" t="s">
        <v>8</v>
      </c>
      <c r="S31" s="1555">
        <f t="shared" si="12"/>
        <v>100</v>
      </c>
      <c r="T31" s="1554" t="s">
        <v>8</v>
      </c>
      <c r="U31" s="1555">
        <f t="shared" si="13"/>
        <v>100</v>
      </c>
      <c r="V31" s="1554" t="s">
        <v>8</v>
      </c>
      <c r="W31" s="1555">
        <f t="shared" si="14"/>
        <v>100</v>
      </c>
      <c r="X31" s="1556"/>
      <c r="Y31" s="3320"/>
      <c r="Z31" s="1146" t="str">
        <f t="shared" si="15"/>
        <v>是否封闭</v>
      </c>
      <c r="AA31" s="1557">
        <f t="shared" si="3"/>
        <v>1</v>
      </c>
      <c r="AB31" s="1557">
        <f t="shared" si="4"/>
        <v>1</v>
      </c>
      <c r="AC31" s="1557">
        <f t="shared" si="5"/>
        <v>1</v>
      </c>
    </row>
    <row r="32" spans="1:29" ht="16">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20" t="s">
        <v>550</v>
      </c>
      <c r="Q32" s="1558">
        <f t="shared" si="11"/>
        <v>111</v>
      </c>
      <c r="R32" s="1559" t="s">
        <v>8</v>
      </c>
      <c r="S32" s="1560">
        <f t="shared" si="12"/>
        <v>100</v>
      </c>
      <c r="T32" s="1559" t="s">
        <v>8</v>
      </c>
      <c r="U32" s="1560">
        <f t="shared" si="13"/>
        <v>100</v>
      </c>
      <c r="V32" s="1559" t="s">
        <v>8</v>
      </c>
      <c r="W32" s="1560">
        <f t="shared" si="14"/>
        <v>100</v>
      </c>
      <c r="X32" s="1553"/>
      <c r="Y32" s="3320" t="s">
        <v>550</v>
      </c>
      <c r="Z32" s="1561">
        <f t="shared" si="15"/>
        <v>111</v>
      </c>
      <c r="AA32" s="1562">
        <f t="shared" si="3"/>
        <v>1</v>
      </c>
      <c r="AB32" s="1562">
        <f t="shared" si="4"/>
        <v>1</v>
      </c>
      <c r="AC32" s="1562">
        <f t="shared" si="5"/>
        <v>1</v>
      </c>
    </row>
    <row r="33" spans="1:29" ht="16">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20"/>
      <c r="Q33" s="1558">
        <f t="shared" si="11"/>
        <v>111</v>
      </c>
      <c r="R33" s="1559" t="s">
        <v>8</v>
      </c>
      <c r="S33" s="1560">
        <f t="shared" si="12"/>
        <v>100</v>
      </c>
      <c r="T33" s="1559" t="s">
        <v>8</v>
      </c>
      <c r="U33" s="1560">
        <f t="shared" si="13"/>
        <v>100</v>
      </c>
      <c r="V33" s="1559" t="s">
        <v>8</v>
      </c>
      <c r="W33" s="1560">
        <f t="shared" si="14"/>
        <v>100</v>
      </c>
      <c r="X33" s="1553"/>
      <c r="Y33" s="3320"/>
      <c r="Z33" s="1561">
        <f t="shared" si="15"/>
        <v>111</v>
      </c>
      <c r="AA33" s="1562">
        <f t="shared" si="3"/>
        <v>1</v>
      </c>
      <c r="AB33" s="1562">
        <f t="shared" si="4"/>
        <v>1</v>
      </c>
      <c r="AC33" s="1562">
        <f t="shared" si="5"/>
        <v>1</v>
      </c>
    </row>
    <row r="34" spans="1:29" ht="17"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20"/>
      <c r="Q34" s="1558">
        <f t="shared" si="11"/>
        <v>111</v>
      </c>
      <c r="R34" s="1559" t="s">
        <v>8</v>
      </c>
      <c r="S34" s="1560">
        <f t="shared" si="12"/>
        <v>100</v>
      </c>
      <c r="T34" s="1559" t="s">
        <v>8</v>
      </c>
      <c r="U34" s="1560">
        <f t="shared" si="13"/>
        <v>100</v>
      </c>
      <c r="V34" s="1559" t="s">
        <v>8</v>
      </c>
      <c r="W34" s="1560">
        <f t="shared" si="14"/>
        <v>100</v>
      </c>
      <c r="X34" s="1553"/>
      <c r="Y34" s="3320"/>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15" t="str">
        <f>A35</f>
        <v>成交单价（元/平方米）</v>
      </c>
      <c r="Q35" s="3315"/>
      <c r="R35" s="3497">
        <f>E35</f>
        <v>0</v>
      </c>
      <c r="S35" s="3497"/>
      <c r="T35" s="3497">
        <f>G35</f>
        <v>0</v>
      </c>
      <c r="U35" s="3497"/>
      <c r="V35" s="3497">
        <f>I35</f>
        <v>0</v>
      </c>
      <c r="W35" s="3497"/>
      <c r="X35" s="1545"/>
      <c r="Y35" s="1567"/>
      <c r="Z35" s="1545"/>
      <c r="AA35" s="1545"/>
      <c r="AB35" s="1545"/>
      <c r="AC35" s="1545"/>
    </row>
    <row r="36" spans="1:29" ht="1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15" t="str">
        <f>A36</f>
        <v>比较价格（元/平方米）</v>
      </c>
      <c r="Q36" s="3315"/>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5"/>
      <c r="Y36" s="1545"/>
      <c r="Z36" s="1545"/>
      <c r="AA36" s="1545"/>
      <c r="AB36" s="1545"/>
      <c r="AC36" s="1545"/>
    </row>
    <row r="37" spans="1:29" ht="15" thickBot="1">
      <c r="A37" s="621" t="s">
        <v>2934</v>
      </c>
      <c r="B37" s="622"/>
      <c r="C37" s="2600" t="e">
        <f>R37</f>
        <v>#DIV/0!</v>
      </c>
      <c r="D37" s="2600"/>
      <c r="E37" s="2600"/>
      <c r="F37" s="2600"/>
      <c r="G37" s="2600"/>
      <c r="H37" s="2600"/>
      <c r="I37" s="2600"/>
      <c r="J37" s="2600"/>
      <c r="K37" s="1598"/>
      <c r="L37" s="2129"/>
      <c r="M37" s="2130"/>
      <c r="N37" s="2130"/>
      <c r="O37" s="2130"/>
      <c r="P37" s="3336" t="str">
        <f>A37</f>
        <v>估价对象XX用房的比较价格（楼面单价，元/平方米）</v>
      </c>
      <c r="Q37" s="3337"/>
      <c r="R37" s="3496" t="e">
        <f>IF(F1="售价",ROUND(AVERAGE(R36:V36),0),ROUND(AVERAGE(R36:V36),1))</f>
        <v>#DIV/0!</v>
      </c>
      <c r="S37" s="3496"/>
      <c r="T37" s="3496"/>
      <c r="U37" s="3496"/>
      <c r="V37" s="3496"/>
      <c r="W37" s="349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2020-2</v>
      </c>
      <c r="D46" s="2759">
        <f>EDATE(C46,-1)</f>
        <v>43831</v>
      </c>
      <c r="E46" s="2759">
        <f t="shared" ref="E46:O46" si="16">EDATE(D46,-1)</f>
        <v>43800</v>
      </c>
      <c r="F46" s="2759">
        <f t="shared" si="16"/>
        <v>43770</v>
      </c>
      <c r="G46" s="2759">
        <f t="shared" si="16"/>
        <v>43739</v>
      </c>
      <c r="H46" s="2759">
        <f t="shared" si="16"/>
        <v>43709</v>
      </c>
      <c r="I46" s="2759">
        <f t="shared" si="16"/>
        <v>43678</v>
      </c>
      <c r="J46" s="2759">
        <f t="shared" si="16"/>
        <v>43647</v>
      </c>
      <c r="K46" s="2759">
        <f t="shared" si="16"/>
        <v>43617</v>
      </c>
      <c r="L46" s="2759">
        <f t="shared" si="16"/>
        <v>43586</v>
      </c>
      <c r="M46" s="2759">
        <f t="shared" si="16"/>
        <v>43556</v>
      </c>
      <c r="N46" s="2759">
        <f t="shared" si="16"/>
        <v>43525</v>
      </c>
      <c r="O46" s="2759">
        <f t="shared" si="16"/>
        <v>43497</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5">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31"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6"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6"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6"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6"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6"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6"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6"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6"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6"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6"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6"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6"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6" customWidth="1"/>
    <col min="2" max="2" width="9.16406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506" t="s">
        <v>2302</v>
      </c>
      <c r="D1" s="3507"/>
      <c r="E1" s="3507"/>
      <c r="F1" s="3507"/>
      <c r="G1" s="3507"/>
      <c r="H1" s="3507"/>
      <c r="I1" s="3507"/>
      <c r="J1" s="3507"/>
      <c r="K1" s="3507"/>
      <c r="L1" s="3507"/>
      <c r="M1" s="3507"/>
      <c r="N1" s="3507"/>
      <c r="O1" s="3507"/>
      <c r="P1" s="3507"/>
      <c r="Q1" s="3507"/>
      <c r="R1" s="3507"/>
      <c r="S1" s="3508"/>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14">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4"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14">
      <c r="A5" s="2236"/>
      <c r="B5" s="3040"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4"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ht="14">
      <c r="A7" s="2236"/>
      <c r="B7" s="3042"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4"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14">
      <c r="A9" s="2236"/>
      <c r="B9" s="3042"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4"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14">
      <c r="A11" s="2236"/>
      <c r="B11" s="3040"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4"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14">
      <c r="A13" s="2236"/>
      <c r="B13" s="3040"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4"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ht="14">
      <c r="A15" s="2236"/>
      <c r="B15" s="3040"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4"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ht="15">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4"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ht="14">
      <c r="A22" s="799" t="s">
        <v>830</v>
      </c>
      <c r="B22" s="53">
        <f>SUM(B24:B10000)</f>
        <v>0</v>
      </c>
      <c r="C22" s="3503" t="s">
        <v>20</v>
      </c>
      <c r="D22" s="3504"/>
      <c r="E22" s="3504"/>
      <c r="F22" s="3504"/>
      <c r="G22" s="3504"/>
      <c r="H22" s="3504"/>
      <c r="I22" s="3504"/>
      <c r="J22" s="3504"/>
      <c r="K22" s="3504"/>
      <c r="L22" s="3504"/>
      <c r="M22" s="3504"/>
      <c r="N22" s="3504"/>
      <c r="O22" s="3504"/>
      <c r="P22" s="3504"/>
      <c r="Q22" s="3505"/>
      <c r="R22" s="490" t="e">
        <f>ROUND(S22*10000/B22,0)</f>
        <v>#DIV/0!</v>
      </c>
      <c r="S22" s="53">
        <f>SUM(S24:S10000)</f>
        <v>0</v>
      </c>
    </row>
    <row r="23" spans="1:45" s="1599" customFormat="1" ht="28">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ht="14">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baseColWidth="10" defaultColWidth="8.83203125" defaultRowHeight="14"/>
  <cols>
    <col min="1" max="1" width="4.83203125" style="2896" customWidth="1"/>
    <col min="2" max="2" width="13.1640625" style="2902" customWidth="1"/>
    <col min="3" max="3" width="15.6640625" style="2902" customWidth="1"/>
    <col min="4" max="4" width="9.33203125" style="2902" bestFit="1" customWidth="1"/>
    <col min="5" max="5" width="13.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640625" style="2902" customWidth="1"/>
    <col min="13" max="13" width="13.83203125" style="2902" customWidth="1"/>
    <col min="14" max="256" width="9" style="2902"/>
    <col min="257" max="257" width="4.83203125" style="2894" customWidth="1"/>
    <col min="258" max="258" width="13.1640625" style="2894" customWidth="1"/>
    <col min="259" max="259" width="15.6640625" style="2894" customWidth="1"/>
    <col min="260" max="260" width="9.33203125" style="2894" bestFit="1" customWidth="1"/>
    <col min="261" max="261" width="13.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640625" style="2894" customWidth="1"/>
    <col min="269" max="269" width="13.83203125" style="2894" customWidth="1"/>
    <col min="270" max="512" width="9" style="2894"/>
    <col min="513" max="513" width="4.83203125" style="2894" customWidth="1"/>
    <col min="514" max="514" width="13.1640625" style="2894" customWidth="1"/>
    <col min="515" max="515" width="15.6640625" style="2894" customWidth="1"/>
    <col min="516" max="516" width="9.33203125" style="2894" bestFit="1" customWidth="1"/>
    <col min="517" max="517" width="13.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640625" style="2894" customWidth="1"/>
    <col min="525" max="525" width="13.83203125" style="2894" customWidth="1"/>
    <col min="526" max="768" width="9" style="2894"/>
    <col min="769" max="769" width="4.83203125" style="2894" customWidth="1"/>
    <col min="770" max="770" width="13.1640625" style="2894" customWidth="1"/>
    <col min="771" max="771" width="15.6640625" style="2894" customWidth="1"/>
    <col min="772" max="772" width="9.33203125" style="2894" bestFit="1" customWidth="1"/>
    <col min="773" max="773" width="13.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640625" style="2894" customWidth="1"/>
    <col min="781" max="781" width="13.83203125" style="2894" customWidth="1"/>
    <col min="782" max="1024" width="9" style="2894"/>
    <col min="1025" max="1025" width="4.83203125" style="2894" customWidth="1"/>
    <col min="1026" max="1026" width="13.1640625" style="2894" customWidth="1"/>
    <col min="1027" max="1027" width="15.6640625" style="2894" customWidth="1"/>
    <col min="1028" max="1028" width="9.33203125" style="2894" bestFit="1" customWidth="1"/>
    <col min="1029" max="1029" width="13.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640625" style="2894" customWidth="1"/>
    <col min="1037" max="1037" width="13.83203125" style="2894" customWidth="1"/>
    <col min="1038" max="1280" width="9" style="2894"/>
    <col min="1281" max="1281" width="4.83203125" style="2894" customWidth="1"/>
    <col min="1282" max="1282" width="13.1640625" style="2894" customWidth="1"/>
    <col min="1283" max="1283" width="15.6640625" style="2894" customWidth="1"/>
    <col min="1284" max="1284" width="9.33203125" style="2894" bestFit="1" customWidth="1"/>
    <col min="1285" max="1285" width="13.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640625" style="2894" customWidth="1"/>
    <col min="1293" max="1293" width="13.83203125" style="2894" customWidth="1"/>
    <col min="1294" max="1536" width="9" style="2894"/>
    <col min="1537" max="1537" width="4.83203125" style="2894" customWidth="1"/>
    <col min="1538" max="1538" width="13.1640625" style="2894" customWidth="1"/>
    <col min="1539" max="1539" width="15.6640625" style="2894" customWidth="1"/>
    <col min="1540" max="1540" width="9.33203125" style="2894" bestFit="1" customWidth="1"/>
    <col min="1541" max="1541" width="13.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640625" style="2894" customWidth="1"/>
    <col min="1549" max="1549" width="13.83203125" style="2894" customWidth="1"/>
    <col min="1550" max="1792" width="9" style="2894"/>
    <col min="1793" max="1793" width="4.83203125" style="2894" customWidth="1"/>
    <col min="1794" max="1794" width="13.1640625" style="2894" customWidth="1"/>
    <col min="1795" max="1795" width="15.6640625" style="2894" customWidth="1"/>
    <col min="1796" max="1796" width="9.33203125" style="2894" bestFit="1" customWidth="1"/>
    <col min="1797" max="1797" width="13.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640625" style="2894" customWidth="1"/>
    <col min="1805" max="1805" width="13.83203125" style="2894" customWidth="1"/>
    <col min="1806" max="2048" width="9" style="2894"/>
    <col min="2049" max="2049" width="4.83203125" style="2894" customWidth="1"/>
    <col min="2050" max="2050" width="13.1640625" style="2894" customWidth="1"/>
    <col min="2051" max="2051" width="15.6640625" style="2894" customWidth="1"/>
    <col min="2052" max="2052" width="9.33203125" style="2894" bestFit="1" customWidth="1"/>
    <col min="2053" max="2053" width="13.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640625" style="2894" customWidth="1"/>
    <col min="2061" max="2061" width="13.83203125" style="2894" customWidth="1"/>
    <col min="2062" max="2304" width="9" style="2894"/>
    <col min="2305" max="2305" width="4.83203125" style="2894" customWidth="1"/>
    <col min="2306" max="2306" width="13.1640625" style="2894" customWidth="1"/>
    <col min="2307" max="2307" width="15.6640625" style="2894" customWidth="1"/>
    <col min="2308" max="2308" width="9.33203125" style="2894" bestFit="1" customWidth="1"/>
    <col min="2309" max="2309" width="13.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640625" style="2894" customWidth="1"/>
    <col min="2317" max="2317" width="13.83203125" style="2894" customWidth="1"/>
    <col min="2318" max="2560" width="9" style="2894"/>
    <col min="2561" max="2561" width="4.83203125" style="2894" customWidth="1"/>
    <col min="2562" max="2562" width="13.1640625" style="2894" customWidth="1"/>
    <col min="2563" max="2563" width="15.6640625" style="2894" customWidth="1"/>
    <col min="2564" max="2564" width="9.33203125" style="2894" bestFit="1" customWidth="1"/>
    <col min="2565" max="2565" width="13.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640625" style="2894" customWidth="1"/>
    <col min="2573" max="2573" width="13.83203125" style="2894" customWidth="1"/>
    <col min="2574" max="2816" width="9" style="2894"/>
    <col min="2817" max="2817" width="4.83203125" style="2894" customWidth="1"/>
    <col min="2818" max="2818" width="13.1640625" style="2894" customWidth="1"/>
    <col min="2819" max="2819" width="15.6640625" style="2894" customWidth="1"/>
    <col min="2820" max="2820" width="9.33203125" style="2894" bestFit="1" customWidth="1"/>
    <col min="2821" max="2821" width="13.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640625" style="2894" customWidth="1"/>
    <col min="2829" max="2829" width="13.83203125" style="2894" customWidth="1"/>
    <col min="2830" max="3072" width="9" style="2894"/>
    <col min="3073" max="3073" width="4.83203125" style="2894" customWidth="1"/>
    <col min="3074" max="3074" width="13.1640625" style="2894" customWidth="1"/>
    <col min="3075" max="3075" width="15.6640625" style="2894" customWidth="1"/>
    <col min="3076" max="3076" width="9.33203125" style="2894" bestFit="1" customWidth="1"/>
    <col min="3077" max="3077" width="13.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640625" style="2894" customWidth="1"/>
    <col min="3085" max="3085" width="13.83203125" style="2894" customWidth="1"/>
    <col min="3086" max="3328" width="9" style="2894"/>
    <col min="3329" max="3329" width="4.83203125" style="2894" customWidth="1"/>
    <col min="3330" max="3330" width="13.1640625" style="2894" customWidth="1"/>
    <col min="3331" max="3331" width="15.6640625" style="2894" customWidth="1"/>
    <col min="3332" max="3332" width="9.33203125" style="2894" bestFit="1" customWidth="1"/>
    <col min="3333" max="3333" width="13.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640625" style="2894" customWidth="1"/>
    <col min="3341" max="3341" width="13.83203125" style="2894" customWidth="1"/>
    <col min="3342" max="3584" width="9" style="2894"/>
    <col min="3585" max="3585" width="4.83203125" style="2894" customWidth="1"/>
    <col min="3586" max="3586" width="13.1640625" style="2894" customWidth="1"/>
    <col min="3587" max="3587" width="15.6640625" style="2894" customWidth="1"/>
    <col min="3588" max="3588" width="9.33203125" style="2894" bestFit="1" customWidth="1"/>
    <col min="3589" max="3589" width="13.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640625" style="2894" customWidth="1"/>
    <col min="3597" max="3597" width="13.83203125" style="2894" customWidth="1"/>
    <col min="3598" max="3840" width="9" style="2894"/>
    <col min="3841" max="3841" width="4.83203125" style="2894" customWidth="1"/>
    <col min="3842" max="3842" width="13.1640625" style="2894" customWidth="1"/>
    <col min="3843" max="3843" width="15.6640625" style="2894" customWidth="1"/>
    <col min="3844" max="3844" width="9.33203125" style="2894" bestFit="1" customWidth="1"/>
    <col min="3845" max="3845" width="13.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640625" style="2894" customWidth="1"/>
    <col min="3853" max="3853" width="13.83203125" style="2894" customWidth="1"/>
    <col min="3854" max="4096" width="9" style="2894"/>
    <col min="4097" max="4097" width="4.83203125" style="2894" customWidth="1"/>
    <col min="4098" max="4098" width="13.1640625" style="2894" customWidth="1"/>
    <col min="4099" max="4099" width="15.6640625" style="2894" customWidth="1"/>
    <col min="4100" max="4100" width="9.33203125" style="2894" bestFit="1" customWidth="1"/>
    <col min="4101" max="4101" width="13.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640625" style="2894" customWidth="1"/>
    <col min="4109" max="4109" width="13.83203125" style="2894" customWidth="1"/>
    <col min="4110" max="4352" width="9" style="2894"/>
    <col min="4353" max="4353" width="4.83203125" style="2894" customWidth="1"/>
    <col min="4354" max="4354" width="13.1640625" style="2894" customWidth="1"/>
    <col min="4355" max="4355" width="15.6640625" style="2894" customWidth="1"/>
    <col min="4356" max="4356" width="9.33203125" style="2894" bestFit="1" customWidth="1"/>
    <col min="4357" max="4357" width="13.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640625" style="2894" customWidth="1"/>
    <col min="4365" max="4365" width="13.83203125" style="2894" customWidth="1"/>
    <col min="4366" max="4608" width="9" style="2894"/>
    <col min="4609" max="4609" width="4.83203125" style="2894" customWidth="1"/>
    <col min="4610" max="4610" width="13.1640625" style="2894" customWidth="1"/>
    <col min="4611" max="4611" width="15.6640625" style="2894" customWidth="1"/>
    <col min="4612" max="4612" width="9.33203125" style="2894" bestFit="1" customWidth="1"/>
    <col min="4613" max="4613" width="13.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640625" style="2894" customWidth="1"/>
    <col min="4621" max="4621" width="13.83203125" style="2894" customWidth="1"/>
    <col min="4622" max="4864" width="9" style="2894"/>
    <col min="4865" max="4865" width="4.83203125" style="2894" customWidth="1"/>
    <col min="4866" max="4866" width="13.1640625" style="2894" customWidth="1"/>
    <col min="4867" max="4867" width="15.6640625" style="2894" customWidth="1"/>
    <col min="4868" max="4868" width="9.33203125" style="2894" bestFit="1" customWidth="1"/>
    <col min="4869" max="4869" width="13.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640625" style="2894" customWidth="1"/>
    <col min="4877" max="4877" width="13.83203125" style="2894" customWidth="1"/>
    <col min="4878" max="5120" width="9" style="2894"/>
    <col min="5121" max="5121" width="4.83203125" style="2894" customWidth="1"/>
    <col min="5122" max="5122" width="13.1640625" style="2894" customWidth="1"/>
    <col min="5123" max="5123" width="15.6640625" style="2894" customWidth="1"/>
    <col min="5124" max="5124" width="9.33203125" style="2894" bestFit="1" customWidth="1"/>
    <col min="5125" max="5125" width="13.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640625" style="2894" customWidth="1"/>
    <col min="5133" max="5133" width="13.83203125" style="2894" customWidth="1"/>
    <col min="5134" max="5376" width="9" style="2894"/>
    <col min="5377" max="5377" width="4.83203125" style="2894" customWidth="1"/>
    <col min="5378" max="5378" width="13.1640625" style="2894" customWidth="1"/>
    <col min="5379" max="5379" width="15.6640625" style="2894" customWidth="1"/>
    <col min="5380" max="5380" width="9.33203125" style="2894" bestFit="1" customWidth="1"/>
    <col min="5381" max="5381" width="13.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640625" style="2894" customWidth="1"/>
    <col min="5389" max="5389" width="13.83203125" style="2894" customWidth="1"/>
    <col min="5390" max="5632" width="9" style="2894"/>
    <col min="5633" max="5633" width="4.83203125" style="2894" customWidth="1"/>
    <col min="5634" max="5634" width="13.1640625" style="2894" customWidth="1"/>
    <col min="5635" max="5635" width="15.6640625" style="2894" customWidth="1"/>
    <col min="5636" max="5636" width="9.33203125" style="2894" bestFit="1" customWidth="1"/>
    <col min="5637" max="5637" width="13.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640625" style="2894" customWidth="1"/>
    <col min="5645" max="5645" width="13.83203125" style="2894" customWidth="1"/>
    <col min="5646" max="5888" width="9" style="2894"/>
    <col min="5889" max="5889" width="4.83203125" style="2894" customWidth="1"/>
    <col min="5890" max="5890" width="13.1640625" style="2894" customWidth="1"/>
    <col min="5891" max="5891" width="15.6640625" style="2894" customWidth="1"/>
    <col min="5892" max="5892" width="9.33203125" style="2894" bestFit="1" customWidth="1"/>
    <col min="5893" max="5893" width="13.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640625" style="2894" customWidth="1"/>
    <col min="5901" max="5901" width="13.83203125" style="2894" customWidth="1"/>
    <col min="5902" max="6144" width="9" style="2894"/>
    <col min="6145" max="6145" width="4.83203125" style="2894" customWidth="1"/>
    <col min="6146" max="6146" width="13.1640625" style="2894" customWidth="1"/>
    <col min="6147" max="6147" width="15.6640625" style="2894" customWidth="1"/>
    <col min="6148" max="6148" width="9.33203125" style="2894" bestFit="1" customWidth="1"/>
    <col min="6149" max="6149" width="13.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640625" style="2894" customWidth="1"/>
    <col min="6157" max="6157" width="13.83203125" style="2894" customWidth="1"/>
    <col min="6158" max="6400" width="9" style="2894"/>
    <col min="6401" max="6401" width="4.83203125" style="2894" customWidth="1"/>
    <col min="6402" max="6402" width="13.1640625" style="2894" customWidth="1"/>
    <col min="6403" max="6403" width="15.6640625" style="2894" customWidth="1"/>
    <col min="6404" max="6404" width="9.33203125" style="2894" bestFit="1" customWidth="1"/>
    <col min="6405" max="6405" width="13.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640625" style="2894" customWidth="1"/>
    <col min="6413" max="6413" width="13.83203125" style="2894" customWidth="1"/>
    <col min="6414" max="6656" width="9" style="2894"/>
    <col min="6657" max="6657" width="4.83203125" style="2894" customWidth="1"/>
    <col min="6658" max="6658" width="13.1640625" style="2894" customWidth="1"/>
    <col min="6659" max="6659" width="15.6640625" style="2894" customWidth="1"/>
    <col min="6660" max="6660" width="9.33203125" style="2894" bestFit="1" customWidth="1"/>
    <col min="6661" max="6661" width="13.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640625" style="2894" customWidth="1"/>
    <col min="6669" max="6669" width="13.83203125" style="2894" customWidth="1"/>
    <col min="6670" max="6912" width="9" style="2894"/>
    <col min="6913" max="6913" width="4.83203125" style="2894" customWidth="1"/>
    <col min="6914" max="6914" width="13.1640625" style="2894" customWidth="1"/>
    <col min="6915" max="6915" width="15.6640625" style="2894" customWidth="1"/>
    <col min="6916" max="6916" width="9.33203125" style="2894" bestFit="1" customWidth="1"/>
    <col min="6917" max="6917" width="13.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640625" style="2894" customWidth="1"/>
    <col min="6925" max="6925" width="13.83203125" style="2894" customWidth="1"/>
    <col min="6926" max="7168" width="9" style="2894"/>
    <col min="7169" max="7169" width="4.83203125" style="2894" customWidth="1"/>
    <col min="7170" max="7170" width="13.1640625" style="2894" customWidth="1"/>
    <col min="7171" max="7171" width="15.6640625" style="2894" customWidth="1"/>
    <col min="7172" max="7172" width="9.33203125" style="2894" bestFit="1" customWidth="1"/>
    <col min="7173" max="7173" width="13.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640625" style="2894" customWidth="1"/>
    <col min="7181" max="7181" width="13.83203125" style="2894" customWidth="1"/>
    <col min="7182" max="7424" width="9" style="2894"/>
    <col min="7425" max="7425" width="4.83203125" style="2894" customWidth="1"/>
    <col min="7426" max="7426" width="13.1640625" style="2894" customWidth="1"/>
    <col min="7427" max="7427" width="15.6640625" style="2894" customWidth="1"/>
    <col min="7428" max="7428" width="9.33203125" style="2894" bestFit="1" customWidth="1"/>
    <col min="7429" max="7429" width="13.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640625" style="2894" customWidth="1"/>
    <col min="7437" max="7437" width="13.83203125" style="2894" customWidth="1"/>
    <col min="7438" max="7680" width="9" style="2894"/>
    <col min="7681" max="7681" width="4.83203125" style="2894" customWidth="1"/>
    <col min="7682" max="7682" width="13.1640625" style="2894" customWidth="1"/>
    <col min="7683" max="7683" width="15.6640625" style="2894" customWidth="1"/>
    <col min="7684" max="7684" width="9.33203125" style="2894" bestFit="1" customWidth="1"/>
    <col min="7685" max="7685" width="13.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640625" style="2894" customWidth="1"/>
    <col min="7693" max="7693" width="13.83203125" style="2894" customWidth="1"/>
    <col min="7694" max="7936" width="9" style="2894"/>
    <col min="7937" max="7937" width="4.83203125" style="2894" customWidth="1"/>
    <col min="7938" max="7938" width="13.1640625" style="2894" customWidth="1"/>
    <col min="7939" max="7939" width="15.6640625" style="2894" customWidth="1"/>
    <col min="7940" max="7940" width="9.33203125" style="2894" bestFit="1" customWidth="1"/>
    <col min="7941" max="7941" width="13.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640625" style="2894" customWidth="1"/>
    <col min="7949" max="7949" width="13.83203125" style="2894" customWidth="1"/>
    <col min="7950" max="8192" width="9" style="2894"/>
    <col min="8193" max="8193" width="4.83203125" style="2894" customWidth="1"/>
    <col min="8194" max="8194" width="13.1640625" style="2894" customWidth="1"/>
    <col min="8195" max="8195" width="15.6640625" style="2894" customWidth="1"/>
    <col min="8196" max="8196" width="9.33203125" style="2894" bestFit="1" customWidth="1"/>
    <col min="8197" max="8197" width="13.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640625" style="2894" customWidth="1"/>
    <col min="8205" max="8205" width="13.83203125" style="2894" customWidth="1"/>
    <col min="8206" max="8448" width="9" style="2894"/>
    <col min="8449" max="8449" width="4.83203125" style="2894" customWidth="1"/>
    <col min="8450" max="8450" width="13.1640625" style="2894" customWidth="1"/>
    <col min="8451" max="8451" width="15.6640625" style="2894" customWidth="1"/>
    <col min="8452" max="8452" width="9.33203125" style="2894" bestFit="1" customWidth="1"/>
    <col min="8453" max="8453" width="13.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640625" style="2894" customWidth="1"/>
    <col min="8461" max="8461" width="13.83203125" style="2894" customWidth="1"/>
    <col min="8462" max="8704" width="9" style="2894"/>
    <col min="8705" max="8705" width="4.83203125" style="2894" customWidth="1"/>
    <col min="8706" max="8706" width="13.1640625" style="2894" customWidth="1"/>
    <col min="8707" max="8707" width="15.6640625" style="2894" customWidth="1"/>
    <col min="8708" max="8708" width="9.33203125" style="2894" bestFit="1" customWidth="1"/>
    <col min="8709" max="8709" width="13.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640625" style="2894" customWidth="1"/>
    <col min="8717" max="8717" width="13.83203125" style="2894" customWidth="1"/>
    <col min="8718" max="8960" width="9" style="2894"/>
    <col min="8961" max="8961" width="4.83203125" style="2894" customWidth="1"/>
    <col min="8962" max="8962" width="13.1640625" style="2894" customWidth="1"/>
    <col min="8963" max="8963" width="15.6640625" style="2894" customWidth="1"/>
    <col min="8964" max="8964" width="9.33203125" style="2894" bestFit="1" customWidth="1"/>
    <col min="8965" max="8965" width="13.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640625" style="2894" customWidth="1"/>
    <col min="8973" max="8973" width="13.83203125" style="2894" customWidth="1"/>
    <col min="8974" max="9216" width="9" style="2894"/>
    <col min="9217" max="9217" width="4.83203125" style="2894" customWidth="1"/>
    <col min="9218" max="9218" width="13.1640625" style="2894" customWidth="1"/>
    <col min="9219" max="9219" width="15.6640625" style="2894" customWidth="1"/>
    <col min="9220" max="9220" width="9.33203125" style="2894" bestFit="1" customWidth="1"/>
    <col min="9221" max="9221" width="13.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640625" style="2894" customWidth="1"/>
    <col min="9229" max="9229" width="13.83203125" style="2894" customWidth="1"/>
    <col min="9230" max="9472" width="9" style="2894"/>
    <col min="9473" max="9473" width="4.83203125" style="2894" customWidth="1"/>
    <col min="9474" max="9474" width="13.1640625" style="2894" customWidth="1"/>
    <col min="9475" max="9475" width="15.6640625" style="2894" customWidth="1"/>
    <col min="9476" max="9476" width="9.33203125" style="2894" bestFit="1" customWidth="1"/>
    <col min="9477" max="9477" width="13.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640625" style="2894" customWidth="1"/>
    <col min="9485" max="9485" width="13.83203125" style="2894" customWidth="1"/>
    <col min="9486" max="9728" width="9" style="2894"/>
    <col min="9729" max="9729" width="4.83203125" style="2894" customWidth="1"/>
    <col min="9730" max="9730" width="13.1640625" style="2894" customWidth="1"/>
    <col min="9731" max="9731" width="15.6640625" style="2894" customWidth="1"/>
    <col min="9732" max="9732" width="9.33203125" style="2894" bestFit="1" customWidth="1"/>
    <col min="9733" max="9733" width="13.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640625" style="2894" customWidth="1"/>
    <col min="9741" max="9741" width="13.83203125" style="2894" customWidth="1"/>
    <col min="9742" max="9984" width="9" style="2894"/>
    <col min="9985" max="9985" width="4.83203125" style="2894" customWidth="1"/>
    <col min="9986" max="9986" width="13.1640625" style="2894" customWidth="1"/>
    <col min="9987" max="9987" width="15.6640625" style="2894" customWidth="1"/>
    <col min="9988" max="9988" width="9.33203125" style="2894" bestFit="1" customWidth="1"/>
    <col min="9989" max="9989" width="13.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640625" style="2894" customWidth="1"/>
    <col min="9997" max="9997" width="13.83203125" style="2894" customWidth="1"/>
    <col min="9998" max="10240" width="9" style="2894"/>
    <col min="10241" max="10241" width="4.83203125" style="2894" customWidth="1"/>
    <col min="10242" max="10242" width="13.1640625" style="2894" customWidth="1"/>
    <col min="10243" max="10243" width="15.6640625" style="2894" customWidth="1"/>
    <col min="10244" max="10244" width="9.33203125" style="2894" bestFit="1" customWidth="1"/>
    <col min="10245" max="10245" width="13.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640625" style="2894" customWidth="1"/>
    <col min="10253" max="10253" width="13.83203125" style="2894" customWidth="1"/>
    <col min="10254" max="10496" width="9" style="2894"/>
    <col min="10497" max="10497" width="4.83203125" style="2894" customWidth="1"/>
    <col min="10498" max="10498" width="13.1640625" style="2894" customWidth="1"/>
    <col min="10499" max="10499" width="15.6640625" style="2894" customWidth="1"/>
    <col min="10500" max="10500" width="9.33203125" style="2894" bestFit="1" customWidth="1"/>
    <col min="10501" max="10501" width="13.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640625" style="2894" customWidth="1"/>
    <col min="10509" max="10509" width="13.83203125" style="2894" customWidth="1"/>
    <col min="10510" max="10752" width="9" style="2894"/>
    <col min="10753" max="10753" width="4.83203125" style="2894" customWidth="1"/>
    <col min="10754" max="10754" width="13.1640625" style="2894" customWidth="1"/>
    <col min="10755" max="10755" width="15.6640625" style="2894" customWidth="1"/>
    <col min="10756" max="10756" width="9.33203125" style="2894" bestFit="1" customWidth="1"/>
    <col min="10757" max="10757" width="13.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640625" style="2894" customWidth="1"/>
    <col min="10765" max="10765" width="13.83203125" style="2894" customWidth="1"/>
    <col min="10766" max="11008" width="9" style="2894"/>
    <col min="11009" max="11009" width="4.83203125" style="2894" customWidth="1"/>
    <col min="11010" max="11010" width="13.1640625" style="2894" customWidth="1"/>
    <col min="11011" max="11011" width="15.6640625" style="2894" customWidth="1"/>
    <col min="11012" max="11012" width="9.33203125" style="2894" bestFit="1" customWidth="1"/>
    <col min="11013" max="11013" width="13.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640625" style="2894" customWidth="1"/>
    <col min="11021" max="11021" width="13.83203125" style="2894" customWidth="1"/>
    <col min="11022" max="11264" width="9" style="2894"/>
    <col min="11265" max="11265" width="4.83203125" style="2894" customWidth="1"/>
    <col min="11266" max="11266" width="13.1640625" style="2894" customWidth="1"/>
    <col min="11267" max="11267" width="15.6640625" style="2894" customWidth="1"/>
    <col min="11268" max="11268" width="9.33203125" style="2894" bestFit="1" customWidth="1"/>
    <col min="11269" max="11269" width="13.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640625" style="2894" customWidth="1"/>
    <col min="11277" max="11277" width="13.83203125" style="2894" customWidth="1"/>
    <col min="11278" max="11520" width="9" style="2894"/>
    <col min="11521" max="11521" width="4.83203125" style="2894" customWidth="1"/>
    <col min="11522" max="11522" width="13.1640625" style="2894" customWidth="1"/>
    <col min="11523" max="11523" width="15.6640625" style="2894" customWidth="1"/>
    <col min="11524" max="11524" width="9.33203125" style="2894" bestFit="1" customWidth="1"/>
    <col min="11525" max="11525" width="13.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640625" style="2894" customWidth="1"/>
    <col min="11533" max="11533" width="13.83203125" style="2894" customWidth="1"/>
    <col min="11534" max="11776" width="9" style="2894"/>
    <col min="11777" max="11777" width="4.83203125" style="2894" customWidth="1"/>
    <col min="11778" max="11778" width="13.1640625" style="2894" customWidth="1"/>
    <col min="11779" max="11779" width="15.6640625" style="2894" customWidth="1"/>
    <col min="11780" max="11780" width="9.33203125" style="2894" bestFit="1" customWidth="1"/>
    <col min="11781" max="11781" width="13.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640625" style="2894" customWidth="1"/>
    <col min="11789" max="11789" width="13.83203125" style="2894" customWidth="1"/>
    <col min="11790" max="12032" width="9" style="2894"/>
    <col min="12033" max="12033" width="4.83203125" style="2894" customWidth="1"/>
    <col min="12034" max="12034" width="13.1640625" style="2894" customWidth="1"/>
    <col min="12035" max="12035" width="15.6640625" style="2894" customWidth="1"/>
    <col min="12036" max="12036" width="9.33203125" style="2894" bestFit="1" customWidth="1"/>
    <col min="12037" max="12037" width="13.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640625" style="2894" customWidth="1"/>
    <col min="12045" max="12045" width="13.83203125" style="2894" customWidth="1"/>
    <col min="12046" max="12288" width="9" style="2894"/>
    <col min="12289" max="12289" width="4.83203125" style="2894" customWidth="1"/>
    <col min="12290" max="12290" width="13.1640625" style="2894" customWidth="1"/>
    <col min="12291" max="12291" width="15.6640625" style="2894" customWidth="1"/>
    <col min="12292" max="12292" width="9.33203125" style="2894" bestFit="1" customWidth="1"/>
    <col min="12293" max="12293" width="13.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640625" style="2894" customWidth="1"/>
    <col min="12301" max="12301" width="13.83203125" style="2894" customWidth="1"/>
    <col min="12302" max="12544" width="9" style="2894"/>
    <col min="12545" max="12545" width="4.83203125" style="2894" customWidth="1"/>
    <col min="12546" max="12546" width="13.1640625" style="2894" customWidth="1"/>
    <col min="12547" max="12547" width="15.6640625" style="2894" customWidth="1"/>
    <col min="12548" max="12548" width="9.33203125" style="2894" bestFit="1" customWidth="1"/>
    <col min="12549" max="12549" width="13.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640625" style="2894" customWidth="1"/>
    <col min="12557" max="12557" width="13.83203125" style="2894" customWidth="1"/>
    <col min="12558" max="12800" width="9" style="2894"/>
    <col min="12801" max="12801" width="4.83203125" style="2894" customWidth="1"/>
    <col min="12802" max="12802" width="13.1640625" style="2894" customWidth="1"/>
    <col min="12803" max="12803" width="15.6640625" style="2894" customWidth="1"/>
    <col min="12804" max="12804" width="9.33203125" style="2894" bestFit="1" customWidth="1"/>
    <col min="12805" max="12805" width="13.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640625" style="2894" customWidth="1"/>
    <col min="12813" max="12813" width="13.83203125" style="2894" customWidth="1"/>
    <col min="12814" max="13056" width="9" style="2894"/>
    <col min="13057" max="13057" width="4.83203125" style="2894" customWidth="1"/>
    <col min="13058" max="13058" width="13.1640625" style="2894" customWidth="1"/>
    <col min="13059" max="13059" width="15.6640625" style="2894" customWidth="1"/>
    <col min="13060" max="13060" width="9.33203125" style="2894" bestFit="1" customWidth="1"/>
    <col min="13061" max="13061" width="13.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640625" style="2894" customWidth="1"/>
    <col min="13069" max="13069" width="13.83203125" style="2894" customWidth="1"/>
    <col min="13070" max="13312" width="9" style="2894"/>
    <col min="13313" max="13313" width="4.83203125" style="2894" customWidth="1"/>
    <col min="13314" max="13314" width="13.1640625" style="2894" customWidth="1"/>
    <col min="13315" max="13315" width="15.6640625" style="2894" customWidth="1"/>
    <col min="13316" max="13316" width="9.33203125" style="2894" bestFit="1" customWidth="1"/>
    <col min="13317" max="13317" width="13.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640625" style="2894" customWidth="1"/>
    <col min="13325" max="13325" width="13.83203125" style="2894" customWidth="1"/>
    <col min="13326" max="13568" width="9" style="2894"/>
    <col min="13569" max="13569" width="4.83203125" style="2894" customWidth="1"/>
    <col min="13570" max="13570" width="13.1640625" style="2894" customWidth="1"/>
    <col min="13571" max="13571" width="15.6640625" style="2894" customWidth="1"/>
    <col min="13572" max="13572" width="9.33203125" style="2894" bestFit="1" customWidth="1"/>
    <col min="13573" max="13573" width="13.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640625" style="2894" customWidth="1"/>
    <col min="13581" max="13581" width="13.83203125" style="2894" customWidth="1"/>
    <col min="13582" max="13824" width="9" style="2894"/>
    <col min="13825" max="13825" width="4.83203125" style="2894" customWidth="1"/>
    <col min="13826" max="13826" width="13.1640625" style="2894" customWidth="1"/>
    <col min="13827" max="13827" width="15.6640625" style="2894" customWidth="1"/>
    <col min="13828" max="13828" width="9.33203125" style="2894" bestFit="1" customWidth="1"/>
    <col min="13829" max="13829" width="13.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640625" style="2894" customWidth="1"/>
    <col min="13837" max="13837" width="13.83203125" style="2894" customWidth="1"/>
    <col min="13838" max="14080" width="9" style="2894"/>
    <col min="14081" max="14081" width="4.83203125" style="2894" customWidth="1"/>
    <col min="14082" max="14082" width="13.1640625" style="2894" customWidth="1"/>
    <col min="14083" max="14083" width="15.6640625" style="2894" customWidth="1"/>
    <col min="14084" max="14084" width="9.33203125" style="2894" bestFit="1" customWidth="1"/>
    <col min="14085" max="14085" width="13.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640625" style="2894" customWidth="1"/>
    <col min="14093" max="14093" width="13.83203125" style="2894" customWidth="1"/>
    <col min="14094" max="14336" width="9" style="2894"/>
    <col min="14337" max="14337" width="4.83203125" style="2894" customWidth="1"/>
    <col min="14338" max="14338" width="13.1640625" style="2894" customWidth="1"/>
    <col min="14339" max="14339" width="15.6640625" style="2894" customWidth="1"/>
    <col min="14340" max="14340" width="9.33203125" style="2894" bestFit="1" customWidth="1"/>
    <col min="14341" max="14341" width="13.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640625" style="2894" customWidth="1"/>
    <col min="14349" max="14349" width="13.83203125" style="2894" customWidth="1"/>
    <col min="14350" max="14592" width="9" style="2894"/>
    <col min="14593" max="14593" width="4.83203125" style="2894" customWidth="1"/>
    <col min="14594" max="14594" width="13.1640625" style="2894" customWidth="1"/>
    <col min="14595" max="14595" width="15.6640625" style="2894" customWidth="1"/>
    <col min="14596" max="14596" width="9.33203125" style="2894" bestFit="1" customWidth="1"/>
    <col min="14597" max="14597" width="13.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640625" style="2894" customWidth="1"/>
    <col min="14605" max="14605" width="13.83203125" style="2894" customWidth="1"/>
    <col min="14606" max="14848" width="9" style="2894"/>
    <col min="14849" max="14849" width="4.83203125" style="2894" customWidth="1"/>
    <col min="14850" max="14850" width="13.1640625" style="2894" customWidth="1"/>
    <col min="14851" max="14851" width="15.6640625" style="2894" customWidth="1"/>
    <col min="14852" max="14852" width="9.33203125" style="2894" bestFit="1" customWidth="1"/>
    <col min="14853" max="14853" width="13.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640625" style="2894" customWidth="1"/>
    <col min="14861" max="14861" width="13.83203125" style="2894" customWidth="1"/>
    <col min="14862" max="15104" width="9" style="2894"/>
    <col min="15105" max="15105" width="4.83203125" style="2894" customWidth="1"/>
    <col min="15106" max="15106" width="13.1640625" style="2894" customWidth="1"/>
    <col min="15107" max="15107" width="15.6640625" style="2894" customWidth="1"/>
    <col min="15108" max="15108" width="9.33203125" style="2894" bestFit="1" customWidth="1"/>
    <col min="15109" max="15109" width="13.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640625" style="2894" customWidth="1"/>
    <col min="15117" max="15117" width="13.83203125" style="2894" customWidth="1"/>
    <col min="15118" max="15360" width="9" style="2894"/>
    <col min="15361" max="15361" width="4.83203125" style="2894" customWidth="1"/>
    <col min="15362" max="15362" width="13.1640625" style="2894" customWidth="1"/>
    <col min="15363" max="15363" width="15.6640625" style="2894" customWidth="1"/>
    <col min="15364" max="15364" width="9.33203125" style="2894" bestFit="1" customWidth="1"/>
    <col min="15365" max="15365" width="13.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640625" style="2894" customWidth="1"/>
    <col min="15373" max="15373" width="13.83203125" style="2894" customWidth="1"/>
    <col min="15374" max="15616" width="9" style="2894"/>
    <col min="15617" max="15617" width="4.83203125" style="2894" customWidth="1"/>
    <col min="15618" max="15618" width="13.1640625" style="2894" customWidth="1"/>
    <col min="15619" max="15619" width="15.6640625" style="2894" customWidth="1"/>
    <col min="15620" max="15620" width="9.33203125" style="2894" bestFit="1" customWidth="1"/>
    <col min="15621" max="15621" width="13.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640625" style="2894" customWidth="1"/>
    <col min="15629" max="15629" width="13.83203125" style="2894" customWidth="1"/>
    <col min="15630" max="15872" width="9" style="2894"/>
    <col min="15873" max="15873" width="4.83203125" style="2894" customWidth="1"/>
    <col min="15874" max="15874" width="13.1640625" style="2894" customWidth="1"/>
    <col min="15875" max="15875" width="15.6640625" style="2894" customWidth="1"/>
    <col min="15876" max="15876" width="9.33203125" style="2894" bestFit="1" customWidth="1"/>
    <col min="15877" max="15877" width="13.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640625" style="2894" customWidth="1"/>
    <col min="15885" max="15885" width="13.83203125" style="2894" customWidth="1"/>
    <col min="15886" max="16128" width="9" style="2894"/>
    <col min="16129" max="16129" width="4.83203125" style="2894" customWidth="1"/>
    <col min="16130" max="16130" width="13.1640625" style="2894" customWidth="1"/>
    <col min="16131" max="16131" width="15.6640625" style="2894" customWidth="1"/>
    <col min="16132" max="16132" width="9.33203125" style="2894" bestFit="1" customWidth="1"/>
    <col min="16133" max="16133" width="13.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640625" style="2894" customWidth="1"/>
    <col min="16141" max="16141" width="13.83203125" style="2894" customWidth="1"/>
    <col min="16142" max="16384" width="9" style="2894"/>
  </cols>
  <sheetData>
    <row r="1" spans="1:257" s="2954" customFormat="1" ht="15" thickBot="1">
      <c r="A1" s="2953"/>
      <c r="B1" s="2955" t="s">
        <v>2785</v>
      </c>
      <c r="C1" s="2959">
        <f>项目基本情况!D3</f>
        <v>43875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6" thickTop="1" thickBot="1">
      <c r="A2" s="2895"/>
      <c r="B2" s="2956" t="s">
        <v>2816</v>
      </c>
      <c r="C2" s="2960">
        <f>'数据-取费表'!B22</f>
        <v>2.5</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19">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4">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ht="15">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6">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ht="15">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ht="15">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ht="15">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ht="15">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ht="15">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ht="15">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ht="15">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ht="15">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ht="15">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ht="15">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ht="15">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8">
      <c r="A1" s="3211" t="s">
        <v>2036</v>
      </c>
      <c r="B1" s="3211"/>
      <c r="C1" s="3211"/>
      <c r="D1" s="3211"/>
      <c r="E1" s="3211"/>
      <c r="F1" s="3211"/>
      <c r="G1" s="3211"/>
      <c r="H1" s="3211"/>
      <c r="I1" s="3211"/>
      <c r="J1" s="3211"/>
      <c r="K1" s="3211"/>
      <c r="L1" s="3211"/>
      <c r="M1" s="3211"/>
      <c r="N1" s="3211"/>
      <c r="O1" s="3211"/>
      <c r="P1" s="3211"/>
      <c r="Q1" s="3211"/>
      <c r="R1" s="3211"/>
    </row>
    <row r="2" spans="1:18">
      <c r="A2" s="1792" t="s">
        <v>2038</v>
      </c>
      <c r="B2" s="1792"/>
      <c r="C2" s="1792"/>
      <c r="D2" s="1792"/>
      <c r="E2" s="1792"/>
      <c r="F2" s="1792"/>
      <c r="G2" s="1792"/>
      <c r="H2" s="1792"/>
      <c r="I2" s="1793"/>
      <c r="J2" s="1793"/>
      <c r="K2" s="1794" t="str">
        <f>"估价期日："&amp;TEXT(项目基本情况!D3,"yyyy年m月d日;;")</f>
        <v>估价期日：2020年2月14日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2" t="s">
        <v>2027</v>
      </c>
      <c r="B3" s="3212" t="s">
        <v>2728</v>
      </c>
      <c r="C3" s="3213" t="s">
        <v>2028</v>
      </c>
      <c r="D3" s="3212" t="s">
        <v>2732</v>
      </c>
      <c r="E3" s="3215" t="s">
        <v>2029</v>
      </c>
      <c r="F3" s="3215"/>
      <c r="G3" s="3215"/>
      <c r="H3" s="3215" t="s">
        <v>2030</v>
      </c>
      <c r="I3" s="3215"/>
      <c r="J3" s="3215"/>
      <c r="K3" s="3213" t="s">
        <v>2031</v>
      </c>
      <c r="L3" s="3213" t="s">
        <v>2032</v>
      </c>
      <c r="M3" s="3212" t="s">
        <v>2729</v>
      </c>
      <c r="N3" s="3214" t="str">
        <f>"（分摊）"&amp;项目基本情况!B16&amp;"国有建设用地使用权面积/㎡"</f>
        <v>（分摊）出让国有建设用地使用权面积/㎡</v>
      </c>
      <c r="O3" s="3212" t="s">
        <v>2061</v>
      </c>
      <c r="P3" s="3213" t="s">
        <v>2041</v>
      </c>
      <c r="Q3" s="3213" t="s">
        <v>2062</v>
      </c>
      <c r="R3" s="3213" t="s">
        <v>2033</v>
      </c>
    </row>
    <row r="4" spans="1:18" ht="36.75" customHeight="1">
      <c r="A4" s="3212"/>
      <c r="B4" s="3212"/>
      <c r="C4" s="3213"/>
      <c r="D4" s="3212"/>
      <c r="E4" s="2613" t="s">
        <v>2040</v>
      </c>
      <c r="F4" s="2613" t="s">
        <v>2741</v>
      </c>
      <c r="G4" s="2613" t="s">
        <v>2034</v>
      </c>
      <c r="H4" s="2613" t="s">
        <v>2035</v>
      </c>
      <c r="I4" s="2613" t="s">
        <v>2742</v>
      </c>
      <c r="J4" s="2613" t="s">
        <v>2034</v>
      </c>
      <c r="K4" s="3213"/>
      <c r="L4" s="3213"/>
      <c r="M4" s="3212"/>
      <c r="N4" s="3214"/>
      <c r="O4" s="3212"/>
      <c r="P4" s="3213"/>
      <c r="Q4" s="3213"/>
      <c r="R4" s="3213"/>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63650</v>
      </c>
      <c r="O5" s="1795">
        <f>项目基本情况!C21</f>
        <v>237128</v>
      </c>
      <c r="P5" s="1795">
        <f ca="1">结果表!E42</f>
        <v>8821</v>
      </c>
      <c r="Q5" s="1795">
        <f ca="1">结果表!D42</f>
        <v>2368</v>
      </c>
      <c r="R5" s="1796">
        <f ca="1">结果表!C42</f>
        <v>56146</v>
      </c>
    </row>
    <row r="6" spans="1:18" ht="15">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7" t="str">
        <f>结果表!O39</f>
        <v>——</v>
      </c>
    </row>
    <row r="7" spans="1:18" ht="15">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7" t="str">
        <f>结果表!O40</f>
        <v>——</v>
      </c>
    </row>
    <row r="8" spans="1:18" ht="15">
      <c r="A8" s="3216">
        <f>IF(项目基本情况!B9="市场价格","——",项目基本情况!E9)</f>
        <v>0</v>
      </c>
      <c r="B8" s="3217"/>
      <c r="C8" s="3217"/>
      <c r="D8" s="3217"/>
      <c r="E8" s="3217"/>
      <c r="F8" s="3217"/>
      <c r="G8" s="3217"/>
      <c r="H8" s="3217"/>
      <c r="I8" s="3217"/>
      <c r="J8" s="3217"/>
      <c r="K8" s="3217"/>
      <c r="L8" s="3217"/>
      <c r="M8" s="3217"/>
      <c r="N8" s="3217"/>
      <c r="O8" s="3217"/>
      <c r="P8" s="3217"/>
      <c r="Q8" s="3218"/>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6"/>
  <cols>
    <col min="1" max="1" width="15.83203125" style="1787" customWidth="1"/>
    <col min="2" max="3" width="21.33203125" style="1787" customWidth="1"/>
    <col min="4" max="4" width="19.83203125" style="1787" customWidth="1"/>
    <col min="5" max="16384" width="9" style="1787"/>
  </cols>
  <sheetData>
    <row r="1" spans="1:4">
      <c r="A1" s="3219" t="s">
        <v>2063</v>
      </c>
      <c r="B1" s="3219"/>
      <c r="C1" s="3219"/>
      <c r="D1" s="3219"/>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22" t="s">
        <v>2064</v>
      </c>
      <c r="B5" s="3222"/>
      <c r="C5" s="3222"/>
      <c r="D5" s="3222"/>
    </row>
    <row r="6" spans="1:4">
      <c r="A6" s="3219" t="s">
        <v>2042</v>
      </c>
      <c r="B6" s="3219"/>
      <c r="C6" s="3219"/>
      <c r="D6" s="3219"/>
    </row>
    <row r="7" spans="1:4" ht="33" customHeight="1">
      <c r="A7" s="3219" t="s">
        <v>2572</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22" t="s">
        <v>2066</v>
      </c>
      <c r="B12" s="3222"/>
      <c r="C12" s="3222"/>
      <c r="D12" s="3222"/>
    </row>
    <row r="13" spans="1:4">
      <c r="A13" s="3220" t="s">
        <v>2743</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2699</v>
      </c>
      <c r="B17" s="3219"/>
      <c r="C17" s="3219"/>
      <c r="D17" s="3219"/>
    </row>
    <row r="18" spans="1:4">
      <c r="A18" s="3219" t="s">
        <v>2691</v>
      </c>
      <c r="B18" s="3219"/>
      <c r="C18" s="3219"/>
      <c r="D18" s="3219"/>
    </row>
    <row r="19" spans="1:4" ht="17">
      <c r="A19" s="2823" t="s">
        <v>2692</v>
      </c>
      <c r="B19" s="2823" t="s">
        <v>2693</v>
      </c>
      <c r="C19" s="2823" t="s">
        <v>2694</v>
      </c>
      <c r="D19" s="2823" t="s">
        <v>2695</v>
      </c>
    </row>
    <row r="20" spans="1:4" ht="17">
      <c r="A20" s="2823" t="str">
        <f>项目基本情况!B4</f>
        <v>土地估价师</v>
      </c>
      <c r="B20" s="2823">
        <f>项目基本情况!C4</f>
        <v>0</v>
      </c>
      <c r="C20" s="2825"/>
      <c r="D20" s="1785" t="s">
        <v>2700</v>
      </c>
    </row>
    <row r="21" spans="1:4" ht="17">
      <c r="A21" s="2823" t="str">
        <f>项目基本情况!D4</f>
        <v>土地估价师</v>
      </c>
      <c r="B21" s="2823">
        <f>项目基本情况!E4</f>
        <v>0</v>
      </c>
      <c r="C21" s="2825"/>
      <c r="D21" s="1785" t="s">
        <v>2701</v>
      </c>
    </row>
    <row r="23" spans="1:4">
      <c r="A23" s="3219" t="s">
        <v>2696</v>
      </c>
      <c r="B23" s="3219"/>
      <c r="C23" s="3219"/>
      <c r="D23" s="3219"/>
    </row>
    <row r="24" spans="1:4" ht="17">
      <c r="A24" s="2823" t="s">
        <v>2692</v>
      </c>
      <c r="B24" s="2823" t="s">
        <v>2697</v>
      </c>
      <c r="C24" s="2823" t="s">
        <v>2694</v>
      </c>
      <c r="D24" s="2823" t="s">
        <v>2695</v>
      </c>
    </row>
    <row r="25" spans="1:4" ht="17">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baseColWidth="10" defaultColWidth="14.5" defaultRowHeight="16"/>
  <cols>
    <col min="1" max="1" width="14.5" style="1161" customWidth="1"/>
    <col min="2" max="16384" width="14.5" style="1159"/>
  </cols>
  <sheetData>
    <row r="1" spans="1:7" s="1157" customFormat="1" ht="18">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31" t="s">
        <v>53</v>
      </c>
      <c r="B15" s="3232" t="s">
        <v>846</v>
      </c>
      <c r="C15" s="3228"/>
    </row>
    <row r="16" spans="1:7" ht="14">
      <c r="A16" s="3231"/>
      <c r="B16" s="3229" t="s">
        <v>54</v>
      </c>
      <c r="C16" s="1168" t="s">
        <v>53</v>
      </c>
    </row>
    <row r="17" spans="1:3" ht="14">
      <c r="A17" s="3231"/>
      <c r="B17" s="3229"/>
      <c r="C17" s="1168" t="s">
        <v>55</v>
      </c>
    </row>
    <row r="18" spans="1:3" ht="14">
      <c r="A18" s="3231"/>
      <c r="B18" s="3229"/>
      <c r="C18" s="1168" t="s">
        <v>56</v>
      </c>
    </row>
    <row r="19" spans="1:3" ht="14">
      <c r="A19" s="3231"/>
      <c r="B19" s="3227" t="s">
        <v>57</v>
      </c>
      <c r="C19" s="3228"/>
    </row>
    <row r="20" spans="1:3" ht="14">
      <c r="A20" s="1169" t="s">
        <v>58</v>
      </c>
      <c r="B20" s="1170"/>
      <c r="C20" s="1171"/>
    </row>
    <row r="21" spans="1:3" ht="14">
      <c r="A21" s="3230" t="s">
        <v>59</v>
      </c>
      <c r="B21" s="3227" t="s">
        <v>60</v>
      </c>
      <c r="C21" s="3228"/>
    </row>
    <row r="22" spans="1:3" ht="14">
      <c r="A22" s="3230"/>
      <c r="B22" s="3227" t="s">
        <v>61</v>
      </c>
      <c r="C22" s="3228"/>
    </row>
    <row r="23" spans="1:3" ht="14">
      <c r="A23" s="3230"/>
      <c r="B23" s="3227" t="s">
        <v>62</v>
      </c>
      <c r="C23" s="3228"/>
    </row>
    <row r="24" spans="1:3" ht="14">
      <c r="A24" s="3230"/>
      <c r="B24" s="3233" t="s">
        <v>63</v>
      </c>
      <c r="C24" s="1172" t="s">
        <v>837</v>
      </c>
    </row>
    <row r="25" spans="1:3" ht="14">
      <c r="A25" s="3230"/>
      <c r="B25" s="3234"/>
      <c r="C25" s="1172" t="s">
        <v>838</v>
      </c>
    </row>
    <row r="26" spans="1:3" ht="14">
      <c r="A26" s="3230"/>
      <c r="B26" s="3234"/>
      <c r="C26" s="1172" t="s">
        <v>839</v>
      </c>
    </row>
    <row r="27" spans="1:3" ht="14">
      <c r="A27" s="3230"/>
      <c r="B27" s="3234"/>
      <c r="C27" s="1172" t="s">
        <v>840</v>
      </c>
    </row>
    <row r="28" spans="1:3" ht="14">
      <c r="A28" s="3230"/>
      <c r="B28" s="3234"/>
      <c r="C28" s="1172" t="s">
        <v>841</v>
      </c>
    </row>
    <row r="29" spans="1:3" ht="14">
      <c r="A29" s="3230"/>
      <c r="B29" s="3234"/>
      <c r="C29" s="1172" t="s">
        <v>842</v>
      </c>
    </row>
    <row r="30" spans="1:3" ht="14">
      <c r="A30" s="3230"/>
      <c r="B30" s="3234"/>
      <c r="C30" s="1172" t="s">
        <v>843</v>
      </c>
    </row>
    <row r="31" spans="1:3" ht="14">
      <c r="A31" s="3230"/>
      <c r="B31" s="3234"/>
      <c r="C31" s="1172" t="s">
        <v>844</v>
      </c>
    </row>
    <row r="32" spans="1:3" ht="14">
      <c r="A32" s="3230"/>
      <c r="B32" s="3234"/>
      <c r="C32" s="1172" t="s">
        <v>1646</v>
      </c>
    </row>
    <row r="33" spans="1:3" ht="14">
      <c r="A33" s="3230"/>
      <c r="B33" s="3224" t="s">
        <v>1652</v>
      </c>
      <c r="C33" s="1172" t="s">
        <v>1647</v>
      </c>
    </row>
    <row r="34" spans="1:3" ht="14">
      <c r="A34" s="3230"/>
      <c r="B34" s="3225"/>
      <c r="C34" s="1177" t="s">
        <v>1648</v>
      </c>
    </row>
    <row r="35" spans="1:3" ht="14">
      <c r="A35" s="3230"/>
      <c r="B35" s="3225"/>
      <c r="C35" s="1178" t="s">
        <v>1649</v>
      </c>
    </row>
    <row r="36" spans="1:3" ht="14">
      <c r="A36" s="3230"/>
      <c r="B36" s="3225"/>
      <c r="C36" s="1178" t="s">
        <v>1650</v>
      </c>
    </row>
    <row r="37" spans="1:3" ht="14">
      <c r="A37" s="3230"/>
      <c r="B37" s="3226"/>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baseColWidth="10" defaultColWidth="22.6640625" defaultRowHeight="20.25" customHeight="1"/>
  <cols>
    <col min="1" max="1" width="24.83203125" style="3128" customWidth="1"/>
    <col min="2" max="5" width="22.6640625" style="3128"/>
    <col min="6" max="6" width="25.6640625" style="3128" customWidth="1"/>
    <col min="7" max="16384" width="22.6640625" style="3128"/>
  </cols>
  <sheetData>
    <row r="2" spans="1:6" ht="20.25" customHeight="1">
      <c r="A2" s="3125" t="s">
        <v>1907</v>
      </c>
      <c r="B2" s="3126">
        <f ca="1">TODAY()</f>
        <v>43875</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t="str">
        <f ca="1">IF(C4&lt;B2,"已过期",1119970066)</f>
        <v>已过期</v>
      </c>
      <c r="C4" s="3132">
        <v>43849</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t="str">
        <f ca="1">IF(C8&lt;B2,"已过期",1120000080)</f>
        <v>已过期</v>
      </c>
      <c r="C8" s="3132">
        <v>43849</v>
      </c>
      <c r="D8" s="3130" t="s">
        <v>1917</v>
      </c>
      <c r="E8" s="3130">
        <f ca="1">IF(F8&lt;B2,"已过期",2000110082)</f>
        <v>2000110082</v>
      </c>
      <c r="F8" s="3133">
        <v>46387</v>
      </c>
    </row>
    <row r="9" spans="1:6" ht="20.25" customHeight="1">
      <c r="A9" s="3130" t="s">
        <v>1918</v>
      </c>
      <c r="B9" s="3130" t="str">
        <f ca="1">IF(C9&lt;B2,"已过期",1419970001)</f>
        <v>已过期</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2979</v>
      </c>
      <c r="B14" s="3130">
        <f ca="1">IF(C14&lt;B2,"已过期",1120040230)</f>
        <v>1120040230</v>
      </c>
      <c r="C14" s="3134">
        <v>44864</v>
      </c>
      <c r="D14" s="3135" t="s">
        <v>2980</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2993</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2995</v>
      </c>
      <c r="B23" s="3130">
        <v>1119980106</v>
      </c>
      <c r="C23" s="3132">
        <v>43916</v>
      </c>
      <c r="D23" s="3130"/>
      <c r="E23" s="3130"/>
      <c r="F23" s="3130"/>
    </row>
    <row r="24" spans="1:7" s="3138" customFormat="1" ht="20.25" customHeight="1">
      <c r="A24" s="3129" t="s">
        <v>2051</v>
      </c>
      <c r="B24" s="3129" t="s">
        <v>2051</v>
      </c>
      <c r="C24" s="3132"/>
      <c r="D24" s="3137" t="s">
        <v>2051</v>
      </c>
      <c r="E24" s="3129" t="s">
        <v>2051</v>
      </c>
      <c r="F24" s="3136"/>
    </row>
    <row r="25" spans="1:7" ht="20.25" customHeight="1">
      <c r="A25" s="3235" t="s">
        <v>1924</v>
      </c>
      <c r="B25" s="3235"/>
      <c r="C25" s="3235"/>
      <c r="D25" s="3235"/>
      <c r="E25" s="3235"/>
      <c r="F25" s="3235"/>
      <c r="G25" s="3235"/>
    </row>
    <row r="26" spans="1:7" ht="20.25" customHeight="1">
      <c r="A26" s="3236" t="s">
        <v>1925</v>
      </c>
      <c r="B26" s="3236"/>
      <c r="C26" s="3236"/>
      <c r="D26" s="3236" t="s">
        <v>1926</v>
      </c>
      <c r="E26" s="3236"/>
      <c r="F26" s="3236"/>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2994</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4" sqref="B24"/>
    </sheetView>
  </sheetViews>
  <sheetFormatPr baseColWidth="10" defaultColWidth="9" defaultRowHeight="14"/>
  <cols>
    <col min="1" max="1" width="10.33203125" style="1181" customWidth="1"/>
    <col min="2" max="2" width="18.83203125" style="1159"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1640625" style="1159" customWidth="1"/>
    <col min="26" max="16384" width="9" style="1159"/>
  </cols>
  <sheetData>
    <row r="1" spans="1:23" s="1180" customFormat="1" ht="30">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2953</v>
      </c>
      <c r="C18" s="1540"/>
    </row>
    <row r="19" spans="1:3">
      <c r="A19" s="8" t="s">
        <v>120</v>
      </c>
      <c r="B19" s="3063" t="s">
        <v>2961</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3208" t="s">
        <v>3380</v>
      </c>
      <c r="C23" s="1540"/>
    </row>
    <row r="24" spans="1:3">
      <c r="A24" s="8" t="s">
        <v>12</v>
      </c>
      <c r="B24" s="8" t="s">
        <v>3379</v>
      </c>
      <c r="C24" s="1540"/>
    </row>
    <row r="25" spans="1:3">
      <c r="A25" s="8" t="s">
        <v>125</v>
      </c>
      <c r="B25" s="8" t="s">
        <v>3377</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c r="D53" s="1752"/>
      <c r="E53" s="1752"/>
    </row>
    <row r="54" spans="1:5">
      <c r="A54" s="323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住宅土地案例</vt:lpstr>
      <vt:lpstr>Sheet1</vt:lpstr>
      <vt:lpstr>数据-基础表</vt:lpstr>
      <vt:lpstr>抵押物清单（分楼）</vt:lpstr>
      <vt:lpstr>数据-汇总表</vt:lpstr>
      <vt:lpstr>数据-取费表</vt:lpstr>
      <vt:lpstr>比较法-住宅、综合</vt:lpstr>
      <vt:lpstr>估价对象房地状况</vt:lpstr>
      <vt:lpstr>系统读取表</vt:lpstr>
      <vt:lpstr>结果表</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不动产收益法-地下车库</vt:lpstr>
      <vt:lpstr>不动产收益法-自持地上商业</vt:lpstr>
      <vt:lpstr>不动产收益法-自持地下商业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2020-02-14T06:10:24Z</dcterms:modified>
</cp:coreProperties>
</file>