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商办车库" sheetId="85" r:id="rId18"/>
    <sheet name="结果表" sheetId="9" r:id="rId19"/>
    <sheet name="比较法-住宅" sheetId="21" state="hidden" r:id="rId20"/>
    <sheet name="土地比较法-住宅、综合" sheetId="39" state="hidden" r:id="rId21"/>
    <sheet name="成本法" sheetId="68" state="hidden" r:id="rId22"/>
    <sheet name="成本法 (元)" sheetId="69" state="hidden" r:id="rId23"/>
    <sheet name="假设开发法" sheetId="12" state="hidden" r:id="rId24"/>
    <sheet name="比较法-工业" sheetId="37" state="hidden" r:id="rId25"/>
    <sheet name="收益法" sheetId="15" state="hidden" r:id="rId26"/>
    <sheet name="收益法-酒店模型" sheetId="77" state="hidden" r:id="rId27"/>
    <sheet name="收益法（汇总）" sheetId="70" state="hidden" r:id="rId28"/>
    <sheet name="比较法-商业" sheetId="33" r:id="rId29"/>
    <sheet name="收益法商" sheetId="92" r:id="rId30"/>
    <sheet name="典型户型修正" sheetId="31" r:id="rId31"/>
    <sheet name="结果表办" sheetId="89" r:id="rId32"/>
    <sheet name="比较法-办公" sheetId="34" r:id="rId33"/>
    <sheet name="收益法 (办)" sheetId="87" r:id="rId34"/>
    <sheet name="典型户型修正办" sheetId="88" r:id="rId35"/>
    <sheet name="结果表车" sheetId="83"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r:id="rId50"/>
    <sheet name="收益法 (元)" sheetId="67" r:id="rId51"/>
    <sheet name="典型户型修正车" sheetId="86" r:id="rId52"/>
  </sheets>
  <externalReferences>
    <externalReference r:id="rId53"/>
    <externalReference r:id="rId54"/>
    <externalReference r:id="rId55"/>
    <externalReference r:id="rId56"/>
    <externalReference r:id="rId57"/>
    <externalReference r:id="rId58"/>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4"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4">'比较法-工业'!$A$1:$K$48,'比较法-工业'!$A$51:$M$113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结果表办!$A$1:$I$127</definedName>
    <definedName name="_xlnm.Print_Area" localSheetId="35">结果表车!$A$1:$I$127</definedName>
    <definedName name="_xlnm.Print_Area" localSheetId="25">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7">'收益法（汇总）'!$A$1:$F$13</definedName>
    <definedName name="_xlnm.Print_Area" localSheetId="29">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34">典型户型修正办!$5:$5</definedName>
    <definedName name="一修多修正项2" localSheetId="51">典型户型修正车!$5:$5</definedName>
    <definedName name="一修多修正项2">典型户型修正!$5:$5</definedName>
    <definedName name="一修多修正项3" localSheetId="34">典型户型修正办!$7:$7</definedName>
    <definedName name="一修多修正项3" localSheetId="51">典型户型修正车!$7:$7</definedName>
    <definedName name="一修多修正项3">典型户型修正!$7:$7</definedName>
    <definedName name="一修多修正项4" localSheetId="34">典型户型修正办!$9:$9</definedName>
    <definedName name="一修多修正项4" localSheetId="51">典型户型修正车!$9:$9</definedName>
    <definedName name="一修多修正项4">典型户型修正!$9:$9</definedName>
    <definedName name="一修多修正项5" localSheetId="34">典型户型修正办!$11:$11</definedName>
    <definedName name="一修多修正项5" localSheetId="51">典型户型修正车!$11:$11</definedName>
    <definedName name="一修多修正项5">典型户型修正!$11:$11</definedName>
    <definedName name="一修多修正项6" localSheetId="34">典型户型修正办!$13:$13</definedName>
    <definedName name="一修多修正项6" localSheetId="51">典型户型修正车!$13:$13</definedName>
    <definedName name="一修多修正项6">典型户型修正!$13:$13</definedName>
    <definedName name="一修多修正项7" localSheetId="34">典型户型修正办!$15:$15</definedName>
    <definedName name="一修多修正项7" localSheetId="51">典型户型修正车!$15:$15</definedName>
    <definedName name="一修多修正项7">典型户型修正!$15:$15</definedName>
    <definedName name="一修多修正项8" localSheetId="34">典型户型修正办!$17:$17</definedName>
    <definedName name="一修多修正项8" localSheetId="51">典型户型修正车!$17:$17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28" i="85" l="1"/>
  <c r="K16" i="35"/>
  <c r="K19" i="34"/>
  <c r="F35" i="67"/>
  <c r="F35" i="87"/>
  <c r="F35" i="92"/>
  <c r="F916" i="85" l="1"/>
  <c r="F362" i="85"/>
  <c r="F342" i="85"/>
  <c r="F331" i="85"/>
  <c r="F296" i="85"/>
  <c r="F282" i="85"/>
  <c r="F37" i="85"/>
  <c r="F13" i="85"/>
  <c r="F8" i="85"/>
  <c r="B19" i="74" l="1"/>
  <c r="B18" i="74"/>
  <c r="U83" i="88" l="1"/>
  <c r="U58" i="88"/>
  <c r="U49" i="88"/>
  <c r="U29" i="88"/>
  <c r="U24" i="88"/>
  <c r="U37" i="31"/>
  <c r="U32" i="31"/>
  <c r="U27" i="31"/>
  <c r="U24" i="31"/>
  <c r="B17" i="74"/>
  <c r="U74" i="31"/>
  <c r="A87" i="31"/>
  <c r="B87" i="31"/>
  <c r="A88" i="31"/>
  <c r="B88" i="31"/>
  <c r="A86" i="31"/>
  <c r="B86" i="31"/>
  <c r="T87" i="31"/>
  <c r="T88" i="31"/>
  <c r="T75" i="31"/>
  <c r="T76" i="31"/>
  <c r="T77" i="31"/>
  <c r="T78" i="31"/>
  <c r="T79" i="31"/>
  <c r="T80" i="31"/>
  <c r="T81" i="31"/>
  <c r="T82" i="31"/>
  <c r="T83" i="31"/>
  <c r="T84" i="31"/>
  <c r="T85" i="31"/>
  <c r="T86" i="31"/>
  <c r="T74" i="31"/>
  <c r="A84" i="31"/>
  <c r="B84" i="31"/>
  <c r="A85" i="31"/>
  <c r="B85" i="31"/>
  <c r="A75" i="31"/>
  <c r="B75" i="31"/>
  <c r="A76" i="31"/>
  <c r="B76" i="31"/>
  <c r="A77" i="31"/>
  <c r="B77" i="31"/>
  <c r="A78" i="31"/>
  <c r="B78" i="31"/>
  <c r="A79" i="31"/>
  <c r="B79" i="31"/>
  <c r="A80" i="31"/>
  <c r="B80" i="31"/>
  <c r="A81" i="31"/>
  <c r="B81" i="31"/>
  <c r="A82" i="31"/>
  <c r="B82" i="31"/>
  <c r="A83" i="31"/>
  <c r="B83" i="31"/>
  <c r="B74" i="31"/>
  <c r="A74"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B44" i="31"/>
  <c r="A44" i="31"/>
  <c r="T38" i="31"/>
  <c r="T39" i="31"/>
  <c r="T40" i="31"/>
  <c r="T41" i="31"/>
  <c r="T42" i="31"/>
  <c r="T37" i="31"/>
  <c r="B38" i="31"/>
  <c r="B39" i="31"/>
  <c r="B40" i="31"/>
  <c r="B41" i="31"/>
  <c r="B42" i="31"/>
  <c r="B37" i="31"/>
  <c r="A38" i="31"/>
  <c r="A39" i="31"/>
  <c r="A40" i="31"/>
  <c r="A41" i="31"/>
  <c r="A42" i="31"/>
  <c r="A37"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B25" i="31"/>
  <c r="A25" i="31"/>
  <c r="B24" i="31"/>
  <c r="A24" i="31"/>
  <c r="E104" i="33"/>
  <c r="F104" i="33" s="1"/>
  <c r="G104" i="33" s="1"/>
  <c r="H104" i="33" s="1"/>
  <c r="I104" i="33" s="1"/>
  <c r="C33" i="33"/>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B83"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N7" i="85"/>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A26" i="88"/>
  <c r="B26" i="88"/>
  <c r="A27" i="88"/>
  <c r="B27" i="88"/>
  <c r="B25" i="88"/>
  <c r="A25" i="88"/>
  <c r="B24" i="88"/>
  <c r="A24" i="88"/>
  <c r="C18" i="88"/>
  <c r="C37" i="34"/>
  <c r="C76" i="92"/>
  <c r="Q71" i="92" l="1"/>
  <c r="D24" i="92"/>
  <c r="P61" i="92"/>
  <c r="D22" i="92"/>
  <c r="C34" i="34"/>
  <c r="J15" i="92"/>
  <c r="M6" i="92"/>
  <c r="F37" i="92"/>
  <c r="F26" i="92"/>
  <c r="M23" i="92"/>
  <c r="F6" i="92"/>
  <c r="M24" i="92"/>
  <c r="F13" i="92"/>
  <c r="F38" i="92"/>
  <c r="M22" i="92"/>
  <c r="F42" i="92"/>
  <c r="F9" i="92"/>
  <c r="M28" i="92"/>
  <c r="L47" i="92"/>
  <c r="M9" i="92"/>
  <c r="F8" i="92"/>
  <c r="M8" i="92"/>
  <c r="L48" i="92"/>
  <c r="M27" i="92"/>
  <c r="F36" i="92"/>
  <c r="M26" i="92"/>
  <c r="F16" i="92"/>
  <c r="F40"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H4" i="86"/>
  <c r="I4" i="86" s="1"/>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A752" i="86"/>
  <c r="B752" i="86"/>
  <c r="E752" i="86"/>
  <c r="G752" i="86"/>
  <c r="I752" i="86"/>
  <c r="K752" i="86"/>
  <c r="M752" i="86"/>
  <c r="O752" i="86"/>
  <c r="Q752" i="86"/>
  <c r="A753" i="86"/>
  <c r="B753" i="86"/>
  <c r="E753" i="86"/>
  <c r="G753" i="86"/>
  <c r="I753" i="86"/>
  <c r="K753" i="86"/>
  <c r="M753" i="86"/>
  <c r="O753" i="86"/>
  <c r="Q753" i="86"/>
  <c r="A754" i="86"/>
  <c r="B754" i="86"/>
  <c r="E754" i="86"/>
  <c r="G754" i="86"/>
  <c r="I754" i="86"/>
  <c r="K754" i="86"/>
  <c r="M754" i="86"/>
  <c r="O754" i="86"/>
  <c r="Q754" i="86"/>
  <c r="A755" i="86"/>
  <c r="B755" i="86"/>
  <c r="E755" i="86"/>
  <c r="G755" i="86"/>
  <c r="I755" i="86"/>
  <c r="K755" i="86"/>
  <c r="M755" i="86"/>
  <c r="O755" i="86"/>
  <c r="Q755" i="86"/>
  <c r="A756" i="86"/>
  <c r="B756" i="86"/>
  <c r="E756" i="86"/>
  <c r="G756" i="86"/>
  <c r="I756" i="86"/>
  <c r="K756" i="86"/>
  <c r="M756" i="86"/>
  <c r="O756" i="86"/>
  <c r="Q756" i="86"/>
  <c r="A757" i="86"/>
  <c r="B757" i="86"/>
  <c r="E757" i="86"/>
  <c r="G757" i="86"/>
  <c r="I757" i="86"/>
  <c r="K757" i="86"/>
  <c r="M757" i="86"/>
  <c r="O757" i="86"/>
  <c r="Q757" i="86"/>
  <c r="A758" i="86"/>
  <c r="B758" i="86"/>
  <c r="E758" i="86"/>
  <c r="G758" i="86"/>
  <c r="I758" i="86"/>
  <c r="K758" i="86"/>
  <c r="M758" i="86"/>
  <c r="O758" i="86"/>
  <c r="Q758" i="86"/>
  <c r="A759" i="86"/>
  <c r="B759" i="86"/>
  <c r="E759" i="86"/>
  <c r="G759" i="86"/>
  <c r="I759" i="86"/>
  <c r="K759" i="86"/>
  <c r="M759" i="86"/>
  <c r="O759" i="86"/>
  <c r="Q759" i="86"/>
  <c r="A760" i="86"/>
  <c r="B760" i="86"/>
  <c r="E760" i="86"/>
  <c r="G760" i="86"/>
  <c r="I760" i="86"/>
  <c r="K760" i="86"/>
  <c r="M760" i="86"/>
  <c r="O760" i="86"/>
  <c r="Q760" i="86"/>
  <c r="A761" i="86"/>
  <c r="B761" i="86"/>
  <c r="E761" i="86"/>
  <c r="G761" i="86"/>
  <c r="I761" i="86"/>
  <c r="K761" i="86"/>
  <c r="M761" i="86"/>
  <c r="O761" i="86"/>
  <c r="Q761" i="86"/>
  <c r="A762" i="86"/>
  <c r="B762" i="86"/>
  <c r="E762" i="86"/>
  <c r="G762" i="86"/>
  <c r="I762" i="86"/>
  <c r="K762" i="86"/>
  <c r="M762" i="86"/>
  <c r="O762" i="86"/>
  <c r="Q762" i="86"/>
  <c r="A763" i="86"/>
  <c r="B763" i="86"/>
  <c r="E763" i="86"/>
  <c r="G763" i="86"/>
  <c r="I763" i="86"/>
  <c r="K763" i="86"/>
  <c r="M763" i="86"/>
  <c r="O763" i="86"/>
  <c r="Q763" i="86"/>
  <c r="A764" i="86"/>
  <c r="B764" i="86"/>
  <c r="E764" i="86"/>
  <c r="G764" i="86"/>
  <c r="I764" i="86"/>
  <c r="K764" i="86"/>
  <c r="M764" i="86"/>
  <c r="O764" i="86"/>
  <c r="Q764" i="86"/>
  <c r="A765" i="86"/>
  <c r="B765" i="86"/>
  <c r="E765" i="86"/>
  <c r="G765" i="86"/>
  <c r="I765" i="86"/>
  <c r="K765" i="86"/>
  <c r="M765" i="86"/>
  <c r="O765" i="86"/>
  <c r="Q765" i="86"/>
  <c r="A766" i="86"/>
  <c r="B766" i="86"/>
  <c r="E766" i="86"/>
  <c r="G766" i="86"/>
  <c r="I766" i="86"/>
  <c r="K766" i="86"/>
  <c r="M766" i="86"/>
  <c r="O766" i="86"/>
  <c r="Q766" i="86"/>
  <c r="A767" i="86"/>
  <c r="B767" i="86"/>
  <c r="E767" i="86"/>
  <c r="G767" i="86"/>
  <c r="I767" i="86"/>
  <c r="K767" i="86"/>
  <c r="M767" i="86"/>
  <c r="O767" i="86"/>
  <c r="Q767" i="86"/>
  <c r="A768" i="86"/>
  <c r="B768" i="86"/>
  <c r="E768" i="86"/>
  <c r="G768" i="86"/>
  <c r="I768" i="86"/>
  <c r="K768" i="86"/>
  <c r="M768" i="86"/>
  <c r="O768" i="86"/>
  <c r="Q768" i="86"/>
  <c r="A769" i="86"/>
  <c r="B769" i="86"/>
  <c r="E769" i="86"/>
  <c r="G769" i="86"/>
  <c r="I769" i="86"/>
  <c r="K769" i="86"/>
  <c r="M769" i="86"/>
  <c r="O769" i="86"/>
  <c r="Q769" i="86"/>
  <c r="A770" i="86"/>
  <c r="B770" i="86"/>
  <c r="E770" i="86"/>
  <c r="G770" i="86"/>
  <c r="I770" i="86"/>
  <c r="K770" i="86"/>
  <c r="M770" i="86"/>
  <c r="O770" i="86"/>
  <c r="Q770" i="86"/>
  <c r="A771" i="86"/>
  <c r="B771" i="86"/>
  <c r="E771" i="86"/>
  <c r="G771" i="86"/>
  <c r="I771" i="86"/>
  <c r="K771" i="86"/>
  <c r="M771" i="86"/>
  <c r="O771" i="86"/>
  <c r="Q771" i="86"/>
  <c r="A772" i="86"/>
  <c r="B772" i="86"/>
  <c r="E772" i="86"/>
  <c r="G772" i="86"/>
  <c r="I772" i="86"/>
  <c r="K772" i="86"/>
  <c r="M772" i="86"/>
  <c r="O772" i="86"/>
  <c r="Q772" i="86"/>
  <c r="A773" i="86"/>
  <c r="B773" i="86"/>
  <c r="E773" i="86"/>
  <c r="G773" i="86"/>
  <c r="I773" i="86"/>
  <c r="K773" i="86"/>
  <c r="M773" i="86"/>
  <c r="O773" i="86"/>
  <c r="Q773" i="86"/>
  <c r="A774" i="86"/>
  <c r="B774" i="86"/>
  <c r="E774" i="86"/>
  <c r="G774" i="86"/>
  <c r="I774" i="86"/>
  <c r="K774" i="86"/>
  <c r="M774" i="86"/>
  <c r="O774" i="86"/>
  <c r="Q774" i="86"/>
  <c r="A775" i="86"/>
  <c r="B775" i="86"/>
  <c r="E775" i="86"/>
  <c r="G775" i="86"/>
  <c r="I775" i="86"/>
  <c r="K775" i="86"/>
  <c r="M775" i="86"/>
  <c r="O775" i="86"/>
  <c r="Q775" i="86"/>
  <c r="A776" i="86"/>
  <c r="B776" i="86"/>
  <c r="E776" i="86"/>
  <c r="G776" i="86"/>
  <c r="I776" i="86"/>
  <c r="K776" i="86"/>
  <c r="M776" i="86"/>
  <c r="O776" i="86"/>
  <c r="Q776" i="86"/>
  <c r="A777" i="86"/>
  <c r="B777" i="86"/>
  <c r="E777" i="86"/>
  <c r="G777" i="86"/>
  <c r="I777" i="86"/>
  <c r="K777" i="86"/>
  <c r="M777" i="86"/>
  <c r="O777" i="86"/>
  <c r="Q777" i="86"/>
  <c r="A778" i="86"/>
  <c r="B778" i="86"/>
  <c r="E778" i="86"/>
  <c r="G778" i="86"/>
  <c r="I778" i="86"/>
  <c r="K778" i="86"/>
  <c r="M778" i="86"/>
  <c r="O778" i="86"/>
  <c r="Q778" i="86"/>
  <c r="A779" i="86"/>
  <c r="B779" i="86"/>
  <c r="E779" i="86"/>
  <c r="G779" i="86"/>
  <c r="I779" i="86"/>
  <c r="K779" i="86"/>
  <c r="M779" i="86"/>
  <c r="O779" i="86"/>
  <c r="Q779" i="86"/>
  <c r="A780" i="86"/>
  <c r="B780" i="86"/>
  <c r="E780" i="86"/>
  <c r="G780" i="86"/>
  <c r="I780" i="86"/>
  <c r="K780" i="86"/>
  <c r="M780" i="86"/>
  <c r="O780" i="86"/>
  <c r="Q780" i="86"/>
  <c r="A781" i="86"/>
  <c r="B781" i="86"/>
  <c r="E781" i="86"/>
  <c r="G781" i="86"/>
  <c r="I781" i="86"/>
  <c r="K781" i="86"/>
  <c r="M781" i="86"/>
  <c r="O781" i="86"/>
  <c r="Q781" i="86"/>
  <c r="A782" i="86"/>
  <c r="B782" i="86"/>
  <c r="E782" i="86"/>
  <c r="G782" i="86"/>
  <c r="I782" i="86"/>
  <c r="K782" i="86"/>
  <c r="M782" i="86"/>
  <c r="O782" i="86"/>
  <c r="Q782" i="86"/>
  <c r="A783" i="86"/>
  <c r="B783" i="86"/>
  <c r="E783" i="86"/>
  <c r="G783" i="86"/>
  <c r="I783" i="86"/>
  <c r="K783" i="86"/>
  <c r="M783" i="86"/>
  <c r="O783" i="86"/>
  <c r="Q783" i="86"/>
  <c r="A784" i="86"/>
  <c r="B784" i="86"/>
  <c r="E784" i="86"/>
  <c r="G784" i="86"/>
  <c r="I784" i="86"/>
  <c r="K784" i="86"/>
  <c r="M784" i="86"/>
  <c r="O784" i="86"/>
  <c r="Q784" i="86"/>
  <c r="A785" i="86"/>
  <c r="B785" i="86"/>
  <c r="E785" i="86"/>
  <c r="G785" i="86"/>
  <c r="I785" i="86"/>
  <c r="K785" i="86"/>
  <c r="M785" i="86"/>
  <c r="O785" i="86"/>
  <c r="Q785" i="86"/>
  <c r="A786" i="86"/>
  <c r="B786" i="86"/>
  <c r="E786" i="86"/>
  <c r="G786" i="86"/>
  <c r="I786" i="86"/>
  <c r="K786" i="86"/>
  <c r="M786" i="86"/>
  <c r="O786" i="86"/>
  <c r="Q786" i="86"/>
  <c r="A787" i="86"/>
  <c r="B787" i="86"/>
  <c r="E787" i="86"/>
  <c r="G787" i="86"/>
  <c r="I787" i="86"/>
  <c r="K787" i="86"/>
  <c r="M787" i="86"/>
  <c r="O787" i="86"/>
  <c r="Q787" i="86"/>
  <c r="A788" i="86"/>
  <c r="B788" i="86"/>
  <c r="E788" i="86"/>
  <c r="G788" i="86"/>
  <c r="I788" i="86"/>
  <c r="K788" i="86"/>
  <c r="M788" i="86"/>
  <c r="O788" i="86"/>
  <c r="Q788" i="86"/>
  <c r="A789" i="86"/>
  <c r="B789" i="86"/>
  <c r="E789" i="86"/>
  <c r="G789" i="86"/>
  <c r="I789" i="86"/>
  <c r="K789" i="86"/>
  <c r="M789" i="86"/>
  <c r="O789" i="86"/>
  <c r="Q789" i="86"/>
  <c r="A790" i="86"/>
  <c r="B790" i="86"/>
  <c r="E790" i="86"/>
  <c r="G790" i="86"/>
  <c r="I790" i="86"/>
  <c r="K790" i="86"/>
  <c r="M790" i="86"/>
  <c r="O790" i="86"/>
  <c r="Q790" i="86"/>
  <c r="A791" i="86"/>
  <c r="B791" i="86"/>
  <c r="E791" i="86"/>
  <c r="G791" i="86"/>
  <c r="I791" i="86"/>
  <c r="K791" i="86"/>
  <c r="M791" i="86"/>
  <c r="O791" i="86"/>
  <c r="Q791" i="86"/>
  <c r="A792" i="86"/>
  <c r="B792" i="86"/>
  <c r="E792" i="86"/>
  <c r="G792" i="86"/>
  <c r="I792" i="86"/>
  <c r="K792" i="86"/>
  <c r="M792" i="86"/>
  <c r="O792" i="86"/>
  <c r="Q792" i="86"/>
  <c r="A793" i="86"/>
  <c r="B793" i="86"/>
  <c r="E793" i="86"/>
  <c r="G793" i="86"/>
  <c r="I793" i="86"/>
  <c r="K793" i="86"/>
  <c r="M793" i="86"/>
  <c r="O793" i="86"/>
  <c r="Q793" i="86"/>
  <c r="A794" i="86"/>
  <c r="B794" i="86"/>
  <c r="E794" i="86"/>
  <c r="G794" i="86"/>
  <c r="I794" i="86"/>
  <c r="K794" i="86"/>
  <c r="M794" i="86"/>
  <c r="O794" i="86"/>
  <c r="Q794" i="86"/>
  <c r="A795" i="86"/>
  <c r="B795" i="86"/>
  <c r="E795" i="86"/>
  <c r="G795" i="86"/>
  <c r="I795" i="86"/>
  <c r="K795" i="86"/>
  <c r="M795" i="86"/>
  <c r="O795" i="86"/>
  <c r="Q795" i="86"/>
  <c r="A796" i="86"/>
  <c r="B796" i="86"/>
  <c r="E796" i="86"/>
  <c r="G796" i="86"/>
  <c r="I796" i="86"/>
  <c r="K796" i="86"/>
  <c r="M796" i="86"/>
  <c r="O796" i="86"/>
  <c r="Q796" i="86"/>
  <c r="A797" i="86"/>
  <c r="B797" i="86"/>
  <c r="E797" i="86"/>
  <c r="G797" i="86"/>
  <c r="I797" i="86"/>
  <c r="K797" i="86"/>
  <c r="M797" i="86"/>
  <c r="O797" i="86"/>
  <c r="Q797" i="86"/>
  <c r="A798" i="86"/>
  <c r="B798" i="86"/>
  <c r="E798" i="86"/>
  <c r="G798" i="86"/>
  <c r="I798" i="86"/>
  <c r="K798" i="86"/>
  <c r="M798" i="86"/>
  <c r="O798" i="86"/>
  <c r="Q798" i="86"/>
  <c r="A799" i="86"/>
  <c r="B799" i="86"/>
  <c r="E799" i="86"/>
  <c r="G799" i="86"/>
  <c r="I799" i="86"/>
  <c r="K799" i="86"/>
  <c r="M799" i="86"/>
  <c r="O799" i="86"/>
  <c r="Q799" i="86"/>
  <c r="A800" i="86"/>
  <c r="B800" i="86"/>
  <c r="E800" i="86"/>
  <c r="G800" i="86"/>
  <c r="I800" i="86"/>
  <c r="K800" i="86"/>
  <c r="M800" i="86"/>
  <c r="O800" i="86"/>
  <c r="Q800" i="86"/>
  <c r="A801" i="86"/>
  <c r="B801" i="86"/>
  <c r="E801" i="86"/>
  <c r="G801" i="86"/>
  <c r="I801" i="86"/>
  <c r="K801" i="86"/>
  <c r="M801" i="86"/>
  <c r="O801" i="86"/>
  <c r="Q801" i="86"/>
  <c r="A802" i="86"/>
  <c r="B802" i="86"/>
  <c r="E802" i="86"/>
  <c r="G802" i="86"/>
  <c r="I802" i="86"/>
  <c r="K802" i="86"/>
  <c r="M802" i="86"/>
  <c r="O802" i="86"/>
  <c r="Q802" i="86"/>
  <c r="A803" i="86"/>
  <c r="B803" i="86"/>
  <c r="E803" i="86"/>
  <c r="G803" i="86"/>
  <c r="I803" i="86"/>
  <c r="K803" i="86"/>
  <c r="M803" i="86"/>
  <c r="O803" i="86"/>
  <c r="Q803" i="86"/>
  <c r="A804" i="86"/>
  <c r="B804" i="86"/>
  <c r="E804" i="86"/>
  <c r="G804" i="86"/>
  <c r="I804" i="86"/>
  <c r="K804" i="86"/>
  <c r="M804" i="86"/>
  <c r="O804" i="86"/>
  <c r="Q804" i="86"/>
  <c r="A805" i="86"/>
  <c r="B805" i="86"/>
  <c r="E805" i="86"/>
  <c r="G805" i="86"/>
  <c r="I805" i="86"/>
  <c r="K805" i="86"/>
  <c r="M805" i="86"/>
  <c r="O805" i="86"/>
  <c r="Q805" i="86"/>
  <c r="A806" i="86"/>
  <c r="B806"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A724" i="86"/>
  <c r="B724" i="86"/>
  <c r="E724" i="86"/>
  <c r="G724" i="86"/>
  <c r="I724" i="86"/>
  <c r="K724" i="86"/>
  <c r="M724" i="86"/>
  <c r="O724" i="86"/>
  <c r="Q724" i="86"/>
  <c r="A725" i="86"/>
  <c r="B725" i="86"/>
  <c r="E725" i="86"/>
  <c r="G725" i="86"/>
  <c r="I725" i="86"/>
  <c r="K725" i="86"/>
  <c r="M725" i="86"/>
  <c r="O725" i="86"/>
  <c r="Q725" i="86"/>
  <c r="A726" i="86"/>
  <c r="B726" i="86"/>
  <c r="E726" i="86"/>
  <c r="G726" i="86"/>
  <c r="I726" i="86"/>
  <c r="K726" i="86"/>
  <c r="M726" i="86"/>
  <c r="O726" i="86"/>
  <c r="Q726" i="86"/>
  <c r="A727" i="86"/>
  <c r="B727" i="86"/>
  <c r="E727" i="86"/>
  <c r="G727" i="86"/>
  <c r="I727" i="86"/>
  <c r="K727" i="86"/>
  <c r="M727" i="86"/>
  <c r="O727" i="86"/>
  <c r="Q727" i="86"/>
  <c r="A728" i="86"/>
  <c r="B728" i="86"/>
  <c r="E728" i="86"/>
  <c r="G728" i="86"/>
  <c r="I728" i="86"/>
  <c r="K728" i="86"/>
  <c r="M728" i="86"/>
  <c r="O728" i="86"/>
  <c r="Q728" i="86"/>
  <c r="A729" i="86"/>
  <c r="B729" i="86"/>
  <c r="E729" i="86"/>
  <c r="G729" i="86"/>
  <c r="I729" i="86"/>
  <c r="K729" i="86"/>
  <c r="M729" i="86"/>
  <c r="O729" i="86"/>
  <c r="Q729" i="86"/>
  <c r="A730" i="86"/>
  <c r="B730" i="86"/>
  <c r="E730" i="86"/>
  <c r="G730" i="86"/>
  <c r="I730" i="86"/>
  <c r="K730" i="86"/>
  <c r="M730" i="86"/>
  <c r="O730" i="86"/>
  <c r="Q730" i="86"/>
  <c r="A731" i="86"/>
  <c r="B731" i="86"/>
  <c r="E731" i="86"/>
  <c r="G731" i="86"/>
  <c r="I731" i="86"/>
  <c r="K731" i="86"/>
  <c r="M731" i="86"/>
  <c r="O731" i="86"/>
  <c r="Q731" i="86"/>
  <c r="A732" i="86"/>
  <c r="B732" i="86"/>
  <c r="E732" i="86"/>
  <c r="G732" i="86"/>
  <c r="I732" i="86"/>
  <c r="K732" i="86"/>
  <c r="M732" i="86"/>
  <c r="O732" i="86"/>
  <c r="Q732" i="86"/>
  <c r="A733" i="86"/>
  <c r="B733" i="86"/>
  <c r="E733" i="86"/>
  <c r="G733" i="86"/>
  <c r="I733" i="86"/>
  <c r="K733" i="86"/>
  <c r="M733" i="86"/>
  <c r="O733" i="86"/>
  <c r="Q733" i="86"/>
  <c r="A734" i="86"/>
  <c r="B734" i="86"/>
  <c r="E734" i="86"/>
  <c r="G734" i="86"/>
  <c r="I734" i="86"/>
  <c r="K734" i="86"/>
  <c r="M734" i="86"/>
  <c r="O734" i="86"/>
  <c r="Q734" i="86"/>
  <c r="A735" i="86"/>
  <c r="B735" i="86"/>
  <c r="E735" i="86"/>
  <c r="G735" i="86"/>
  <c r="I735" i="86"/>
  <c r="K735" i="86"/>
  <c r="M735" i="86"/>
  <c r="O735" i="86"/>
  <c r="Q735" i="86"/>
  <c r="A736" i="86"/>
  <c r="B736" i="86"/>
  <c r="E736" i="86"/>
  <c r="G736" i="86"/>
  <c r="I736" i="86"/>
  <c r="K736" i="86"/>
  <c r="M736" i="86"/>
  <c r="O736" i="86"/>
  <c r="Q736" i="86"/>
  <c r="A737" i="86"/>
  <c r="B737" i="86"/>
  <c r="E737" i="86"/>
  <c r="G737" i="86"/>
  <c r="I737" i="86"/>
  <c r="K737" i="86"/>
  <c r="M737" i="86"/>
  <c r="O737" i="86"/>
  <c r="Q737" i="86"/>
  <c r="A738" i="86"/>
  <c r="B738" i="86"/>
  <c r="E738" i="86"/>
  <c r="G738" i="86"/>
  <c r="I738" i="86"/>
  <c r="K738" i="86"/>
  <c r="M738" i="86"/>
  <c r="O738" i="86"/>
  <c r="Q738" i="86"/>
  <c r="A739" i="86"/>
  <c r="B739" i="86"/>
  <c r="E739" i="86"/>
  <c r="G739" i="86"/>
  <c r="I739" i="86"/>
  <c r="K739" i="86"/>
  <c r="M739" i="86"/>
  <c r="O739" i="86"/>
  <c r="Q739" i="86"/>
  <c r="A740" i="86"/>
  <c r="B740" i="86"/>
  <c r="E740" i="86"/>
  <c r="G740" i="86"/>
  <c r="I740" i="86"/>
  <c r="K740" i="86"/>
  <c r="M740" i="86"/>
  <c r="O740" i="86"/>
  <c r="Q740" i="86"/>
  <c r="A741" i="86"/>
  <c r="B741" i="86"/>
  <c r="E741" i="86"/>
  <c r="G741" i="86"/>
  <c r="I741" i="86"/>
  <c r="K741" i="86"/>
  <c r="M741" i="86"/>
  <c r="O741" i="86"/>
  <c r="Q741" i="86"/>
  <c r="A742" i="86"/>
  <c r="B742" i="86"/>
  <c r="E742" i="86"/>
  <c r="G742" i="86"/>
  <c r="I742" i="86"/>
  <c r="K742" i="86"/>
  <c r="M742" i="86"/>
  <c r="O742" i="86"/>
  <c r="Q742" i="86"/>
  <c r="A743" i="86"/>
  <c r="B743" i="86"/>
  <c r="E743" i="86"/>
  <c r="G743" i="86"/>
  <c r="I743" i="86"/>
  <c r="K743" i="86"/>
  <c r="M743" i="86"/>
  <c r="O743" i="86"/>
  <c r="Q743" i="86"/>
  <c r="A744" i="86"/>
  <c r="B744" i="86"/>
  <c r="E744" i="86"/>
  <c r="G744" i="86"/>
  <c r="I744" i="86"/>
  <c r="K744" i="86"/>
  <c r="M744" i="86"/>
  <c r="O744" i="86"/>
  <c r="Q744" i="86"/>
  <c r="A745" i="86"/>
  <c r="B745" i="86"/>
  <c r="E745" i="86"/>
  <c r="G745" i="86"/>
  <c r="I745" i="86"/>
  <c r="K745" i="86"/>
  <c r="M745" i="86"/>
  <c r="O745" i="86"/>
  <c r="Q745" i="86"/>
  <c r="A746" i="86"/>
  <c r="B746" i="86"/>
  <c r="E746" i="86"/>
  <c r="G746" i="86"/>
  <c r="I746" i="86"/>
  <c r="K746" i="86"/>
  <c r="M746" i="86"/>
  <c r="O746" i="86"/>
  <c r="Q746" i="86"/>
  <c r="A747" i="86"/>
  <c r="B747" i="86"/>
  <c r="E747" i="86"/>
  <c r="G747" i="86"/>
  <c r="I747" i="86"/>
  <c r="K747" i="86"/>
  <c r="M747" i="86"/>
  <c r="O747" i="86"/>
  <c r="Q747" i="86"/>
  <c r="A748" i="86"/>
  <c r="B748" i="86"/>
  <c r="E748" i="86"/>
  <c r="G748" i="86"/>
  <c r="I748" i="86"/>
  <c r="K748" i="86"/>
  <c r="M748" i="86"/>
  <c r="O748" i="86"/>
  <c r="Q748" i="86"/>
  <c r="A749" i="86"/>
  <c r="B749" i="86"/>
  <c r="E749" i="86"/>
  <c r="G749" i="86"/>
  <c r="I749" i="86"/>
  <c r="K749" i="86"/>
  <c r="M749" i="86"/>
  <c r="O749" i="86"/>
  <c r="Q749" i="86"/>
  <c r="A750" i="86"/>
  <c r="B750" i="86"/>
  <c r="E750" i="86"/>
  <c r="G750" i="86"/>
  <c r="I750" i="86"/>
  <c r="K750" i="86"/>
  <c r="M750" i="86"/>
  <c r="O750" i="86"/>
  <c r="Q750" i="86"/>
  <c r="A751" i="86"/>
  <c r="B751" i="86"/>
  <c r="E751" i="86"/>
  <c r="G751" i="86"/>
  <c r="I751" i="86"/>
  <c r="K751" i="86"/>
  <c r="M751" i="86"/>
  <c r="O751" i="86"/>
  <c r="Q751" i="86"/>
  <c r="A678" i="86"/>
  <c r="B678" i="86"/>
  <c r="E678" i="86"/>
  <c r="G678" i="86"/>
  <c r="I678" i="86"/>
  <c r="K678" i="86"/>
  <c r="M678" i="86"/>
  <c r="O678" i="86"/>
  <c r="Q678" i="86"/>
  <c r="A679" i="86"/>
  <c r="B679" i="86"/>
  <c r="E679" i="86"/>
  <c r="G679" i="86"/>
  <c r="I679" i="86"/>
  <c r="K679" i="86"/>
  <c r="M679" i="86"/>
  <c r="O679" i="86"/>
  <c r="Q679" i="86"/>
  <c r="A680" i="86"/>
  <c r="B680" i="86"/>
  <c r="E680" i="86"/>
  <c r="G680" i="86"/>
  <c r="I680" i="86"/>
  <c r="K680" i="86"/>
  <c r="M680" i="86"/>
  <c r="O680" i="86"/>
  <c r="Q680" i="86"/>
  <c r="A681" i="86"/>
  <c r="B681" i="86"/>
  <c r="E681" i="86"/>
  <c r="G681" i="86"/>
  <c r="I681" i="86"/>
  <c r="K681" i="86"/>
  <c r="M681" i="86"/>
  <c r="O681" i="86"/>
  <c r="Q681" i="86"/>
  <c r="A682" i="86"/>
  <c r="B682" i="86"/>
  <c r="E682" i="86"/>
  <c r="G682" i="86"/>
  <c r="I682" i="86"/>
  <c r="K682" i="86"/>
  <c r="M682" i="86"/>
  <c r="O682" i="86"/>
  <c r="Q682" i="86"/>
  <c r="A683" i="86"/>
  <c r="B683" i="86"/>
  <c r="E683" i="86"/>
  <c r="G683" i="86"/>
  <c r="I683" i="86"/>
  <c r="K683" i="86"/>
  <c r="M683" i="86"/>
  <c r="O683" i="86"/>
  <c r="Q683" i="86"/>
  <c r="A684" i="86"/>
  <c r="B684" i="86"/>
  <c r="E684" i="86"/>
  <c r="G684" i="86"/>
  <c r="I684" i="86"/>
  <c r="K684" i="86"/>
  <c r="M684" i="86"/>
  <c r="O684" i="86"/>
  <c r="Q684" i="86"/>
  <c r="A685" i="86"/>
  <c r="B685" i="86"/>
  <c r="E685" i="86"/>
  <c r="G685" i="86"/>
  <c r="I685" i="86"/>
  <c r="K685" i="86"/>
  <c r="M685" i="86"/>
  <c r="O685" i="86"/>
  <c r="Q685" i="86"/>
  <c r="A686" i="86"/>
  <c r="B686" i="86"/>
  <c r="E686" i="86"/>
  <c r="G686" i="86"/>
  <c r="I686" i="86"/>
  <c r="K686" i="86"/>
  <c r="M686" i="86"/>
  <c r="O686" i="86"/>
  <c r="Q686" i="86"/>
  <c r="A687" i="86"/>
  <c r="B687" i="86"/>
  <c r="E687" i="86"/>
  <c r="G687" i="86"/>
  <c r="I687" i="86"/>
  <c r="K687" i="86"/>
  <c r="M687" i="86"/>
  <c r="O687" i="86"/>
  <c r="Q687" i="86"/>
  <c r="A688" i="86"/>
  <c r="B688" i="86"/>
  <c r="E688" i="86"/>
  <c r="G688" i="86"/>
  <c r="I688" i="86"/>
  <c r="K688" i="86"/>
  <c r="M688" i="86"/>
  <c r="O688" i="86"/>
  <c r="Q688" i="86"/>
  <c r="A689" i="86"/>
  <c r="B689" i="86"/>
  <c r="E689" i="86"/>
  <c r="G689" i="86"/>
  <c r="I689" i="86"/>
  <c r="K689" i="86"/>
  <c r="M689" i="86"/>
  <c r="O689" i="86"/>
  <c r="Q689" i="86"/>
  <c r="A690" i="86"/>
  <c r="B690" i="86"/>
  <c r="E690" i="86"/>
  <c r="G690" i="86"/>
  <c r="I690" i="86"/>
  <c r="K690" i="86"/>
  <c r="M690" i="86"/>
  <c r="O690" i="86"/>
  <c r="Q690" i="86"/>
  <c r="A691" i="86"/>
  <c r="B691" i="86"/>
  <c r="E691" i="86"/>
  <c r="G691" i="86"/>
  <c r="I691" i="86"/>
  <c r="K691" i="86"/>
  <c r="M691" i="86"/>
  <c r="O691" i="86"/>
  <c r="Q691" i="86"/>
  <c r="A692" i="86"/>
  <c r="B692" i="86"/>
  <c r="E692" i="86"/>
  <c r="G692" i="86"/>
  <c r="I692" i="86"/>
  <c r="K692" i="86"/>
  <c r="M692" i="86"/>
  <c r="O692" i="86"/>
  <c r="Q692" i="86"/>
  <c r="A693" i="86"/>
  <c r="B693" i="86"/>
  <c r="E693" i="86"/>
  <c r="G693" i="86"/>
  <c r="I693" i="86"/>
  <c r="K693" i="86"/>
  <c r="M693" i="86"/>
  <c r="O693" i="86"/>
  <c r="Q693" i="86"/>
  <c r="A694" i="86"/>
  <c r="B694" i="86"/>
  <c r="E694" i="86"/>
  <c r="G694" i="86"/>
  <c r="I694" i="86"/>
  <c r="K694" i="86"/>
  <c r="M694" i="86"/>
  <c r="O694" i="86"/>
  <c r="Q694" i="86"/>
  <c r="A695" i="86"/>
  <c r="B695" i="86"/>
  <c r="E695" i="86"/>
  <c r="G695" i="86"/>
  <c r="I695" i="86"/>
  <c r="K695" i="86"/>
  <c r="M695" i="86"/>
  <c r="O695" i="86"/>
  <c r="Q695" i="86"/>
  <c r="A696" i="86"/>
  <c r="B696" i="86"/>
  <c r="E696" i="86"/>
  <c r="G696" i="86"/>
  <c r="I696" i="86"/>
  <c r="K696" i="86"/>
  <c r="M696" i="86"/>
  <c r="O696" i="86"/>
  <c r="Q696" i="86"/>
  <c r="A697" i="86"/>
  <c r="B697" i="86"/>
  <c r="E697" i="86"/>
  <c r="G697" i="86"/>
  <c r="I697" i="86"/>
  <c r="K697" i="86"/>
  <c r="M697" i="86"/>
  <c r="O697" i="86"/>
  <c r="Q697" i="86"/>
  <c r="A698" i="86"/>
  <c r="B698" i="86"/>
  <c r="E698" i="86"/>
  <c r="G698" i="86"/>
  <c r="I698" i="86"/>
  <c r="K698" i="86"/>
  <c r="M698" i="86"/>
  <c r="O698" i="86"/>
  <c r="Q698" i="86"/>
  <c r="A699" i="86"/>
  <c r="B699" i="86"/>
  <c r="E699" i="86"/>
  <c r="G699" i="86"/>
  <c r="I699" i="86"/>
  <c r="K699" i="86"/>
  <c r="M699" i="86"/>
  <c r="O699" i="86"/>
  <c r="Q699" i="86"/>
  <c r="A700" i="86"/>
  <c r="B700" i="86"/>
  <c r="E700" i="86"/>
  <c r="G700" i="86"/>
  <c r="I700" i="86"/>
  <c r="K700" i="86"/>
  <c r="M700" i="86"/>
  <c r="O700" i="86"/>
  <c r="Q700" i="86"/>
  <c r="A701" i="86"/>
  <c r="B701" i="86"/>
  <c r="E701" i="86"/>
  <c r="G701" i="86"/>
  <c r="I701" i="86"/>
  <c r="K701" i="86"/>
  <c r="M701" i="86"/>
  <c r="O701" i="86"/>
  <c r="Q701" i="86"/>
  <c r="A702" i="86"/>
  <c r="B702" i="86"/>
  <c r="E702" i="86"/>
  <c r="G702" i="86"/>
  <c r="I702" i="86"/>
  <c r="K702" i="86"/>
  <c r="M702" i="86"/>
  <c r="O702" i="86"/>
  <c r="Q702" i="86"/>
  <c r="A703" i="86"/>
  <c r="B703" i="86"/>
  <c r="E703" i="86"/>
  <c r="G703" i="86"/>
  <c r="I703" i="86"/>
  <c r="K703" i="86"/>
  <c r="M703" i="86"/>
  <c r="O703" i="86"/>
  <c r="Q703" i="86"/>
  <c r="A704" i="86"/>
  <c r="B704" i="86"/>
  <c r="E704" i="86"/>
  <c r="G704" i="86"/>
  <c r="I704" i="86"/>
  <c r="K704" i="86"/>
  <c r="M704" i="86"/>
  <c r="O704" i="86"/>
  <c r="Q704" i="86"/>
  <c r="A705" i="86"/>
  <c r="B705" i="86"/>
  <c r="E705" i="86"/>
  <c r="G705" i="86"/>
  <c r="I705" i="86"/>
  <c r="K705" i="86"/>
  <c r="M705" i="86"/>
  <c r="O705" i="86"/>
  <c r="Q705" i="86"/>
  <c r="A706" i="86"/>
  <c r="B706" i="86"/>
  <c r="E706" i="86"/>
  <c r="G706" i="86"/>
  <c r="I706" i="86"/>
  <c r="K706" i="86"/>
  <c r="M706" i="86"/>
  <c r="O706" i="86"/>
  <c r="Q706" i="86"/>
  <c r="A707" i="86"/>
  <c r="B707" i="86"/>
  <c r="E707" i="86"/>
  <c r="G707" i="86"/>
  <c r="I707" i="86"/>
  <c r="K707" i="86"/>
  <c r="M707" i="86"/>
  <c r="O707" i="86"/>
  <c r="Q707" i="86"/>
  <c r="A708" i="86"/>
  <c r="B708" i="86"/>
  <c r="E708" i="86"/>
  <c r="G708" i="86"/>
  <c r="I708" i="86"/>
  <c r="K708" i="86"/>
  <c r="M708" i="86"/>
  <c r="O708" i="86"/>
  <c r="Q708" i="86"/>
  <c r="A709" i="86"/>
  <c r="B709" i="86"/>
  <c r="E709" i="86"/>
  <c r="G709" i="86"/>
  <c r="I709" i="86"/>
  <c r="K709" i="86"/>
  <c r="M709" i="86"/>
  <c r="O709" i="86"/>
  <c r="Q709" i="86"/>
  <c r="A710" i="86"/>
  <c r="B710" i="86"/>
  <c r="E710" i="86"/>
  <c r="G710" i="86"/>
  <c r="I710" i="86"/>
  <c r="K710" i="86"/>
  <c r="M710" i="86"/>
  <c r="O710" i="86"/>
  <c r="Q710" i="86"/>
  <c r="A711" i="86"/>
  <c r="B711" i="86"/>
  <c r="E711" i="86"/>
  <c r="G711" i="86"/>
  <c r="I711" i="86"/>
  <c r="K711" i="86"/>
  <c r="M711" i="86"/>
  <c r="O711" i="86"/>
  <c r="Q711" i="86"/>
  <c r="A712" i="86"/>
  <c r="B712" i="86"/>
  <c r="E712" i="86"/>
  <c r="G712" i="86"/>
  <c r="I712" i="86"/>
  <c r="K712" i="86"/>
  <c r="M712" i="86"/>
  <c r="O712" i="86"/>
  <c r="Q712" i="86"/>
  <c r="A713" i="86"/>
  <c r="B713" i="86"/>
  <c r="E713" i="86"/>
  <c r="G713" i="86"/>
  <c r="I713" i="86"/>
  <c r="K713" i="86"/>
  <c r="M713" i="86"/>
  <c r="O713" i="86"/>
  <c r="Q713" i="86"/>
  <c r="A714" i="86"/>
  <c r="B714" i="86"/>
  <c r="E714" i="86"/>
  <c r="G714" i="86"/>
  <c r="I714" i="86"/>
  <c r="K714" i="86"/>
  <c r="M714" i="86"/>
  <c r="O714" i="86"/>
  <c r="Q714" i="86"/>
  <c r="A715" i="86"/>
  <c r="B715" i="86"/>
  <c r="E715" i="86"/>
  <c r="G715" i="86"/>
  <c r="I715" i="86"/>
  <c r="K715" i="86"/>
  <c r="M715" i="86"/>
  <c r="O715" i="86"/>
  <c r="Q715" i="86"/>
  <c r="A716" i="86"/>
  <c r="B716" i="86"/>
  <c r="E716" i="86"/>
  <c r="G716" i="86"/>
  <c r="I716" i="86"/>
  <c r="K716" i="86"/>
  <c r="M716" i="86"/>
  <c r="O716" i="86"/>
  <c r="Q716" i="86"/>
  <c r="A717" i="86"/>
  <c r="B717" i="86"/>
  <c r="E717" i="86"/>
  <c r="G717" i="86"/>
  <c r="I717" i="86"/>
  <c r="K717" i="86"/>
  <c r="M717" i="86"/>
  <c r="O717" i="86"/>
  <c r="Q717" i="86"/>
  <c r="A718" i="86"/>
  <c r="B718" i="86"/>
  <c r="E718" i="86"/>
  <c r="G718" i="86"/>
  <c r="I718" i="86"/>
  <c r="K718" i="86"/>
  <c r="M718" i="86"/>
  <c r="O718" i="86"/>
  <c r="Q718" i="86"/>
  <c r="A719" i="86"/>
  <c r="B719" i="86"/>
  <c r="E719" i="86"/>
  <c r="G719" i="86"/>
  <c r="I719" i="86"/>
  <c r="K719" i="86"/>
  <c r="M719" i="86"/>
  <c r="O719" i="86"/>
  <c r="Q719" i="86"/>
  <c r="A720" i="86"/>
  <c r="B720" i="86"/>
  <c r="E720" i="86"/>
  <c r="G720" i="86"/>
  <c r="I720" i="86"/>
  <c r="K720" i="86"/>
  <c r="M720" i="86"/>
  <c r="O720" i="86"/>
  <c r="Q720" i="86"/>
  <c r="A721" i="86"/>
  <c r="B721" i="86"/>
  <c r="E721" i="86"/>
  <c r="G721" i="86"/>
  <c r="I721" i="86"/>
  <c r="K721" i="86"/>
  <c r="M721" i="86"/>
  <c r="O721" i="86"/>
  <c r="Q721" i="86"/>
  <c r="A722" i="86"/>
  <c r="B722" i="86"/>
  <c r="E722" i="86"/>
  <c r="G722" i="86"/>
  <c r="I722" i="86"/>
  <c r="K722" i="86"/>
  <c r="M722" i="86"/>
  <c r="O722" i="86"/>
  <c r="Q722" i="86"/>
  <c r="A723" i="86"/>
  <c r="B723" i="86"/>
  <c r="E723" i="86"/>
  <c r="G723" i="86"/>
  <c r="I723" i="86"/>
  <c r="K723" i="86"/>
  <c r="M723" i="86"/>
  <c r="O723" i="86"/>
  <c r="Q723" i="86"/>
  <c r="A634" i="86"/>
  <c r="B634" i="86"/>
  <c r="E634" i="86"/>
  <c r="G634" i="86"/>
  <c r="I634" i="86"/>
  <c r="K634" i="86"/>
  <c r="M634" i="86"/>
  <c r="O634" i="86"/>
  <c r="Q634" i="86"/>
  <c r="A635" i="86"/>
  <c r="B635" i="86"/>
  <c r="E635" i="86"/>
  <c r="G635" i="86"/>
  <c r="I635" i="86"/>
  <c r="K635" i="86"/>
  <c r="M635" i="86"/>
  <c r="O635" i="86"/>
  <c r="Q635" i="86"/>
  <c r="A636" i="86"/>
  <c r="B636" i="86"/>
  <c r="E636" i="86"/>
  <c r="G636" i="86"/>
  <c r="I636" i="86"/>
  <c r="K636" i="86"/>
  <c r="M636" i="86"/>
  <c r="O636" i="86"/>
  <c r="Q636" i="86"/>
  <c r="A637" i="86"/>
  <c r="B637" i="86"/>
  <c r="E637" i="86"/>
  <c r="G637" i="86"/>
  <c r="I637" i="86"/>
  <c r="K637" i="86"/>
  <c r="M637" i="86"/>
  <c r="O637" i="86"/>
  <c r="Q637" i="86"/>
  <c r="A638" i="86"/>
  <c r="B638" i="86"/>
  <c r="E638" i="86"/>
  <c r="G638" i="86"/>
  <c r="I638" i="86"/>
  <c r="K638" i="86"/>
  <c r="M638" i="86"/>
  <c r="O638" i="86"/>
  <c r="Q638" i="86"/>
  <c r="A639" i="86"/>
  <c r="B639" i="86"/>
  <c r="E639" i="86"/>
  <c r="G639" i="86"/>
  <c r="I639" i="86"/>
  <c r="K639" i="86"/>
  <c r="M639" i="86"/>
  <c r="O639" i="86"/>
  <c r="Q639" i="86"/>
  <c r="A640" i="86"/>
  <c r="B640" i="86"/>
  <c r="E640" i="86"/>
  <c r="G640" i="86"/>
  <c r="I640" i="86"/>
  <c r="K640" i="86"/>
  <c r="M640" i="86"/>
  <c r="O640" i="86"/>
  <c r="Q640" i="86"/>
  <c r="A641" i="86"/>
  <c r="B641" i="86"/>
  <c r="E641" i="86"/>
  <c r="G641" i="86"/>
  <c r="I641" i="86"/>
  <c r="K641" i="86"/>
  <c r="M641" i="86"/>
  <c r="O641" i="86"/>
  <c r="Q641" i="86"/>
  <c r="A642" i="86"/>
  <c r="B642" i="86"/>
  <c r="E642" i="86"/>
  <c r="G642" i="86"/>
  <c r="I642" i="86"/>
  <c r="K642" i="86"/>
  <c r="M642" i="86"/>
  <c r="O642" i="86"/>
  <c r="Q642" i="86"/>
  <c r="A643" i="86"/>
  <c r="B643" i="86"/>
  <c r="E643" i="86"/>
  <c r="G643" i="86"/>
  <c r="I643" i="86"/>
  <c r="K643" i="86"/>
  <c r="M643" i="86"/>
  <c r="O643" i="86"/>
  <c r="Q643" i="86"/>
  <c r="A644" i="86"/>
  <c r="B644" i="86"/>
  <c r="E644" i="86"/>
  <c r="G644" i="86"/>
  <c r="I644" i="86"/>
  <c r="K644" i="86"/>
  <c r="M644" i="86"/>
  <c r="O644" i="86"/>
  <c r="Q644" i="86"/>
  <c r="A645" i="86"/>
  <c r="B645" i="86"/>
  <c r="E645" i="86"/>
  <c r="G645" i="86"/>
  <c r="I645" i="86"/>
  <c r="K645" i="86"/>
  <c r="M645" i="86"/>
  <c r="O645" i="86"/>
  <c r="Q645" i="86"/>
  <c r="A646" i="86"/>
  <c r="B646" i="86"/>
  <c r="E646" i="86"/>
  <c r="G646" i="86"/>
  <c r="I646" i="86"/>
  <c r="K646" i="86"/>
  <c r="M646" i="86"/>
  <c r="O646" i="86"/>
  <c r="Q646" i="86"/>
  <c r="A647" i="86"/>
  <c r="B647" i="86"/>
  <c r="E647" i="86"/>
  <c r="G647" i="86"/>
  <c r="I647" i="86"/>
  <c r="K647" i="86"/>
  <c r="M647" i="86"/>
  <c r="O647" i="86"/>
  <c r="Q647" i="86"/>
  <c r="A648" i="86"/>
  <c r="B648" i="86"/>
  <c r="E648" i="86"/>
  <c r="G648" i="86"/>
  <c r="I648" i="86"/>
  <c r="K648" i="86"/>
  <c r="M648" i="86"/>
  <c r="O648" i="86"/>
  <c r="Q648" i="86"/>
  <c r="A649" i="86"/>
  <c r="B649" i="86"/>
  <c r="E649" i="86"/>
  <c r="G649" i="86"/>
  <c r="I649" i="86"/>
  <c r="K649" i="86"/>
  <c r="M649" i="86"/>
  <c r="O649" i="86"/>
  <c r="Q649" i="86"/>
  <c r="A650" i="86"/>
  <c r="B650" i="86"/>
  <c r="E650" i="86"/>
  <c r="G650" i="86"/>
  <c r="I650" i="86"/>
  <c r="K650" i="86"/>
  <c r="M650" i="86"/>
  <c r="O650" i="86"/>
  <c r="Q650" i="86"/>
  <c r="A651" i="86"/>
  <c r="B651" i="86"/>
  <c r="E651" i="86"/>
  <c r="G651" i="86"/>
  <c r="I651" i="86"/>
  <c r="K651" i="86"/>
  <c r="M651" i="86"/>
  <c r="O651" i="86"/>
  <c r="Q651" i="86"/>
  <c r="A652" i="86"/>
  <c r="B652" i="86"/>
  <c r="E652" i="86"/>
  <c r="G652" i="86"/>
  <c r="I652" i="86"/>
  <c r="K652" i="86"/>
  <c r="M652" i="86"/>
  <c r="O652" i="86"/>
  <c r="Q652" i="86"/>
  <c r="A653" i="86"/>
  <c r="B653" i="86"/>
  <c r="E653" i="86"/>
  <c r="G653" i="86"/>
  <c r="I653" i="86"/>
  <c r="K653" i="86"/>
  <c r="M653" i="86"/>
  <c r="O653" i="86"/>
  <c r="Q653" i="86"/>
  <c r="A654" i="86"/>
  <c r="B654" i="86"/>
  <c r="E654" i="86"/>
  <c r="G654" i="86"/>
  <c r="I654" i="86"/>
  <c r="K654" i="86"/>
  <c r="M654" i="86"/>
  <c r="O654" i="86"/>
  <c r="Q654" i="86"/>
  <c r="A655" i="86"/>
  <c r="B655" i="86"/>
  <c r="E655" i="86"/>
  <c r="G655" i="86"/>
  <c r="I655" i="86"/>
  <c r="K655" i="86"/>
  <c r="M655" i="86"/>
  <c r="O655" i="86"/>
  <c r="Q655" i="86"/>
  <c r="A656" i="86"/>
  <c r="B656" i="86"/>
  <c r="E656" i="86"/>
  <c r="G656" i="86"/>
  <c r="I656" i="86"/>
  <c r="K656" i="86"/>
  <c r="M656" i="86"/>
  <c r="O656" i="86"/>
  <c r="Q656" i="86"/>
  <c r="A657" i="86"/>
  <c r="B657" i="86"/>
  <c r="E657" i="86"/>
  <c r="G657" i="86"/>
  <c r="I657" i="86"/>
  <c r="K657" i="86"/>
  <c r="M657" i="86"/>
  <c r="O657" i="86"/>
  <c r="Q657" i="86"/>
  <c r="A658" i="86"/>
  <c r="B658" i="86"/>
  <c r="E658" i="86"/>
  <c r="G658" i="86"/>
  <c r="I658" i="86"/>
  <c r="K658" i="86"/>
  <c r="M658" i="86"/>
  <c r="O658" i="86"/>
  <c r="Q658" i="86"/>
  <c r="A659" i="86"/>
  <c r="B659" i="86"/>
  <c r="E659" i="86"/>
  <c r="G659" i="86"/>
  <c r="I659" i="86"/>
  <c r="K659" i="86"/>
  <c r="M659" i="86"/>
  <c r="O659" i="86"/>
  <c r="Q659" i="86"/>
  <c r="A660" i="86"/>
  <c r="B660" i="86"/>
  <c r="E660" i="86"/>
  <c r="G660" i="86"/>
  <c r="I660" i="86"/>
  <c r="K660" i="86"/>
  <c r="M660" i="86"/>
  <c r="O660" i="86"/>
  <c r="Q660" i="86"/>
  <c r="A661" i="86"/>
  <c r="B661" i="86"/>
  <c r="E661" i="86"/>
  <c r="G661" i="86"/>
  <c r="I661" i="86"/>
  <c r="K661" i="86"/>
  <c r="M661" i="86"/>
  <c r="O661" i="86"/>
  <c r="Q661" i="86"/>
  <c r="A662" i="86"/>
  <c r="B662" i="86"/>
  <c r="E662" i="86"/>
  <c r="G662" i="86"/>
  <c r="I662" i="86"/>
  <c r="K662" i="86"/>
  <c r="M662" i="86"/>
  <c r="O662" i="86"/>
  <c r="Q662" i="86"/>
  <c r="A663" i="86"/>
  <c r="B663" i="86"/>
  <c r="E663" i="86"/>
  <c r="G663" i="86"/>
  <c r="I663" i="86"/>
  <c r="K663" i="86"/>
  <c r="M663" i="86"/>
  <c r="O663" i="86"/>
  <c r="Q663" i="86"/>
  <c r="A664" i="86"/>
  <c r="B664" i="86"/>
  <c r="E664" i="86"/>
  <c r="G664" i="86"/>
  <c r="I664" i="86"/>
  <c r="K664" i="86"/>
  <c r="M664" i="86"/>
  <c r="O664" i="86"/>
  <c r="Q664" i="86"/>
  <c r="A665" i="86"/>
  <c r="B665" i="86"/>
  <c r="E665" i="86"/>
  <c r="G665" i="86"/>
  <c r="I665" i="86"/>
  <c r="K665" i="86"/>
  <c r="M665" i="86"/>
  <c r="O665" i="86"/>
  <c r="Q665" i="86"/>
  <c r="A666" i="86"/>
  <c r="B666" i="86"/>
  <c r="E666" i="86"/>
  <c r="G666" i="86"/>
  <c r="I666" i="86"/>
  <c r="K666" i="86"/>
  <c r="M666" i="86"/>
  <c r="O666" i="86"/>
  <c r="Q666" i="86"/>
  <c r="A667" i="86"/>
  <c r="B667" i="86"/>
  <c r="E667" i="86"/>
  <c r="G667" i="86"/>
  <c r="I667" i="86"/>
  <c r="K667" i="86"/>
  <c r="M667" i="86"/>
  <c r="O667" i="86"/>
  <c r="Q667" i="86"/>
  <c r="A668" i="86"/>
  <c r="B668" i="86"/>
  <c r="E668" i="86"/>
  <c r="G668" i="86"/>
  <c r="I668" i="86"/>
  <c r="K668" i="86"/>
  <c r="M668" i="86"/>
  <c r="O668" i="86"/>
  <c r="Q668" i="86"/>
  <c r="A669" i="86"/>
  <c r="B669" i="86"/>
  <c r="E669" i="86"/>
  <c r="G669" i="86"/>
  <c r="I669" i="86"/>
  <c r="K669" i="86"/>
  <c r="M669" i="86"/>
  <c r="O669" i="86"/>
  <c r="Q669" i="86"/>
  <c r="A670" i="86"/>
  <c r="B670" i="86"/>
  <c r="E670" i="86"/>
  <c r="G670" i="86"/>
  <c r="I670" i="86"/>
  <c r="K670" i="86"/>
  <c r="M670" i="86"/>
  <c r="O670" i="86"/>
  <c r="Q670" i="86"/>
  <c r="A671" i="86"/>
  <c r="B671" i="86"/>
  <c r="E671" i="86"/>
  <c r="G671" i="86"/>
  <c r="I671" i="86"/>
  <c r="K671" i="86"/>
  <c r="M671" i="86"/>
  <c r="O671" i="86"/>
  <c r="Q671" i="86"/>
  <c r="A672" i="86"/>
  <c r="B672" i="86"/>
  <c r="E672" i="86"/>
  <c r="G672" i="86"/>
  <c r="I672" i="86"/>
  <c r="K672" i="86"/>
  <c r="M672" i="86"/>
  <c r="O672" i="86"/>
  <c r="Q672" i="86"/>
  <c r="A673" i="86"/>
  <c r="B673" i="86"/>
  <c r="E673" i="86"/>
  <c r="G673" i="86"/>
  <c r="I673" i="86"/>
  <c r="K673" i="86"/>
  <c r="M673" i="86"/>
  <c r="O673" i="86"/>
  <c r="Q673" i="86"/>
  <c r="A674" i="86"/>
  <c r="B674" i="86"/>
  <c r="E674" i="86"/>
  <c r="G674" i="86"/>
  <c r="I674" i="86"/>
  <c r="K674" i="86"/>
  <c r="M674" i="86"/>
  <c r="O674" i="86"/>
  <c r="Q674" i="86"/>
  <c r="A675" i="86"/>
  <c r="B675" i="86"/>
  <c r="E675" i="86"/>
  <c r="G675" i="86"/>
  <c r="I675" i="86"/>
  <c r="K675" i="86"/>
  <c r="M675" i="86"/>
  <c r="O675" i="86"/>
  <c r="Q675" i="86"/>
  <c r="A676" i="86"/>
  <c r="B676" i="86"/>
  <c r="E676" i="86"/>
  <c r="G676" i="86"/>
  <c r="I676" i="86"/>
  <c r="K676" i="86"/>
  <c r="M676" i="86"/>
  <c r="O676" i="86"/>
  <c r="Q676" i="86"/>
  <c r="A677" i="86"/>
  <c r="B677" i="86"/>
  <c r="E677" i="86"/>
  <c r="G677" i="86"/>
  <c r="I677" i="86"/>
  <c r="K677" i="86"/>
  <c r="M677" i="86"/>
  <c r="O677" i="86"/>
  <c r="Q677" i="86"/>
  <c r="A541" i="86"/>
  <c r="B541" i="86"/>
  <c r="E541" i="86"/>
  <c r="G541" i="86"/>
  <c r="I541" i="86"/>
  <c r="K541" i="86"/>
  <c r="M541" i="86"/>
  <c r="O541" i="86"/>
  <c r="Q541" i="86"/>
  <c r="A542" i="86"/>
  <c r="B542" i="86"/>
  <c r="E542" i="86"/>
  <c r="G542" i="86"/>
  <c r="I542" i="86"/>
  <c r="K542" i="86"/>
  <c r="M542" i="86"/>
  <c r="O542" i="86"/>
  <c r="Q542" i="86"/>
  <c r="A543" i="86"/>
  <c r="B543" i="86"/>
  <c r="E543" i="86"/>
  <c r="G543" i="86"/>
  <c r="I543" i="86"/>
  <c r="K543" i="86"/>
  <c r="M543" i="86"/>
  <c r="O543" i="86"/>
  <c r="Q543" i="86"/>
  <c r="A544" i="86"/>
  <c r="B544" i="86"/>
  <c r="E544" i="86"/>
  <c r="G544" i="86"/>
  <c r="I544" i="86"/>
  <c r="K544" i="86"/>
  <c r="M544" i="86"/>
  <c r="O544" i="86"/>
  <c r="Q544" i="86"/>
  <c r="A545" i="86"/>
  <c r="B545" i="86"/>
  <c r="E545" i="86"/>
  <c r="G545" i="86"/>
  <c r="I545" i="86"/>
  <c r="K545" i="86"/>
  <c r="M545" i="86"/>
  <c r="O545" i="86"/>
  <c r="Q545" i="86"/>
  <c r="A546" i="86"/>
  <c r="B546" i="86"/>
  <c r="E546" i="86"/>
  <c r="G546" i="86"/>
  <c r="I546" i="86"/>
  <c r="K546" i="86"/>
  <c r="M546" i="86"/>
  <c r="O546" i="86"/>
  <c r="Q546" i="86"/>
  <c r="A547" i="86"/>
  <c r="B547" i="86"/>
  <c r="E547" i="86"/>
  <c r="G547" i="86"/>
  <c r="I547" i="86"/>
  <c r="K547" i="86"/>
  <c r="M547" i="86"/>
  <c r="O547" i="86"/>
  <c r="Q547" i="86"/>
  <c r="A548" i="86"/>
  <c r="B548" i="86"/>
  <c r="E548" i="86"/>
  <c r="G548" i="86"/>
  <c r="I548" i="86"/>
  <c r="K548" i="86"/>
  <c r="M548" i="86"/>
  <c r="O548" i="86"/>
  <c r="Q548" i="86"/>
  <c r="A549" i="86"/>
  <c r="B549" i="86"/>
  <c r="E549" i="86"/>
  <c r="G549" i="86"/>
  <c r="I549" i="86"/>
  <c r="K549" i="86"/>
  <c r="M549" i="86"/>
  <c r="O549" i="86"/>
  <c r="Q549" i="86"/>
  <c r="A550" i="86"/>
  <c r="B550" i="86"/>
  <c r="E550" i="86"/>
  <c r="G550" i="86"/>
  <c r="I550" i="86"/>
  <c r="K550" i="86"/>
  <c r="M550" i="86"/>
  <c r="O550" i="86"/>
  <c r="Q550" i="86"/>
  <c r="A551" i="86"/>
  <c r="B551" i="86"/>
  <c r="E551" i="86"/>
  <c r="G551" i="86"/>
  <c r="I551" i="86"/>
  <c r="K551" i="86"/>
  <c r="M551" i="86"/>
  <c r="O551" i="86"/>
  <c r="Q551" i="86"/>
  <c r="A552" i="86"/>
  <c r="B552" i="86"/>
  <c r="E552" i="86"/>
  <c r="G552" i="86"/>
  <c r="I552" i="86"/>
  <c r="K552" i="86"/>
  <c r="M552" i="86"/>
  <c r="O552" i="86"/>
  <c r="Q552" i="86"/>
  <c r="A553" i="86"/>
  <c r="B553" i="86"/>
  <c r="E553" i="86"/>
  <c r="G553" i="86"/>
  <c r="I553" i="86"/>
  <c r="K553" i="86"/>
  <c r="M553" i="86"/>
  <c r="O553" i="86"/>
  <c r="Q553" i="86"/>
  <c r="A554" i="86"/>
  <c r="B554" i="86"/>
  <c r="E554" i="86"/>
  <c r="G554" i="86"/>
  <c r="I554" i="86"/>
  <c r="K554" i="86"/>
  <c r="M554" i="86"/>
  <c r="O554" i="86"/>
  <c r="Q554" i="86"/>
  <c r="A555" i="86"/>
  <c r="B555" i="86"/>
  <c r="E555" i="86"/>
  <c r="G555" i="86"/>
  <c r="I555" i="86"/>
  <c r="K555" i="86"/>
  <c r="M555" i="86"/>
  <c r="O555" i="86"/>
  <c r="Q555" i="86"/>
  <c r="A556" i="86"/>
  <c r="B556" i="86"/>
  <c r="E556" i="86"/>
  <c r="G556" i="86"/>
  <c r="I556" i="86"/>
  <c r="K556" i="86"/>
  <c r="M556" i="86"/>
  <c r="O556" i="86"/>
  <c r="Q556" i="86"/>
  <c r="A557" i="86"/>
  <c r="B557" i="86"/>
  <c r="E557" i="86"/>
  <c r="G557" i="86"/>
  <c r="I557" i="86"/>
  <c r="K557" i="86"/>
  <c r="M557" i="86"/>
  <c r="O557" i="86"/>
  <c r="Q557" i="86"/>
  <c r="A558" i="86"/>
  <c r="B558" i="86"/>
  <c r="E558" i="86"/>
  <c r="G558" i="86"/>
  <c r="I558" i="86"/>
  <c r="K558" i="86"/>
  <c r="M558" i="86"/>
  <c r="O558" i="86"/>
  <c r="Q558" i="86"/>
  <c r="A559" i="86"/>
  <c r="B559" i="86"/>
  <c r="E559" i="86"/>
  <c r="G559" i="86"/>
  <c r="I559" i="86"/>
  <c r="K559" i="86"/>
  <c r="M559" i="86"/>
  <c r="O559" i="86"/>
  <c r="Q559" i="86"/>
  <c r="A560" i="86"/>
  <c r="B560" i="86"/>
  <c r="E560" i="86"/>
  <c r="G560" i="86"/>
  <c r="I560" i="86"/>
  <c r="K560" i="86"/>
  <c r="M560" i="86"/>
  <c r="O560" i="86"/>
  <c r="Q560" i="86"/>
  <c r="A561" i="86"/>
  <c r="B561" i="86"/>
  <c r="E561" i="86"/>
  <c r="G561" i="86"/>
  <c r="I561" i="86"/>
  <c r="K561" i="86"/>
  <c r="M561" i="86"/>
  <c r="O561" i="86"/>
  <c r="Q561" i="86"/>
  <c r="A562" i="86"/>
  <c r="B562" i="86"/>
  <c r="E562" i="86"/>
  <c r="G562" i="86"/>
  <c r="I562" i="86"/>
  <c r="K562" i="86"/>
  <c r="M562" i="86"/>
  <c r="O562" i="86"/>
  <c r="Q562" i="86"/>
  <c r="A563" i="86"/>
  <c r="B563" i="86"/>
  <c r="E563" i="86"/>
  <c r="G563" i="86"/>
  <c r="I563" i="86"/>
  <c r="K563" i="86"/>
  <c r="M563" i="86"/>
  <c r="O563" i="86"/>
  <c r="Q563" i="86"/>
  <c r="A564" i="86"/>
  <c r="B564" i="86"/>
  <c r="E564" i="86"/>
  <c r="G564" i="86"/>
  <c r="I564" i="86"/>
  <c r="K564" i="86"/>
  <c r="M564" i="86"/>
  <c r="O564" i="86"/>
  <c r="Q564" i="86"/>
  <c r="A565" i="86"/>
  <c r="B565" i="86"/>
  <c r="E565" i="86"/>
  <c r="G565" i="86"/>
  <c r="I565" i="86"/>
  <c r="K565" i="86"/>
  <c r="M565" i="86"/>
  <c r="O565" i="86"/>
  <c r="Q565" i="86"/>
  <c r="A566" i="86"/>
  <c r="B566" i="86"/>
  <c r="E566" i="86"/>
  <c r="G566" i="86"/>
  <c r="I566" i="86"/>
  <c r="K566" i="86"/>
  <c r="M566" i="86"/>
  <c r="O566" i="86"/>
  <c r="Q566" i="86"/>
  <c r="A567" i="86"/>
  <c r="B567" i="86"/>
  <c r="E567" i="86"/>
  <c r="G567" i="86"/>
  <c r="I567" i="86"/>
  <c r="K567" i="86"/>
  <c r="M567" i="86"/>
  <c r="O567" i="86"/>
  <c r="Q567" i="86"/>
  <c r="A568" i="86"/>
  <c r="B568" i="86"/>
  <c r="E568" i="86"/>
  <c r="G568" i="86"/>
  <c r="I568" i="86"/>
  <c r="K568" i="86"/>
  <c r="M568" i="86"/>
  <c r="O568" i="86"/>
  <c r="Q568" i="86"/>
  <c r="A569" i="86"/>
  <c r="B569" i="86"/>
  <c r="E569" i="86"/>
  <c r="G569" i="86"/>
  <c r="I569" i="86"/>
  <c r="K569" i="86"/>
  <c r="M569" i="86"/>
  <c r="O569" i="86"/>
  <c r="Q569" i="86"/>
  <c r="A570" i="86"/>
  <c r="B570" i="86"/>
  <c r="E570" i="86"/>
  <c r="G570" i="86"/>
  <c r="I570" i="86"/>
  <c r="K570" i="86"/>
  <c r="M570" i="86"/>
  <c r="O570" i="86"/>
  <c r="Q570" i="86"/>
  <c r="A571" i="86"/>
  <c r="B571" i="86"/>
  <c r="E571" i="86"/>
  <c r="G571" i="86"/>
  <c r="I571" i="86"/>
  <c r="K571" i="86"/>
  <c r="M571" i="86"/>
  <c r="O571" i="86"/>
  <c r="Q571" i="86"/>
  <c r="A572" i="86"/>
  <c r="B572" i="86"/>
  <c r="E572" i="86"/>
  <c r="G572" i="86"/>
  <c r="I572" i="86"/>
  <c r="K572" i="86"/>
  <c r="M572" i="86"/>
  <c r="O572" i="86"/>
  <c r="Q572" i="86"/>
  <c r="A573" i="86"/>
  <c r="B573" i="86"/>
  <c r="E573" i="86"/>
  <c r="G573" i="86"/>
  <c r="I573" i="86"/>
  <c r="K573" i="86"/>
  <c r="M573" i="86"/>
  <c r="O573" i="86"/>
  <c r="Q573" i="86"/>
  <c r="A574" i="86"/>
  <c r="B574" i="86"/>
  <c r="E574" i="86"/>
  <c r="G574" i="86"/>
  <c r="I574" i="86"/>
  <c r="K574" i="86"/>
  <c r="M574" i="86"/>
  <c r="O574" i="86"/>
  <c r="Q574" i="86"/>
  <c r="A575" i="86"/>
  <c r="B575" i="86"/>
  <c r="E575" i="86"/>
  <c r="G575" i="86"/>
  <c r="I575" i="86"/>
  <c r="K575" i="86"/>
  <c r="M575" i="86"/>
  <c r="O575" i="86"/>
  <c r="Q575" i="86"/>
  <c r="A576" i="86"/>
  <c r="B576" i="86"/>
  <c r="E576" i="86"/>
  <c r="G576" i="86"/>
  <c r="I576" i="86"/>
  <c r="K576" i="86"/>
  <c r="M576" i="86"/>
  <c r="O576" i="86"/>
  <c r="Q576" i="86"/>
  <c r="A577" i="86"/>
  <c r="B577" i="86"/>
  <c r="E577" i="86"/>
  <c r="G577" i="86"/>
  <c r="I577" i="86"/>
  <c r="K577" i="86"/>
  <c r="M577" i="86"/>
  <c r="O577" i="86"/>
  <c r="Q577" i="86"/>
  <c r="A578" i="86"/>
  <c r="B578" i="86"/>
  <c r="E578" i="86"/>
  <c r="G578" i="86"/>
  <c r="I578" i="86"/>
  <c r="K578" i="86"/>
  <c r="M578" i="86"/>
  <c r="O578" i="86"/>
  <c r="Q578" i="86"/>
  <c r="A579" i="86"/>
  <c r="B579" i="86"/>
  <c r="E579" i="86"/>
  <c r="G579" i="86"/>
  <c r="I579" i="86"/>
  <c r="K579" i="86"/>
  <c r="M579" i="86"/>
  <c r="O579" i="86"/>
  <c r="Q579" i="86"/>
  <c r="A580" i="86"/>
  <c r="B580" i="86"/>
  <c r="E580" i="86"/>
  <c r="G580" i="86"/>
  <c r="I580" i="86"/>
  <c r="K580" i="86"/>
  <c r="M580" i="86"/>
  <c r="O580" i="86"/>
  <c r="Q580" i="86"/>
  <c r="A581" i="86"/>
  <c r="B581" i="86"/>
  <c r="E581" i="86"/>
  <c r="G581" i="86"/>
  <c r="I581" i="86"/>
  <c r="K581" i="86"/>
  <c r="M581" i="86"/>
  <c r="O581" i="86"/>
  <c r="Q581" i="86"/>
  <c r="A582" i="86"/>
  <c r="B582" i="86"/>
  <c r="E582" i="86"/>
  <c r="G582" i="86"/>
  <c r="I582" i="86"/>
  <c r="K582" i="86"/>
  <c r="M582" i="86"/>
  <c r="O582" i="86"/>
  <c r="Q582" i="86"/>
  <c r="A583" i="86"/>
  <c r="B583" i="86"/>
  <c r="E583" i="86"/>
  <c r="G583" i="86"/>
  <c r="I583" i="86"/>
  <c r="K583" i="86"/>
  <c r="M583" i="86"/>
  <c r="O583" i="86"/>
  <c r="Q583" i="86"/>
  <c r="A584" i="86"/>
  <c r="B584" i="86"/>
  <c r="E584" i="86"/>
  <c r="G584" i="86"/>
  <c r="I584" i="86"/>
  <c r="K584" i="86"/>
  <c r="M584" i="86"/>
  <c r="O584" i="86"/>
  <c r="Q584" i="86"/>
  <c r="A585" i="86"/>
  <c r="B585" i="86"/>
  <c r="E585" i="86"/>
  <c r="G585" i="86"/>
  <c r="I585" i="86"/>
  <c r="K585" i="86"/>
  <c r="M585" i="86"/>
  <c r="O585" i="86"/>
  <c r="Q585" i="86"/>
  <c r="A586" i="86"/>
  <c r="B586" i="86"/>
  <c r="E586" i="86"/>
  <c r="G586" i="86"/>
  <c r="I586" i="86"/>
  <c r="K586" i="86"/>
  <c r="M586" i="86"/>
  <c r="O586" i="86"/>
  <c r="Q586" i="86"/>
  <c r="A587" i="86"/>
  <c r="B587" i="86"/>
  <c r="E587" i="86"/>
  <c r="G587" i="86"/>
  <c r="I587" i="86"/>
  <c r="K587" i="86"/>
  <c r="M587" i="86"/>
  <c r="O587" i="86"/>
  <c r="Q587" i="86"/>
  <c r="A588" i="86"/>
  <c r="B588" i="86"/>
  <c r="E588" i="86"/>
  <c r="G588" i="86"/>
  <c r="I588" i="86"/>
  <c r="K588" i="86"/>
  <c r="M588" i="86"/>
  <c r="O588" i="86"/>
  <c r="Q588" i="86"/>
  <c r="A589" i="86"/>
  <c r="B589" i="86"/>
  <c r="E589" i="86"/>
  <c r="G589" i="86"/>
  <c r="I589" i="86"/>
  <c r="K589" i="86"/>
  <c r="M589" i="86"/>
  <c r="O589" i="86"/>
  <c r="Q589" i="86"/>
  <c r="A590" i="86"/>
  <c r="B590" i="86"/>
  <c r="E590" i="86"/>
  <c r="G590" i="86"/>
  <c r="I590" i="86"/>
  <c r="K590" i="86"/>
  <c r="M590" i="86"/>
  <c r="O590" i="86"/>
  <c r="Q590" i="86"/>
  <c r="A591" i="86"/>
  <c r="B591" i="86"/>
  <c r="E591" i="86"/>
  <c r="G591" i="86"/>
  <c r="I591" i="86"/>
  <c r="K591" i="86"/>
  <c r="M591" i="86"/>
  <c r="O591" i="86"/>
  <c r="Q591" i="86"/>
  <c r="A592" i="86"/>
  <c r="B592" i="86"/>
  <c r="E592" i="86"/>
  <c r="G592" i="86"/>
  <c r="I592" i="86"/>
  <c r="K592" i="86"/>
  <c r="M592" i="86"/>
  <c r="O592" i="86"/>
  <c r="Q592" i="86"/>
  <c r="A593" i="86"/>
  <c r="B593" i="86"/>
  <c r="E593" i="86"/>
  <c r="G593" i="86"/>
  <c r="I593" i="86"/>
  <c r="K593" i="86"/>
  <c r="M593" i="86"/>
  <c r="O593" i="86"/>
  <c r="Q593" i="86"/>
  <c r="A594" i="86"/>
  <c r="B594" i="86"/>
  <c r="E594" i="86"/>
  <c r="G594" i="86"/>
  <c r="I594" i="86"/>
  <c r="K594" i="86"/>
  <c r="M594" i="86"/>
  <c r="O594" i="86"/>
  <c r="Q594" i="86"/>
  <c r="A595" i="86"/>
  <c r="B595" i="86"/>
  <c r="E595" i="86"/>
  <c r="G595" i="86"/>
  <c r="I595" i="86"/>
  <c r="K595" i="86"/>
  <c r="M595" i="86"/>
  <c r="O595" i="86"/>
  <c r="Q595" i="86"/>
  <c r="A596" i="86"/>
  <c r="B596" i="86"/>
  <c r="E596" i="86"/>
  <c r="G596" i="86"/>
  <c r="I596" i="86"/>
  <c r="K596" i="86"/>
  <c r="M596" i="86"/>
  <c r="O596" i="86"/>
  <c r="Q596" i="86"/>
  <c r="A597" i="86"/>
  <c r="B597" i="86"/>
  <c r="E597" i="86"/>
  <c r="G597" i="86"/>
  <c r="I597" i="86"/>
  <c r="K597" i="86"/>
  <c r="M597" i="86"/>
  <c r="O597" i="86"/>
  <c r="Q597" i="86"/>
  <c r="A598" i="86"/>
  <c r="B598" i="86"/>
  <c r="E598" i="86"/>
  <c r="G598" i="86"/>
  <c r="I598" i="86"/>
  <c r="K598" i="86"/>
  <c r="M598" i="86"/>
  <c r="O598" i="86"/>
  <c r="Q598" i="86"/>
  <c r="A599" i="86"/>
  <c r="B599" i="86"/>
  <c r="E599" i="86"/>
  <c r="G599" i="86"/>
  <c r="I599" i="86"/>
  <c r="K599" i="86"/>
  <c r="M599" i="86"/>
  <c r="O599" i="86"/>
  <c r="Q599" i="86"/>
  <c r="A600" i="86"/>
  <c r="B600" i="86"/>
  <c r="E600" i="86"/>
  <c r="G600" i="86"/>
  <c r="I600" i="86"/>
  <c r="K600" i="86"/>
  <c r="M600" i="86"/>
  <c r="O600" i="86"/>
  <c r="Q600" i="86"/>
  <c r="A601" i="86"/>
  <c r="B601" i="86"/>
  <c r="E601" i="86"/>
  <c r="G601" i="86"/>
  <c r="I601" i="86"/>
  <c r="K601" i="86"/>
  <c r="M601" i="86"/>
  <c r="O601" i="86"/>
  <c r="Q601" i="86"/>
  <c r="A602" i="86"/>
  <c r="B602" i="86"/>
  <c r="E602" i="86"/>
  <c r="G602" i="86"/>
  <c r="I602" i="86"/>
  <c r="K602" i="86"/>
  <c r="M602" i="86"/>
  <c r="O602" i="86"/>
  <c r="Q602" i="86"/>
  <c r="A603" i="86"/>
  <c r="B603" i="86"/>
  <c r="E603" i="86"/>
  <c r="G603" i="86"/>
  <c r="I603" i="86"/>
  <c r="K603" i="86"/>
  <c r="M603" i="86"/>
  <c r="O603" i="86"/>
  <c r="Q603" i="86"/>
  <c r="A604" i="86"/>
  <c r="B604" i="86"/>
  <c r="E604" i="86"/>
  <c r="G604" i="86"/>
  <c r="I604" i="86"/>
  <c r="K604" i="86"/>
  <c r="M604" i="86"/>
  <c r="O604" i="86"/>
  <c r="Q604" i="86"/>
  <c r="A605" i="86"/>
  <c r="B605" i="86"/>
  <c r="E605" i="86"/>
  <c r="G605" i="86"/>
  <c r="I605" i="86"/>
  <c r="K605" i="86"/>
  <c r="M605" i="86"/>
  <c r="O605" i="86"/>
  <c r="Q605" i="86"/>
  <c r="A606" i="86"/>
  <c r="B606" i="86"/>
  <c r="E606" i="86"/>
  <c r="G606" i="86"/>
  <c r="I606" i="86"/>
  <c r="K606" i="86"/>
  <c r="M606" i="86"/>
  <c r="O606" i="86"/>
  <c r="Q606" i="86"/>
  <c r="A607" i="86"/>
  <c r="B607" i="86"/>
  <c r="E607" i="86"/>
  <c r="G607" i="86"/>
  <c r="I607" i="86"/>
  <c r="K607" i="86"/>
  <c r="M607" i="86"/>
  <c r="O607" i="86"/>
  <c r="Q607" i="86"/>
  <c r="A608" i="86"/>
  <c r="B608" i="86"/>
  <c r="E608" i="86"/>
  <c r="G608" i="86"/>
  <c r="I608" i="86"/>
  <c r="K608" i="86"/>
  <c r="M608" i="86"/>
  <c r="O608" i="86"/>
  <c r="Q608" i="86"/>
  <c r="A609" i="86"/>
  <c r="B609" i="86"/>
  <c r="E609" i="86"/>
  <c r="G609" i="86"/>
  <c r="I609" i="86"/>
  <c r="K609" i="86"/>
  <c r="M609" i="86"/>
  <c r="O609" i="86"/>
  <c r="Q609" i="86"/>
  <c r="A610" i="86"/>
  <c r="B610" i="86"/>
  <c r="E610" i="86"/>
  <c r="G610" i="86"/>
  <c r="I610" i="86"/>
  <c r="K610" i="86"/>
  <c r="M610" i="86"/>
  <c r="O610" i="86"/>
  <c r="Q610" i="86"/>
  <c r="A611" i="86"/>
  <c r="B611" i="86"/>
  <c r="E611" i="86"/>
  <c r="G611" i="86"/>
  <c r="I611" i="86"/>
  <c r="K611" i="86"/>
  <c r="M611" i="86"/>
  <c r="O611" i="86"/>
  <c r="Q611" i="86"/>
  <c r="A612" i="86"/>
  <c r="B612" i="86"/>
  <c r="E612" i="86"/>
  <c r="G612" i="86"/>
  <c r="I612" i="86"/>
  <c r="K612" i="86"/>
  <c r="M612" i="86"/>
  <c r="O612" i="86"/>
  <c r="Q612" i="86"/>
  <c r="A613" i="86"/>
  <c r="B613" i="86"/>
  <c r="E613" i="86"/>
  <c r="G613" i="86"/>
  <c r="I613" i="86"/>
  <c r="K613" i="86"/>
  <c r="M613" i="86"/>
  <c r="O613" i="86"/>
  <c r="Q613" i="86"/>
  <c r="A614" i="86"/>
  <c r="B614" i="86"/>
  <c r="E614" i="86"/>
  <c r="G614" i="86"/>
  <c r="I614" i="86"/>
  <c r="K614" i="86"/>
  <c r="M614" i="86"/>
  <c r="O614" i="86"/>
  <c r="Q614" i="86"/>
  <c r="A615" i="86"/>
  <c r="B615" i="86"/>
  <c r="E615" i="86"/>
  <c r="G615" i="86"/>
  <c r="I615" i="86"/>
  <c r="K615" i="86"/>
  <c r="M615" i="86"/>
  <c r="O615" i="86"/>
  <c r="Q615" i="86"/>
  <c r="A616" i="86"/>
  <c r="B616" i="86"/>
  <c r="E616" i="86"/>
  <c r="G616" i="86"/>
  <c r="I616" i="86"/>
  <c r="K616" i="86"/>
  <c r="M616" i="86"/>
  <c r="O616" i="86"/>
  <c r="Q616" i="86"/>
  <c r="A617" i="86"/>
  <c r="B617" i="86"/>
  <c r="E617" i="86"/>
  <c r="G617" i="86"/>
  <c r="I617" i="86"/>
  <c r="K617" i="86"/>
  <c r="M617" i="86"/>
  <c r="O617" i="86"/>
  <c r="Q617" i="86"/>
  <c r="A618" i="86"/>
  <c r="B618" i="86"/>
  <c r="E618" i="86"/>
  <c r="G618" i="86"/>
  <c r="I618" i="86"/>
  <c r="K618" i="86"/>
  <c r="M618" i="86"/>
  <c r="O618" i="86"/>
  <c r="Q618" i="86"/>
  <c r="A619" i="86"/>
  <c r="B619" i="86"/>
  <c r="E619" i="86"/>
  <c r="G619" i="86"/>
  <c r="I619" i="86"/>
  <c r="K619" i="86"/>
  <c r="M619" i="86"/>
  <c r="O619" i="86"/>
  <c r="Q619" i="86"/>
  <c r="A620" i="86"/>
  <c r="B620" i="86"/>
  <c r="E620" i="86"/>
  <c r="G620" i="86"/>
  <c r="I620" i="86"/>
  <c r="K620" i="86"/>
  <c r="M620" i="86"/>
  <c r="O620" i="86"/>
  <c r="Q620" i="86"/>
  <c r="A621" i="86"/>
  <c r="B621" i="86"/>
  <c r="E621" i="86"/>
  <c r="G621" i="86"/>
  <c r="I621" i="86"/>
  <c r="K621" i="86"/>
  <c r="M621" i="86"/>
  <c r="O621" i="86"/>
  <c r="Q621" i="86"/>
  <c r="A622" i="86"/>
  <c r="B622" i="86"/>
  <c r="E622" i="86"/>
  <c r="G622" i="86"/>
  <c r="I622" i="86"/>
  <c r="K622" i="86"/>
  <c r="M622" i="86"/>
  <c r="O622" i="86"/>
  <c r="Q622" i="86"/>
  <c r="A623" i="86"/>
  <c r="B623" i="86"/>
  <c r="E623" i="86"/>
  <c r="G623" i="86"/>
  <c r="I623" i="86"/>
  <c r="K623" i="86"/>
  <c r="M623" i="86"/>
  <c r="O623" i="86"/>
  <c r="Q623" i="86"/>
  <c r="A624" i="86"/>
  <c r="B624" i="86"/>
  <c r="E624" i="86"/>
  <c r="G624" i="86"/>
  <c r="I624" i="86"/>
  <c r="K624" i="86"/>
  <c r="M624" i="86"/>
  <c r="O624" i="86"/>
  <c r="Q624" i="86"/>
  <c r="A625" i="86"/>
  <c r="B625" i="86"/>
  <c r="E625" i="86"/>
  <c r="G625" i="86"/>
  <c r="I625" i="86"/>
  <c r="K625" i="86"/>
  <c r="M625" i="86"/>
  <c r="O625" i="86"/>
  <c r="Q625" i="86"/>
  <c r="A626" i="86"/>
  <c r="B626" i="86"/>
  <c r="E626" i="86"/>
  <c r="G626" i="86"/>
  <c r="I626" i="86"/>
  <c r="K626" i="86"/>
  <c r="M626" i="86"/>
  <c r="O626" i="86"/>
  <c r="Q626" i="86"/>
  <c r="A627" i="86"/>
  <c r="B627" i="86"/>
  <c r="E627" i="86"/>
  <c r="G627" i="86"/>
  <c r="I627" i="86"/>
  <c r="K627" i="86"/>
  <c r="M627" i="86"/>
  <c r="O627" i="86"/>
  <c r="Q627" i="86"/>
  <c r="A628" i="86"/>
  <c r="B628" i="86"/>
  <c r="E628" i="86"/>
  <c r="G628" i="86"/>
  <c r="I628" i="86"/>
  <c r="K628" i="86"/>
  <c r="M628" i="86"/>
  <c r="O628" i="86"/>
  <c r="Q628" i="86"/>
  <c r="A629" i="86"/>
  <c r="B629" i="86"/>
  <c r="E629" i="86"/>
  <c r="G629" i="86"/>
  <c r="I629" i="86"/>
  <c r="K629" i="86"/>
  <c r="M629" i="86"/>
  <c r="O629" i="86"/>
  <c r="Q629" i="86"/>
  <c r="A630" i="86"/>
  <c r="B630" i="86"/>
  <c r="E630" i="86"/>
  <c r="G630" i="86"/>
  <c r="I630" i="86"/>
  <c r="K630" i="86"/>
  <c r="M630" i="86"/>
  <c r="O630" i="86"/>
  <c r="Q630" i="86"/>
  <c r="A631" i="86"/>
  <c r="B631" i="86"/>
  <c r="E631" i="86"/>
  <c r="G631" i="86"/>
  <c r="I631" i="86"/>
  <c r="K631" i="86"/>
  <c r="M631" i="86"/>
  <c r="O631" i="86"/>
  <c r="Q631" i="86"/>
  <c r="A632" i="86"/>
  <c r="B632" i="86"/>
  <c r="E632" i="86"/>
  <c r="G632" i="86"/>
  <c r="I632" i="86"/>
  <c r="K632" i="86"/>
  <c r="M632" i="86"/>
  <c r="O632" i="86"/>
  <c r="Q632" i="86"/>
  <c r="A633" i="86"/>
  <c r="B633" i="86"/>
  <c r="E633" i="86"/>
  <c r="G633" i="86"/>
  <c r="I633" i="86"/>
  <c r="K633" i="86"/>
  <c r="M633" i="86"/>
  <c r="O633" i="86"/>
  <c r="Q633" i="86"/>
  <c r="A525" i="86"/>
  <c r="B525" i="86"/>
  <c r="E525" i="86"/>
  <c r="G525" i="86"/>
  <c r="I525" i="86"/>
  <c r="K525" i="86"/>
  <c r="M525" i="86"/>
  <c r="O525" i="86"/>
  <c r="Q525" i="86"/>
  <c r="A526" i="86"/>
  <c r="B526" i="86"/>
  <c r="E526" i="86"/>
  <c r="G526" i="86"/>
  <c r="I526" i="86"/>
  <c r="K526" i="86"/>
  <c r="M526" i="86"/>
  <c r="O526" i="86"/>
  <c r="Q526" i="86"/>
  <c r="A527" i="86"/>
  <c r="B527" i="86"/>
  <c r="E527" i="86"/>
  <c r="G527" i="86"/>
  <c r="I527" i="86"/>
  <c r="K527" i="86"/>
  <c r="M527" i="86"/>
  <c r="O527" i="86"/>
  <c r="Q527" i="86"/>
  <c r="A528" i="86"/>
  <c r="B528" i="86"/>
  <c r="E528" i="86"/>
  <c r="G528" i="86"/>
  <c r="I528" i="86"/>
  <c r="K528" i="86"/>
  <c r="M528" i="86"/>
  <c r="O528" i="86"/>
  <c r="Q528" i="86"/>
  <c r="A529" i="86"/>
  <c r="B529" i="86"/>
  <c r="E529" i="86"/>
  <c r="G529" i="86"/>
  <c r="I529" i="86"/>
  <c r="K529" i="86"/>
  <c r="M529" i="86"/>
  <c r="O529" i="86"/>
  <c r="Q529" i="86"/>
  <c r="A530" i="86"/>
  <c r="B530" i="86"/>
  <c r="E530" i="86"/>
  <c r="G530" i="86"/>
  <c r="I530" i="86"/>
  <c r="K530" i="86"/>
  <c r="M530" i="86"/>
  <c r="O530" i="86"/>
  <c r="Q530" i="86"/>
  <c r="A531" i="86"/>
  <c r="B531" i="86"/>
  <c r="E531" i="86"/>
  <c r="G531" i="86"/>
  <c r="I531" i="86"/>
  <c r="K531" i="86"/>
  <c r="M531" i="86"/>
  <c r="O531" i="86"/>
  <c r="Q531" i="86"/>
  <c r="A532" i="86"/>
  <c r="B532" i="86"/>
  <c r="E532" i="86"/>
  <c r="G532" i="86"/>
  <c r="I532" i="86"/>
  <c r="K532" i="86"/>
  <c r="M532" i="86"/>
  <c r="O532" i="86"/>
  <c r="Q532" i="86"/>
  <c r="A533" i="86"/>
  <c r="B533" i="86"/>
  <c r="E533" i="86"/>
  <c r="G533" i="86"/>
  <c r="I533" i="86"/>
  <c r="K533" i="86"/>
  <c r="M533" i="86"/>
  <c r="O533" i="86"/>
  <c r="Q533" i="86"/>
  <c r="A534" i="86"/>
  <c r="B534" i="86"/>
  <c r="E534" i="86"/>
  <c r="G534" i="86"/>
  <c r="I534" i="86"/>
  <c r="K534" i="86"/>
  <c r="M534" i="86"/>
  <c r="O534" i="86"/>
  <c r="Q534" i="86"/>
  <c r="A535" i="86"/>
  <c r="B535" i="86"/>
  <c r="E535" i="86"/>
  <c r="G535" i="86"/>
  <c r="I535" i="86"/>
  <c r="K535" i="86"/>
  <c r="M535" i="86"/>
  <c r="O535" i="86"/>
  <c r="Q535" i="86"/>
  <c r="A536" i="86"/>
  <c r="B536" i="86"/>
  <c r="E536" i="86"/>
  <c r="G536" i="86"/>
  <c r="I536" i="86"/>
  <c r="K536" i="86"/>
  <c r="M536" i="86"/>
  <c r="O536" i="86"/>
  <c r="Q536" i="86"/>
  <c r="A537" i="86"/>
  <c r="B537" i="86"/>
  <c r="E537" i="86"/>
  <c r="G537" i="86"/>
  <c r="I537" i="86"/>
  <c r="K537" i="86"/>
  <c r="M537" i="86"/>
  <c r="O537" i="86"/>
  <c r="Q537" i="86"/>
  <c r="A538" i="86"/>
  <c r="B538" i="86"/>
  <c r="E538" i="86"/>
  <c r="G538" i="86"/>
  <c r="I538" i="86"/>
  <c r="K538" i="86"/>
  <c r="M538" i="86"/>
  <c r="O538" i="86"/>
  <c r="Q538" i="86"/>
  <c r="A539" i="86"/>
  <c r="B539" i="86"/>
  <c r="E539" i="86"/>
  <c r="G539" i="86"/>
  <c r="I539" i="86"/>
  <c r="K539" i="86"/>
  <c r="M539" i="86"/>
  <c r="O539" i="86"/>
  <c r="Q539" i="86"/>
  <c r="A540" i="86"/>
  <c r="B540" i="86"/>
  <c r="E540" i="86"/>
  <c r="G540" i="86"/>
  <c r="I540" i="86"/>
  <c r="K540" i="86"/>
  <c r="M540" i="86"/>
  <c r="O540" i="86"/>
  <c r="Q540" i="86"/>
  <c r="A521" i="86"/>
  <c r="B521" i="86"/>
  <c r="A522" i="86"/>
  <c r="B522" i="86"/>
  <c r="A523" i="86"/>
  <c r="B523" i="86"/>
  <c r="A524" i="86"/>
  <c r="B524"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T270" i="86"/>
  <c r="B270" i="86"/>
  <c r="A270"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U42" i="86" s="1"/>
  <c r="A43" i="86"/>
  <c r="B43" i="86"/>
  <c r="A44" i="86"/>
  <c r="B44" i="86"/>
  <c r="A45" i="86"/>
  <c r="B45" i="86"/>
  <c r="A46" i="86"/>
  <c r="B46"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137" i="86"/>
  <c r="B137" i="86"/>
  <c r="A138" i="86"/>
  <c r="B138" i="86"/>
  <c r="A139" i="86"/>
  <c r="B139" i="86"/>
  <c r="A140" i="86"/>
  <c r="B140" i="86"/>
  <c r="A141" i="86"/>
  <c r="B141" i="86"/>
  <c r="A142" i="86"/>
  <c r="B142" i="86"/>
  <c r="A143" i="86"/>
  <c r="B143" i="86"/>
  <c r="A144" i="86"/>
  <c r="B144" i="86"/>
  <c r="A145" i="86"/>
  <c r="B145" i="86"/>
  <c r="A146" i="86"/>
  <c r="B146" i="86"/>
  <c r="A147" i="86"/>
  <c r="B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198" i="86"/>
  <c r="B198" i="86"/>
  <c r="A199" i="86"/>
  <c r="B199" i="86"/>
  <c r="A200" i="86"/>
  <c r="B200" i="86"/>
  <c r="A201" i="86"/>
  <c r="B201" i="86"/>
  <c r="A202" i="86"/>
  <c r="B202" i="86"/>
  <c r="A203" i="86"/>
  <c r="B203" i="86"/>
  <c r="A204" i="86"/>
  <c r="B204" i="86"/>
  <c r="A205" i="86"/>
  <c r="B205" i="86"/>
  <c r="A206" i="86"/>
  <c r="B206" i="86"/>
  <c r="A207" i="86"/>
  <c r="B207" i="86"/>
  <c r="A208" i="86"/>
  <c r="B208" i="86"/>
  <c r="A209" i="86"/>
  <c r="B209" i="86"/>
  <c r="A210" i="86"/>
  <c r="B210" i="86"/>
  <c r="A211" i="86"/>
  <c r="B211" i="86"/>
  <c r="A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B25"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C212" i="86"/>
  <c r="C213" i="86"/>
  <c r="C214" i="86"/>
  <c r="C215" i="86"/>
  <c r="C216" i="86"/>
  <c r="C217" i="86"/>
  <c r="C218" i="86"/>
  <c r="C269" i="86"/>
  <c r="T25" i="86"/>
  <c r="C31" i="35"/>
  <c r="T24" i="86"/>
  <c r="A25" i="86"/>
  <c r="B24" i="86"/>
  <c r="A24" i="86"/>
  <c r="U41" i="86"/>
  <c r="N9" i="85"/>
  <c r="N10" i="85" s="1"/>
  <c r="N8" i="85"/>
  <c r="N6" i="85"/>
  <c r="D18" i="86"/>
  <c r="E18" i="86"/>
  <c r="C18" i="86"/>
  <c r="C76" i="87"/>
  <c r="F20" i="88"/>
  <c r="C752" i="86" l="1"/>
  <c r="C795" i="86"/>
  <c r="C796" i="86"/>
  <c r="C797" i="86"/>
  <c r="C798" i="86"/>
  <c r="C799" i="86"/>
  <c r="C800" i="86"/>
  <c r="C801" i="86"/>
  <c r="C802" i="86"/>
  <c r="C803" i="86"/>
  <c r="C804" i="86"/>
  <c r="C805" i="86"/>
  <c r="C806" i="86"/>
  <c r="C724" i="86"/>
  <c r="C721" i="86"/>
  <c r="C722" i="86"/>
  <c r="C723" i="86"/>
  <c r="C634" i="86"/>
  <c r="C677" i="86"/>
  <c r="C541" i="86"/>
  <c r="C584" i="86"/>
  <c r="C585" i="86"/>
  <c r="C586" i="86"/>
  <c r="C587" i="86"/>
  <c r="C588" i="86"/>
  <c r="C589" i="86"/>
  <c r="C590" i="86"/>
  <c r="C591" i="86"/>
  <c r="C592" i="86"/>
  <c r="C593" i="86"/>
  <c r="C47" i="86"/>
  <c r="C49" i="86"/>
  <c r="C51" i="86"/>
  <c r="C53" i="86"/>
  <c r="C55" i="86"/>
  <c r="C57" i="86"/>
  <c r="C59" i="86"/>
  <c r="C61" i="86"/>
  <c r="C63" i="86"/>
  <c r="C65" i="86"/>
  <c r="C67" i="86"/>
  <c r="C69" i="86"/>
  <c r="C71" i="86"/>
  <c r="C73" i="86"/>
  <c r="C75" i="86"/>
  <c r="C77" i="86"/>
  <c r="C79" i="86"/>
  <c r="C81" i="86"/>
  <c r="C83" i="86"/>
  <c r="C85" i="86"/>
  <c r="C87" i="86"/>
  <c r="C89" i="86"/>
  <c r="C91" i="86"/>
  <c r="C93" i="86"/>
  <c r="C95" i="86"/>
  <c r="C97" i="86"/>
  <c r="C99" i="86"/>
  <c r="C101" i="86"/>
  <c r="C103" i="86"/>
  <c r="C105" i="86"/>
  <c r="C107" i="86"/>
  <c r="C109" i="86"/>
  <c r="C114" i="86"/>
  <c r="C119" i="86"/>
  <c r="C121" i="86"/>
  <c r="C123" i="86"/>
  <c r="C125" i="86"/>
  <c r="C127" i="86"/>
  <c r="C129" i="86"/>
  <c r="C131" i="86"/>
  <c r="C133" i="86"/>
  <c r="C137" i="86"/>
  <c r="C139" i="86"/>
  <c r="C141" i="86"/>
  <c r="C143" i="86"/>
  <c r="C145" i="86"/>
  <c r="C147" i="86"/>
  <c r="C149" i="86"/>
  <c r="C151" i="86"/>
  <c r="C153" i="86"/>
  <c r="C155" i="86"/>
  <c r="C157" i="86"/>
  <c r="C159" i="86"/>
  <c r="C161" i="86"/>
  <c r="C163" i="86"/>
  <c r="C165" i="86"/>
  <c r="C167" i="86"/>
  <c r="C169" i="86"/>
  <c r="C171" i="86"/>
  <c r="C173" i="86"/>
  <c r="C175" i="86"/>
  <c r="C177" i="86"/>
  <c r="C179" i="86"/>
  <c r="C181" i="86"/>
  <c r="C183" i="86"/>
  <c r="C185" i="86"/>
  <c r="C187" i="86"/>
  <c r="C189" i="86"/>
  <c r="C191" i="86"/>
  <c r="C193" i="86"/>
  <c r="C195" i="86"/>
  <c r="C197" i="86"/>
  <c r="C199" i="86"/>
  <c r="C594" i="86"/>
  <c r="C595" i="86"/>
  <c r="C596" i="86"/>
  <c r="C597" i="86"/>
  <c r="C598" i="86"/>
  <c r="C599" i="86"/>
  <c r="C600" i="86"/>
  <c r="C601" i="86"/>
  <c r="C602" i="86"/>
  <c r="C603" i="86"/>
  <c r="C604" i="86"/>
  <c r="C605" i="86"/>
  <c r="C606" i="86"/>
  <c r="C607" i="86"/>
  <c r="C608" i="86"/>
  <c r="C609" i="86"/>
  <c r="C610" i="86"/>
  <c r="C611" i="86"/>
  <c r="C612" i="86"/>
  <c r="C613" i="86"/>
  <c r="C614" i="86"/>
  <c r="C615" i="86"/>
  <c r="C616" i="86"/>
  <c r="C617" i="86"/>
  <c r="C618" i="86"/>
  <c r="C619" i="86"/>
  <c r="C620" i="86"/>
  <c r="C621" i="86"/>
  <c r="C622" i="86"/>
  <c r="C623" i="86"/>
  <c r="C624" i="86"/>
  <c r="C625" i="86"/>
  <c r="C626" i="86"/>
  <c r="C627" i="86"/>
  <c r="C628" i="86"/>
  <c r="C629" i="86"/>
  <c r="C630" i="86"/>
  <c r="C631" i="86"/>
  <c r="C632" i="86"/>
  <c r="C46" i="86"/>
  <c r="C48" i="86"/>
  <c r="C50" i="86"/>
  <c r="C52" i="86"/>
  <c r="C54" i="86"/>
  <c r="C56" i="86"/>
  <c r="C58" i="86"/>
  <c r="C60" i="86"/>
  <c r="C62" i="86"/>
  <c r="C64" i="86"/>
  <c r="C66" i="86"/>
  <c r="C68" i="86"/>
  <c r="C70" i="86"/>
  <c r="C72" i="86"/>
  <c r="C74" i="86"/>
  <c r="C76" i="86"/>
  <c r="C78" i="86"/>
  <c r="C80" i="86"/>
  <c r="C82" i="86"/>
  <c r="C84" i="86"/>
  <c r="C86" i="86"/>
  <c r="C88" i="86"/>
  <c r="C90" i="86"/>
  <c r="C92" i="86"/>
  <c r="C94" i="86"/>
  <c r="C96" i="86"/>
  <c r="C98" i="86"/>
  <c r="C100" i="86"/>
  <c r="C102" i="86"/>
  <c r="C104" i="86"/>
  <c r="C106" i="86"/>
  <c r="C108" i="86"/>
  <c r="C110" i="86"/>
  <c r="C118" i="86"/>
  <c r="C120" i="86"/>
  <c r="C122" i="86"/>
  <c r="C40" i="86"/>
  <c r="C303" i="86"/>
  <c r="C299" i="86"/>
  <c r="C45" i="86"/>
  <c r="C43" i="86"/>
  <c r="C306" i="86"/>
  <c r="C304" i="86"/>
  <c r="C302" i="86"/>
  <c r="C300" i="86"/>
  <c r="C298" i="86"/>
  <c r="C295" i="86"/>
  <c r="C293" i="86"/>
  <c r="C291" i="86"/>
  <c r="C289" i="86"/>
  <c r="C287" i="86"/>
  <c r="C285" i="86"/>
  <c r="C283" i="86"/>
  <c r="C281" i="86"/>
  <c r="C279" i="86"/>
  <c r="C277" i="86"/>
  <c r="C275" i="86"/>
  <c r="C273" i="86"/>
  <c r="C271" i="86"/>
  <c r="C268" i="86"/>
  <c r="C266" i="86"/>
  <c r="C264" i="86"/>
  <c r="C262" i="86"/>
  <c r="C260" i="86"/>
  <c r="C258" i="86"/>
  <c r="C256" i="86"/>
  <c r="C254" i="86"/>
  <c r="C252" i="86"/>
  <c r="C250" i="86"/>
  <c r="C248" i="86"/>
  <c r="C246" i="86"/>
  <c r="C244" i="86"/>
  <c r="C242" i="86"/>
  <c r="C240" i="86"/>
  <c r="C238" i="86"/>
  <c r="C236" i="86"/>
  <c r="C234" i="86"/>
  <c r="C232" i="86"/>
  <c r="C230" i="86"/>
  <c r="C228" i="86"/>
  <c r="C226" i="86"/>
  <c r="C224" i="86"/>
  <c r="C222" i="86"/>
  <c r="C220" i="86"/>
  <c r="C203" i="86"/>
  <c r="C201" i="86"/>
  <c r="C198" i="86"/>
  <c r="C194" i="86"/>
  <c r="C190" i="86"/>
  <c r="C186" i="86"/>
  <c r="C182" i="86"/>
  <c r="C178" i="86"/>
  <c r="C174" i="86"/>
  <c r="C170" i="86"/>
  <c r="C166" i="86"/>
  <c r="C162" i="86"/>
  <c r="C158" i="86"/>
  <c r="C154" i="86"/>
  <c r="C150" i="86"/>
  <c r="C146" i="86"/>
  <c r="C142" i="86"/>
  <c r="C138" i="86"/>
  <c r="C132" i="86"/>
  <c r="C128" i="86"/>
  <c r="C124" i="86"/>
  <c r="C44" i="86"/>
  <c r="C305" i="86"/>
  <c r="C301" i="86"/>
  <c r="C296" i="86"/>
  <c r="C294" i="86"/>
  <c r="C292" i="86"/>
  <c r="C290" i="86"/>
  <c r="C288" i="86"/>
  <c r="C286" i="86"/>
  <c r="C284" i="86"/>
  <c r="C282" i="86"/>
  <c r="C280" i="86"/>
  <c r="C278" i="86"/>
  <c r="C276" i="86"/>
  <c r="C274" i="86"/>
  <c r="C272" i="86"/>
  <c r="C267" i="86"/>
  <c r="C265" i="86"/>
  <c r="C263" i="86"/>
  <c r="C261" i="86"/>
  <c r="C259" i="86"/>
  <c r="C257" i="86"/>
  <c r="C255" i="86"/>
  <c r="C253" i="86"/>
  <c r="C251" i="86"/>
  <c r="C249" i="86"/>
  <c r="C247" i="86"/>
  <c r="C245" i="86"/>
  <c r="C243" i="86"/>
  <c r="C241" i="86"/>
  <c r="C239" i="86"/>
  <c r="C237" i="86"/>
  <c r="C235" i="86"/>
  <c r="C233" i="86"/>
  <c r="C231" i="86"/>
  <c r="C229" i="86"/>
  <c r="C227" i="86"/>
  <c r="C225" i="86"/>
  <c r="C223" i="86"/>
  <c r="C221" i="86"/>
  <c r="C219" i="86"/>
  <c r="C207" i="86"/>
  <c r="C202" i="86"/>
  <c r="C200" i="86"/>
  <c r="C196" i="86"/>
  <c r="C192" i="86"/>
  <c r="C188" i="86"/>
  <c r="C184" i="86"/>
  <c r="C180" i="86"/>
  <c r="C176" i="86"/>
  <c r="C172" i="86"/>
  <c r="C168" i="86"/>
  <c r="C164" i="86"/>
  <c r="C160" i="86"/>
  <c r="C156" i="86"/>
  <c r="C152" i="86"/>
  <c r="C148" i="86"/>
  <c r="C144" i="86"/>
  <c r="C140" i="86"/>
  <c r="C136" i="86"/>
  <c r="C130" i="86"/>
  <c r="C126" i="86"/>
  <c r="C270" i="86"/>
  <c r="C539" i="86"/>
  <c r="C537" i="86"/>
  <c r="C535" i="86"/>
  <c r="C533" i="86"/>
  <c r="C531" i="86"/>
  <c r="C529" i="86"/>
  <c r="C527" i="86"/>
  <c r="C525" i="86"/>
  <c r="C540" i="86"/>
  <c r="C538" i="86"/>
  <c r="C536" i="86"/>
  <c r="C534" i="86"/>
  <c r="C532" i="86"/>
  <c r="C530" i="86"/>
  <c r="C528" i="86"/>
  <c r="C526" i="86"/>
  <c r="C633" i="86"/>
  <c r="C568" i="86"/>
  <c r="C566" i="86"/>
  <c r="C564" i="86"/>
  <c r="C562" i="86"/>
  <c r="C560" i="86"/>
  <c r="C558" i="86"/>
  <c r="C556" i="86"/>
  <c r="C554" i="86"/>
  <c r="C552" i="86"/>
  <c r="C550" i="86"/>
  <c r="C548" i="86"/>
  <c r="C546" i="86"/>
  <c r="C544" i="86"/>
  <c r="C542"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569" i="86"/>
  <c r="C567" i="86"/>
  <c r="C565" i="86"/>
  <c r="C563" i="86"/>
  <c r="C561" i="86"/>
  <c r="C559" i="86"/>
  <c r="C557" i="86"/>
  <c r="C555" i="86"/>
  <c r="C553" i="86"/>
  <c r="C551" i="86"/>
  <c r="C549" i="86"/>
  <c r="C547" i="86"/>
  <c r="C545" i="86"/>
  <c r="C54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C583" i="86"/>
  <c r="C582" i="86"/>
  <c r="C581" i="86"/>
  <c r="C580" i="86"/>
  <c r="C579" i="86"/>
  <c r="C578" i="86"/>
  <c r="C577" i="86"/>
  <c r="C576" i="86"/>
  <c r="C575" i="86"/>
  <c r="C574" i="86"/>
  <c r="C573" i="86"/>
  <c r="C572" i="86"/>
  <c r="C571" i="86"/>
  <c r="C570" i="86"/>
  <c r="M22" i="87"/>
  <c r="F26" i="87"/>
  <c r="F40" i="87"/>
  <c r="F6" i="87"/>
  <c r="L47" i="87"/>
  <c r="F16" i="87"/>
  <c r="M26" i="87"/>
  <c r="F38" i="87"/>
  <c r="M9" i="87"/>
  <c r="M24" i="87"/>
  <c r="M8" i="87"/>
  <c r="F8" i="87"/>
  <c r="M23" i="87"/>
  <c r="L48" i="87"/>
  <c r="F36" i="87"/>
  <c r="M6" i="87"/>
  <c r="F13" i="87"/>
  <c r="M28" i="87"/>
  <c r="J15" i="87"/>
  <c r="F37" i="87"/>
  <c r="F9" i="87"/>
  <c r="F42" i="87"/>
  <c r="M27"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E4" i="86" l="1"/>
  <c r="F4" i="86" s="1"/>
  <c r="G4" i="86" s="1"/>
  <c r="D4" i="86"/>
  <c r="Q524" i="86"/>
  <c r="O524" i="86"/>
  <c r="M524" i="86"/>
  <c r="K524" i="86"/>
  <c r="I524" i="86"/>
  <c r="G524" i="86"/>
  <c r="E524" i="86"/>
  <c r="C524" i="86"/>
  <c r="Q523" i="86"/>
  <c r="O523" i="86"/>
  <c r="M523" i="86"/>
  <c r="K523" i="86"/>
  <c r="I523" i="86"/>
  <c r="G523" i="86"/>
  <c r="E523" i="86"/>
  <c r="C523" i="86"/>
  <c r="Q522" i="86"/>
  <c r="O522" i="86"/>
  <c r="M522" i="86"/>
  <c r="K522" i="86"/>
  <c r="I522" i="86"/>
  <c r="G522" i="86"/>
  <c r="E522" i="86"/>
  <c r="C522" i="86"/>
  <c r="Q521" i="86"/>
  <c r="O521" i="86"/>
  <c r="M521" i="86"/>
  <c r="K521" i="86"/>
  <c r="I521" i="86"/>
  <c r="G521" i="86"/>
  <c r="E521" i="86"/>
  <c r="C521" i="86"/>
  <c r="Q520" i="86"/>
  <c r="O520" i="86"/>
  <c r="M520" i="86"/>
  <c r="K520" i="86"/>
  <c r="I520" i="86"/>
  <c r="G520" i="86"/>
  <c r="E520" i="86"/>
  <c r="C520" i="86"/>
  <c r="Q519" i="86"/>
  <c r="O519" i="86"/>
  <c r="M519" i="86"/>
  <c r="K519" i="86"/>
  <c r="I519" i="86"/>
  <c r="G519" i="86"/>
  <c r="E519" i="86"/>
  <c r="C519" i="86"/>
  <c r="Q518" i="86"/>
  <c r="O518" i="86"/>
  <c r="M518" i="86"/>
  <c r="K518" i="86"/>
  <c r="I518" i="86"/>
  <c r="G518" i="86"/>
  <c r="E518" i="86"/>
  <c r="Q517" i="86"/>
  <c r="O517" i="86"/>
  <c r="M517" i="86"/>
  <c r="K517" i="86"/>
  <c r="I517" i="86"/>
  <c r="G517" i="86"/>
  <c r="E517" i="86"/>
  <c r="Q516" i="86"/>
  <c r="O516" i="86"/>
  <c r="M516" i="86"/>
  <c r="K516" i="86"/>
  <c r="I516" i="86"/>
  <c r="G516" i="86"/>
  <c r="E516" i="86"/>
  <c r="C516" i="86"/>
  <c r="Q515" i="86"/>
  <c r="O515" i="86"/>
  <c r="M515" i="86"/>
  <c r="K515" i="86"/>
  <c r="I515" i="86"/>
  <c r="G515" i="86"/>
  <c r="E515" i="86"/>
  <c r="C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C510" i="86"/>
  <c r="Q509" i="86"/>
  <c r="O509" i="86"/>
  <c r="M509" i="86"/>
  <c r="K509" i="86"/>
  <c r="I509" i="86"/>
  <c r="G509" i="86"/>
  <c r="E509" i="86"/>
  <c r="C509" i="86"/>
  <c r="Q508" i="86"/>
  <c r="O508" i="86"/>
  <c r="M508" i="86"/>
  <c r="K508" i="86"/>
  <c r="I508" i="86"/>
  <c r="G508" i="86"/>
  <c r="E508" i="86"/>
  <c r="C508" i="86"/>
  <c r="Q507" i="86"/>
  <c r="O507" i="86"/>
  <c r="M507" i="86"/>
  <c r="K507" i="86"/>
  <c r="I507" i="86"/>
  <c r="G507" i="86"/>
  <c r="E507" i="86"/>
  <c r="C507" i="86"/>
  <c r="Q506" i="86"/>
  <c r="O506" i="86"/>
  <c r="M506" i="86"/>
  <c r="K506" i="86"/>
  <c r="I506" i="86"/>
  <c r="G506" i="86"/>
  <c r="E506" i="86"/>
  <c r="C506" i="86"/>
  <c r="Q505" i="86"/>
  <c r="O505" i="86"/>
  <c r="M505" i="86"/>
  <c r="K505" i="86"/>
  <c r="I505" i="86"/>
  <c r="G505" i="86"/>
  <c r="E505" i="86"/>
  <c r="C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C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C495" i="86"/>
  <c r="Q494" i="86"/>
  <c r="O494" i="86"/>
  <c r="M494" i="86"/>
  <c r="K494" i="86"/>
  <c r="I494" i="86"/>
  <c r="G494" i="86"/>
  <c r="E494" i="86"/>
  <c r="C494" i="86"/>
  <c r="Q493" i="86"/>
  <c r="O493" i="86"/>
  <c r="M493" i="86"/>
  <c r="K493" i="86"/>
  <c r="I493" i="86"/>
  <c r="G493" i="86"/>
  <c r="E493" i="86"/>
  <c r="C493" i="86"/>
  <c r="Q492" i="86"/>
  <c r="O492" i="86"/>
  <c r="M492" i="86"/>
  <c r="K492" i="86"/>
  <c r="I492" i="86"/>
  <c r="G492" i="86"/>
  <c r="E492" i="86"/>
  <c r="C492" i="86"/>
  <c r="Q491" i="86"/>
  <c r="O491" i="86"/>
  <c r="M491" i="86"/>
  <c r="K491" i="86"/>
  <c r="I491" i="86"/>
  <c r="G491" i="86"/>
  <c r="E491" i="86"/>
  <c r="C491" i="86"/>
  <c r="Q490" i="86"/>
  <c r="O490" i="86"/>
  <c r="M490" i="86"/>
  <c r="K490" i="86"/>
  <c r="I490" i="86"/>
  <c r="G490" i="86"/>
  <c r="E490" i="86"/>
  <c r="C490" i="86"/>
  <c r="Q489" i="86"/>
  <c r="O489" i="86"/>
  <c r="M489" i="86"/>
  <c r="K489" i="86"/>
  <c r="I489" i="86"/>
  <c r="G489" i="86"/>
  <c r="E489" i="86"/>
  <c r="C489" i="86"/>
  <c r="Q488" i="86"/>
  <c r="O488" i="86"/>
  <c r="M488" i="86"/>
  <c r="K488" i="86"/>
  <c r="I488" i="86"/>
  <c r="G488" i="86"/>
  <c r="E488" i="86"/>
  <c r="C488" i="86"/>
  <c r="Q487" i="86"/>
  <c r="O487" i="86"/>
  <c r="M487" i="86"/>
  <c r="K487" i="86"/>
  <c r="I487" i="86"/>
  <c r="G487" i="86"/>
  <c r="E487" i="86"/>
  <c r="C487" i="86"/>
  <c r="Q486" i="86"/>
  <c r="O486" i="86"/>
  <c r="M486" i="86"/>
  <c r="K486" i="86"/>
  <c r="I486" i="86"/>
  <c r="G486" i="86"/>
  <c r="E486" i="86"/>
  <c r="C486" i="86"/>
  <c r="Q485" i="86"/>
  <c r="O485" i="86"/>
  <c r="M485" i="86"/>
  <c r="K485" i="86"/>
  <c r="I485" i="86"/>
  <c r="G485" i="86"/>
  <c r="E485" i="86"/>
  <c r="C485" i="86"/>
  <c r="Q484" i="86"/>
  <c r="O484" i="86"/>
  <c r="M484" i="86"/>
  <c r="K484" i="86"/>
  <c r="I484" i="86"/>
  <c r="G484" i="86"/>
  <c r="E484" i="86"/>
  <c r="C484" i="86"/>
  <c r="Q483" i="86"/>
  <c r="O483" i="86"/>
  <c r="M483" i="86"/>
  <c r="K483" i="86"/>
  <c r="I483" i="86"/>
  <c r="G483" i="86"/>
  <c r="E483" i="86"/>
  <c r="Q482" i="86"/>
  <c r="O482" i="86"/>
  <c r="M482" i="86"/>
  <c r="K482" i="86"/>
  <c r="I482" i="86"/>
  <c r="G482" i="86"/>
  <c r="E482" i="86"/>
  <c r="Q481" i="86"/>
  <c r="O481" i="86"/>
  <c r="M481" i="86"/>
  <c r="K481" i="86"/>
  <c r="I481" i="86"/>
  <c r="G481" i="86"/>
  <c r="E481" i="86"/>
  <c r="C481" i="86"/>
  <c r="Q480" i="86"/>
  <c r="O480" i="86"/>
  <c r="M480" i="86"/>
  <c r="K480" i="86"/>
  <c r="I480" i="86"/>
  <c r="G480" i="86"/>
  <c r="E480" i="86"/>
  <c r="C480" i="86"/>
  <c r="Q479" i="86"/>
  <c r="O479" i="86"/>
  <c r="M479" i="86"/>
  <c r="K479" i="86"/>
  <c r="I479" i="86"/>
  <c r="G479" i="86"/>
  <c r="E479" i="86"/>
  <c r="C479" i="86"/>
  <c r="Q478" i="86"/>
  <c r="O478" i="86"/>
  <c r="M478" i="86"/>
  <c r="K478" i="86"/>
  <c r="I478" i="86"/>
  <c r="G478" i="86"/>
  <c r="E478" i="86"/>
  <c r="C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C471" i="86"/>
  <c r="Q470" i="86"/>
  <c r="O470" i="86"/>
  <c r="M470" i="86"/>
  <c r="K470" i="86"/>
  <c r="I470" i="86"/>
  <c r="G470" i="86"/>
  <c r="E470" i="86"/>
  <c r="C470" i="86"/>
  <c r="Q469" i="86"/>
  <c r="O469" i="86"/>
  <c r="M469" i="86"/>
  <c r="K469" i="86"/>
  <c r="I469" i="86"/>
  <c r="G469" i="86"/>
  <c r="E469" i="86"/>
  <c r="C469" i="86"/>
  <c r="Q468" i="86"/>
  <c r="O468" i="86"/>
  <c r="M468" i="86"/>
  <c r="K468" i="86"/>
  <c r="I468" i="86"/>
  <c r="G468" i="86"/>
  <c r="E468" i="86"/>
  <c r="C468" i="86"/>
  <c r="Q467" i="86"/>
  <c r="O467" i="86"/>
  <c r="M467" i="86"/>
  <c r="K467" i="86"/>
  <c r="I467" i="86"/>
  <c r="G467" i="86"/>
  <c r="E467" i="86"/>
  <c r="C467" i="86"/>
  <c r="Q466" i="86"/>
  <c r="O466" i="86"/>
  <c r="M466" i="86"/>
  <c r="K466" i="86"/>
  <c r="I466" i="86"/>
  <c r="G466" i="86"/>
  <c r="E466" i="86"/>
  <c r="C466" i="86"/>
  <c r="Q465" i="86"/>
  <c r="O465" i="86"/>
  <c r="M465" i="86"/>
  <c r="K465" i="86"/>
  <c r="I465" i="86"/>
  <c r="G465" i="86"/>
  <c r="E465" i="86"/>
  <c r="C465" i="86"/>
  <c r="Q464" i="86"/>
  <c r="O464" i="86"/>
  <c r="M464" i="86"/>
  <c r="K464" i="86"/>
  <c r="I464" i="86"/>
  <c r="G464" i="86"/>
  <c r="E464" i="86"/>
  <c r="C464" i="86"/>
  <c r="Q463" i="86"/>
  <c r="O463" i="86"/>
  <c r="M463" i="86"/>
  <c r="K463" i="86"/>
  <c r="I463" i="86"/>
  <c r="G463" i="86"/>
  <c r="E463" i="86"/>
  <c r="C463" i="86"/>
  <c r="Q462" i="86"/>
  <c r="O462" i="86"/>
  <c r="M462" i="86"/>
  <c r="K462" i="86"/>
  <c r="I462" i="86"/>
  <c r="G462" i="86"/>
  <c r="E462" i="86"/>
  <c r="C462" i="86"/>
  <c r="Q461" i="86"/>
  <c r="O461" i="86"/>
  <c r="M461" i="86"/>
  <c r="K461" i="86"/>
  <c r="I461" i="86"/>
  <c r="G461" i="86"/>
  <c r="E461" i="86"/>
  <c r="C461" i="86"/>
  <c r="Q460" i="86"/>
  <c r="O460" i="86"/>
  <c r="M460" i="86"/>
  <c r="K460" i="86"/>
  <c r="I460" i="86"/>
  <c r="G460" i="86"/>
  <c r="E460" i="86"/>
  <c r="C460" i="86"/>
  <c r="Q459" i="86"/>
  <c r="O459" i="86"/>
  <c r="M459" i="86"/>
  <c r="K459" i="86"/>
  <c r="I459" i="86"/>
  <c r="G459" i="86"/>
  <c r="E459" i="86"/>
  <c r="C459" i="86"/>
  <c r="Q458" i="86"/>
  <c r="O458" i="86"/>
  <c r="M458" i="86"/>
  <c r="K458" i="86"/>
  <c r="I458" i="86"/>
  <c r="G458" i="86"/>
  <c r="E458" i="86"/>
  <c r="C458" i="86"/>
  <c r="Q457" i="86"/>
  <c r="O457" i="86"/>
  <c r="M457" i="86"/>
  <c r="K457" i="86"/>
  <c r="I457" i="86"/>
  <c r="G457" i="86"/>
  <c r="E457" i="86"/>
  <c r="C457" i="86"/>
  <c r="Q456" i="86"/>
  <c r="O456" i="86"/>
  <c r="M456" i="86"/>
  <c r="K456" i="86"/>
  <c r="I456" i="86"/>
  <c r="G456" i="86"/>
  <c r="E456" i="86"/>
  <c r="C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C452" i="86"/>
  <c r="Q451" i="86"/>
  <c r="O451" i="86"/>
  <c r="M451" i="86"/>
  <c r="K451" i="86"/>
  <c r="I451" i="86"/>
  <c r="G451" i="86"/>
  <c r="E451" i="86"/>
  <c r="C451" i="86"/>
  <c r="Q450" i="86"/>
  <c r="O450" i="86"/>
  <c r="M450" i="86"/>
  <c r="K450" i="86"/>
  <c r="I450" i="86"/>
  <c r="G450" i="86"/>
  <c r="E450" i="86"/>
  <c r="C450" i="86"/>
  <c r="Q449" i="86"/>
  <c r="O449" i="86"/>
  <c r="M449" i="86"/>
  <c r="K449" i="86"/>
  <c r="I449" i="86"/>
  <c r="G449" i="86"/>
  <c r="E449" i="86"/>
  <c r="C449" i="86"/>
  <c r="Q448" i="86"/>
  <c r="O448" i="86"/>
  <c r="M448" i="86"/>
  <c r="K448" i="86"/>
  <c r="I448" i="86"/>
  <c r="G448" i="86"/>
  <c r="E448" i="86"/>
  <c r="C448" i="86"/>
  <c r="Q447" i="86"/>
  <c r="O447" i="86"/>
  <c r="M447" i="86"/>
  <c r="K447" i="86"/>
  <c r="I447" i="86"/>
  <c r="G447" i="86"/>
  <c r="E447" i="86"/>
  <c r="C447" i="86"/>
  <c r="Q446" i="86"/>
  <c r="O446" i="86"/>
  <c r="M446" i="86"/>
  <c r="K446" i="86"/>
  <c r="I446" i="86"/>
  <c r="G446" i="86"/>
  <c r="E446" i="86"/>
  <c r="C446" i="86"/>
  <c r="Q445" i="86"/>
  <c r="O445" i="86"/>
  <c r="M445" i="86"/>
  <c r="K445" i="86"/>
  <c r="I445" i="86"/>
  <c r="G445" i="86"/>
  <c r="E445" i="86"/>
  <c r="C445" i="86"/>
  <c r="Q444" i="86"/>
  <c r="O444" i="86"/>
  <c r="M444" i="86"/>
  <c r="K444" i="86"/>
  <c r="I444" i="86"/>
  <c r="G444" i="86"/>
  <c r="E444" i="86"/>
  <c r="C444" i="86"/>
  <c r="Q443" i="86"/>
  <c r="O443" i="86"/>
  <c r="M443" i="86"/>
  <c r="K443" i="86"/>
  <c r="I443" i="86"/>
  <c r="G443" i="86"/>
  <c r="E443" i="86"/>
  <c r="C443" i="86"/>
  <c r="Q442" i="86"/>
  <c r="O442" i="86"/>
  <c r="M442" i="86"/>
  <c r="K442" i="86"/>
  <c r="I442" i="86"/>
  <c r="G442" i="86"/>
  <c r="E442" i="86"/>
  <c r="C442" i="86"/>
  <c r="Q441" i="86"/>
  <c r="O441" i="86"/>
  <c r="M441" i="86"/>
  <c r="K441" i="86"/>
  <c r="I441" i="86"/>
  <c r="G441" i="86"/>
  <c r="E441" i="86"/>
  <c r="C441" i="86"/>
  <c r="Q440" i="86"/>
  <c r="O440" i="86"/>
  <c r="M440" i="86"/>
  <c r="K440" i="86"/>
  <c r="I440" i="86"/>
  <c r="G440" i="86"/>
  <c r="E440" i="86"/>
  <c r="C440" i="86"/>
  <c r="Q439" i="86"/>
  <c r="O439" i="86"/>
  <c r="M439" i="86"/>
  <c r="K439" i="86"/>
  <c r="I439" i="86"/>
  <c r="G439" i="86"/>
  <c r="E439" i="86"/>
  <c r="C439" i="86"/>
  <c r="Q438" i="86"/>
  <c r="O438" i="86"/>
  <c r="M438" i="86"/>
  <c r="K438" i="86"/>
  <c r="I438" i="86"/>
  <c r="G438" i="86"/>
  <c r="E438" i="86"/>
  <c r="C438" i="86"/>
  <c r="Q437" i="86"/>
  <c r="O437" i="86"/>
  <c r="M437" i="86"/>
  <c r="K437" i="86"/>
  <c r="I437" i="86"/>
  <c r="G437" i="86"/>
  <c r="E437" i="86"/>
  <c r="C437" i="86"/>
  <c r="Q436" i="86"/>
  <c r="O436" i="86"/>
  <c r="M436" i="86"/>
  <c r="K436" i="86"/>
  <c r="I436" i="86"/>
  <c r="G436" i="86"/>
  <c r="E436" i="86"/>
  <c r="C436" i="86"/>
  <c r="Q435" i="86"/>
  <c r="O435" i="86"/>
  <c r="M435" i="86"/>
  <c r="K435" i="86"/>
  <c r="I435" i="86"/>
  <c r="G435" i="86"/>
  <c r="E435" i="86"/>
  <c r="C435" i="86"/>
  <c r="Q434" i="86"/>
  <c r="O434" i="86"/>
  <c r="M434" i="86"/>
  <c r="K434" i="86"/>
  <c r="I434" i="86"/>
  <c r="G434" i="86"/>
  <c r="E434" i="86"/>
  <c r="C434" i="86"/>
  <c r="Q433" i="86"/>
  <c r="O433" i="86"/>
  <c r="M433" i="86"/>
  <c r="K433" i="86"/>
  <c r="I433" i="86"/>
  <c r="G433" i="86"/>
  <c r="E433" i="86"/>
  <c r="C433" i="86"/>
  <c r="Q432" i="86"/>
  <c r="O432" i="86"/>
  <c r="M432" i="86"/>
  <c r="K432" i="86"/>
  <c r="I432" i="86"/>
  <c r="G432" i="86"/>
  <c r="E432" i="86"/>
  <c r="C432" i="86"/>
  <c r="Q431" i="86"/>
  <c r="O431" i="86"/>
  <c r="M431" i="86"/>
  <c r="K431" i="86"/>
  <c r="I431" i="86"/>
  <c r="G431" i="86"/>
  <c r="E431" i="86"/>
  <c r="C431" i="86"/>
  <c r="Q430" i="86"/>
  <c r="O430" i="86"/>
  <c r="M430" i="86"/>
  <c r="K430" i="86"/>
  <c r="I430" i="86"/>
  <c r="G430" i="86"/>
  <c r="E430" i="86"/>
  <c r="C430" i="86"/>
  <c r="Q429" i="86"/>
  <c r="O429" i="86"/>
  <c r="M429" i="86"/>
  <c r="K429" i="86"/>
  <c r="I429" i="86"/>
  <c r="G429" i="86"/>
  <c r="E429" i="86"/>
  <c r="C429" i="86"/>
  <c r="Q428" i="86"/>
  <c r="O428" i="86"/>
  <c r="M428" i="86"/>
  <c r="K428" i="86"/>
  <c r="I428" i="86"/>
  <c r="G428" i="86"/>
  <c r="E428" i="86"/>
  <c r="C428" i="86"/>
  <c r="Q427" i="86"/>
  <c r="O427" i="86"/>
  <c r="M427" i="86"/>
  <c r="K427" i="86"/>
  <c r="I427" i="86"/>
  <c r="G427" i="86"/>
  <c r="E427" i="86"/>
  <c r="C427" i="86"/>
  <c r="Q426" i="86"/>
  <c r="O426" i="86"/>
  <c r="M426" i="86"/>
  <c r="K426" i="86"/>
  <c r="I426" i="86"/>
  <c r="G426" i="86"/>
  <c r="E426" i="86"/>
  <c r="C426" i="86"/>
  <c r="Q425" i="86"/>
  <c r="O425" i="86"/>
  <c r="M425" i="86"/>
  <c r="K425" i="86"/>
  <c r="I425" i="86"/>
  <c r="G425" i="86"/>
  <c r="E425" i="86"/>
  <c r="C425" i="86"/>
  <c r="Q424" i="86"/>
  <c r="O424" i="86"/>
  <c r="M424" i="86"/>
  <c r="K424" i="86"/>
  <c r="I424" i="86"/>
  <c r="G424" i="86"/>
  <c r="E424" i="86"/>
  <c r="C424" i="86"/>
  <c r="Q423" i="86"/>
  <c r="O423" i="86"/>
  <c r="M423" i="86"/>
  <c r="K423" i="86"/>
  <c r="I423" i="86"/>
  <c r="G423" i="86"/>
  <c r="E423" i="86"/>
  <c r="C423" i="86"/>
  <c r="Q422" i="86"/>
  <c r="O422" i="86"/>
  <c r="M422" i="86"/>
  <c r="K422" i="86"/>
  <c r="I422" i="86"/>
  <c r="G422" i="86"/>
  <c r="E422" i="86"/>
  <c r="C422" i="86"/>
  <c r="Q421" i="86"/>
  <c r="O421" i="86"/>
  <c r="M421" i="86"/>
  <c r="K421" i="86"/>
  <c r="I421" i="86"/>
  <c r="G421" i="86"/>
  <c r="E421" i="86"/>
  <c r="C421" i="86"/>
  <c r="Q420" i="86"/>
  <c r="O420" i="86"/>
  <c r="M420" i="86"/>
  <c r="K420" i="86"/>
  <c r="I420" i="86"/>
  <c r="G420" i="86"/>
  <c r="E420" i="86"/>
  <c r="C420" i="86"/>
  <c r="Q419" i="86"/>
  <c r="O419" i="86"/>
  <c r="M419" i="86"/>
  <c r="K419" i="86"/>
  <c r="I419" i="86"/>
  <c r="G419" i="86"/>
  <c r="E419" i="86"/>
  <c r="Q418" i="86"/>
  <c r="O418" i="86"/>
  <c r="M418" i="86"/>
  <c r="K418" i="86"/>
  <c r="I418" i="86"/>
  <c r="G418" i="86"/>
  <c r="E418" i="86"/>
  <c r="C418" i="86"/>
  <c r="Q417" i="86"/>
  <c r="O417" i="86"/>
  <c r="M417" i="86"/>
  <c r="K417" i="86"/>
  <c r="I417" i="86"/>
  <c r="G417" i="86"/>
  <c r="E417" i="86"/>
  <c r="C417" i="86"/>
  <c r="Q416" i="86"/>
  <c r="O416" i="86"/>
  <c r="M416" i="86"/>
  <c r="K416" i="86"/>
  <c r="I416" i="86"/>
  <c r="G416" i="86"/>
  <c r="E416" i="86"/>
  <c r="C416" i="86"/>
  <c r="Q415" i="86"/>
  <c r="O415" i="86"/>
  <c r="M415" i="86"/>
  <c r="K415" i="86"/>
  <c r="I415" i="86"/>
  <c r="G415" i="86"/>
  <c r="E415" i="86"/>
  <c r="C415" i="86"/>
  <c r="Q414" i="86"/>
  <c r="O414" i="86"/>
  <c r="M414" i="86"/>
  <c r="K414" i="86"/>
  <c r="I414" i="86"/>
  <c r="G414" i="86"/>
  <c r="E414" i="86"/>
  <c r="C414" i="86"/>
  <c r="Q413" i="86"/>
  <c r="O413" i="86"/>
  <c r="M413" i="86"/>
  <c r="K413" i="86"/>
  <c r="I413" i="86"/>
  <c r="G413" i="86"/>
  <c r="E413" i="86"/>
  <c r="C413" i="86"/>
  <c r="Q412" i="86"/>
  <c r="O412" i="86"/>
  <c r="M412" i="86"/>
  <c r="K412" i="86"/>
  <c r="I412" i="86"/>
  <c r="G412" i="86"/>
  <c r="E412" i="86"/>
  <c r="C412" i="86"/>
  <c r="Q411" i="86"/>
  <c r="O411" i="86"/>
  <c r="M411" i="86"/>
  <c r="K411" i="86"/>
  <c r="I411" i="86"/>
  <c r="G411" i="86"/>
  <c r="E411" i="86"/>
  <c r="C411" i="86"/>
  <c r="Q410" i="86"/>
  <c r="O410" i="86"/>
  <c r="M410" i="86"/>
  <c r="K410" i="86"/>
  <c r="I410" i="86"/>
  <c r="G410" i="86"/>
  <c r="E410" i="86"/>
  <c r="C410" i="86"/>
  <c r="Q409" i="86"/>
  <c r="O409" i="86"/>
  <c r="M409" i="86"/>
  <c r="K409" i="86"/>
  <c r="I409" i="86"/>
  <c r="G409" i="86"/>
  <c r="E409" i="86"/>
  <c r="C409" i="86"/>
  <c r="Q408" i="86"/>
  <c r="O408" i="86"/>
  <c r="M408" i="86"/>
  <c r="K408" i="86"/>
  <c r="I408" i="86"/>
  <c r="G408" i="86"/>
  <c r="E408" i="86"/>
  <c r="C408" i="86"/>
  <c r="Q407" i="86"/>
  <c r="O407" i="86"/>
  <c r="M407" i="86"/>
  <c r="K407" i="86"/>
  <c r="I407" i="86"/>
  <c r="G407" i="86"/>
  <c r="E407" i="86"/>
  <c r="C407" i="86"/>
  <c r="Q406" i="86"/>
  <c r="O406" i="86"/>
  <c r="M406" i="86"/>
  <c r="K406" i="86"/>
  <c r="I406" i="86"/>
  <c r="G406" i="86"/>
  <c r="E406" i="86"/>
  <c r="C406" i="86"/>
  <c r="Q405" i="86"/>
  <c r="O405" i="86"/>
  <c r="M405" i="86"/>
  <c r="K405" i="86"/>
  <c r="I405" i="86"/>
  <c r="G405" i="86"/>
  <c r="E405" i="86"/>
  <c r="C405" i="86"/>
  <c r="Q404" i="86"/>
  <c r="O404" i="86"/>
  <c r="M404" i="86"/>
  <c r="K404" i="86"/>
  <c r="I404" i="86"/>
  <c r="G404" i="86"/>
  <c r="E404" i="86"/>
  <c r="Q403" i="86"/>
  <c r="O403" i="86"/>
  <c r="M403" i="86"/>
  <c r="K403" i="86"/>
  <c r="I403" i="86"/>
  <c r="G403" i="86"/>
  <c r="E403" i="86"/>
  <c r="Q402" i="86"/>
  <c r="O402" i="86"/>
  <c r="M402" i="86"/>
  <c r="K402" i="86"/>
  <c r="I402" i="86"/>
  <c r="G402" i="86"/>
  <c r="E402" i="86"/>
  <c r="C402" i="86"/>
  <c r="Q401" i="86"/>
  <c r="O401" i="86"/>
  <c r="M401" i="86"/>
  <c r="K401" i="86"/>
  <c r="I401" i="86"/>
  <c r="G401" i="86"/>
  <c r="E401" i="86"/>
  <c r="C401" i="86"/>
  <c r="Q400" i="86"/>
  <c r="O400" i="86"/>
  <c r="M400" i="86"/>
  <c r="K400" i="86"/>
  <c r="I400" i="86"/>
  <c r="G400" i="86"/>
  <c r="E400" i="86"/>
  <c r="C400" i="86"/>
  <c r="Q399" i="86"/>
  <c r="O399" i="86"/>
  <c r="M399" i="86"/>
  <c r="K399" i="86"/>
  <c r="I399" i="86"/>
  <c r="G399" i="86"/>
  <c r="E399" i="86"/>
  <c r="C399" i="86"/>
  <c r="Q398" i="86"/>
  <c r="O398" i="86"/>
  <c r="M398" i="86"/>
  <c r="K398" i="86"/>
  <c r="I398" i="86"/>
  <c r="G398" i="86"/>
  <c r="E398" i="86"/>
  <c r="C398" i="86"/>
  <c r="Q397" i="86"/>
  <c r="O397" i="86"/>
  <c r="M397" i="86"/>
  <c r="K397" i="86"/>
  <c r="I397" i="86"/>
  <c r="G397" i="86"/>
  <c r="E397" i="86"/>
  <c r="C397" i="86"/>
  <c r="Q396" i="86"/>
  <c r="O396" i="86"/>
  <c r="M396" i="86"/>
  <c r="K396" i="86"/>
  <c r="I396" i="86"/>
  <c r="G396" i="86"/>
  <c r="E396" i="86"/>
  <c r="C396" i="86"/>
  <c r="Q395" i="86"/>
  <c r="O395" i="86"/>
  <c r="M395" i="86"/>
  <c r="K395" i="86"/>
  <c r="I395" i="86"/>
  <c r="G395" i="86"/>
  <c r="E395" i="86"/>
  <c r="C395" i="86"/>
  <c r="Q394" i="86"/>
  <c r="O394" i="86"/>
  <c r="M394" i="86"/>
  <c r="K394" i="86"/>
  <c r="I394" i="86"/>
  <c r="G394" i="86"/>
  <c r="E394" i="86"/>
  <c r="C394" i="86"/>
  <c r="Q393" i="86"/>
  <c r="O393" i="86"/>
  <c r="M393" i="86"/>
  <c r="K393" i="86"/>
  <c r="I393" i="86"/>
  <c r="G393" i="86"/>
  <c r="E393" i="86"/>
  <c r="C393" i="86"/>
  <c r="Q392" i="86"/>
  <c r="O392" i="86"/>
  <c r="M392" i="86"/>
  <c r="K392" i="86"/>
  <c r="I392" i="86"/>
  <c r="G392" i="86"/>
  <c r="E392" i="86"/>
  <c r="C392" i="86"/>
  <c r="Q391" i="86"/>
  <c r="O391" i="86"/>
  <c r="M391" i="86"/>
  <c r="K391" i="86"/>
  <c r="I391" i="86"/>
  <c r="G391" i="86"/>
  <c r="E391" i="86"/>
  <c r="C391" i="86"/>
  <c r="Q390" i="86"/>
  <c r="O390" i="86"/>
  <c r="M390" i="86"/>
  <c r="K390" i="86"/>
  <c r="I390" i="86"/>
  <c r="G390" i="86"/>
  <c r="E390" i="86"/>
  <c r="C390" i="86"/>
  <c r="Q389" i="86"/>
  <c r="O389" i="86"/>
  <c r="M389" i="86"/>
  <c r="K389" i="86"/>
  <c r="I389" i="86"/>
  <c r="G389" i="86"/>
  <c r="E389" i="86"/>
  <c r="C389" i="86"/>
  <c r="Q388" i="86"/>
  <c r="O388" i="86"/>
  <c r="M388" i="86"/>
  <c r="K388" i="86"/>
  <c r="I388" i="86"/>
  <c r="G388" i="86"/>
  <c r="E388" i="86"/>
  <c r="C388" i="86"/>
  <c r="Q387" i="86"/>
  <c r="O387" i="86"/>
  <c r="M387" i="86"/>
  <c r="K387" i="86"/>
  <c r="I387" i="86"/>
  <c r="G387" i="86"/>
  <c r="E387" i="86"/>
  <c r="C387" i="86"/>
  <c r="Q386" i="86"/>
  <c r="O386" i="86"/>
  <c r="M386" i="86"/>
  <c r="K386" i="86"/>
  <c r="I386" i="86"/>
  <c r="G386" i="86"/>
  <c r="E386" i="86"/>
  <c r="C386" i="86"/>
  <c r="Q385" i="86"/>
  <c r="O385" i="86"/>
  <c r="M385" i="86"/>
  <c r="K385" i="86"/>
  <c r="I385" i="86"/>
  <c r="G385" i="86"/>
  <c r="E385" i="86"/>
  <c r="C385" i="86"/>
  <c r="Q384" i="86"/>
  <c r="O384" i="86"/>
  <c r="M384" i="86"/>
  <c r="K384" i="86"/>
  <c r="I384" i="86"/>
  <c r="G384" i="86"/>
  <c r="E384" i="86"/>
  <c r="C384" i="86"/>
  <c r="Q383" i="86"/>
  <c r="O383" i="86"/>
  <c r="M383" i="86"/>
  <c r="K383" i="86"/>
  <c r="I383" i="86"/>
  <c r="G383" i="86"/>
  <c r="E383" i="86"/>
  <c r="C383" i="86"/>
  <c r="Q382" i="86"/>
  <c r="O382" i="86"/>
  <c r="M382" i="86"/>
  <c r="K382" i="86"/>
  <c r="I382" i="86"/>
  <c r="G382" i="86"/>
  <c r="E382" i="86"/>
  <c r="C382" i="86"/>
  <c r="Q381" i="86"/>
  <c r="O381" i="86"/>
  <c r="M381" i="86"/>
  <c r="K381" i="86"/>
  <c r="I381" i="86"/>
  <c r="G381" i="86"/>
  <c r="E381" i="86"/>
  <c r="C381" i="86"/>
  <c r="Q380" i="86"/>
  <c r="O380" i="86"/>
  <c r="M380" i="86"/>
  <c r="K380" i="86"/>
  <c r="I380" i="86"/>
  <c r="G380" i="86"/>
  <c r="E380" i="86"/>
  <c r="C380" i="86"/>
  <c r="Q379" i="86"/>
  <c r="O379" i="86"/>
  <c r="M379" i="86"/>
  <c r="K379" i="86"/>
  <c r="I379" i="86"/>
  <c r="G379" i="86"/>
  <c r="E379" i="86"/>
  <c r="C379" i="86"/>
  <c r="Q378" i="86"/>
  <c r="O378" i="86"/>
  <c r="M378" i="86"/>
  <c r="K378" i="86"/>
  <c r="I378" i="86"/>
  <c r="G378" i="86"/>
  <c r="E378" i="86"/>
  <c r="C378" i="86"/>
  <c r="Q377" i="86"/>
  <c r="O377" i="86"/>
  <c r="M377" i="86"/>
  <c r="K377" i="86"/>
  <c r="I377" i="86"/>
  <c r="G377" i="86"/>
  <c r="E377" i="86"/>
  <c r="C377" i="86"/>
  <c r="Q376" i="86"/>
  <c r="O376" i="86"/>
  <c r="M376" i="86"/>
  <c r="K376" i="86"/>
  <c r="I376" i="86"/>
  <c r="G376" i="86"/>
  <c r="E376" i="86"/>
  <c r="C376" i="86"/>
  <c r="Q375" i="86"/>
  <c r="O375" i="86"/>
  <c r="M375" i="86"/>
  <c r="K375" i="86"/>
  <c r="I375" i="86"/>
  <c r="G375" i="86"/>
  <c r="E375" i="86"/>
  <c r="C375" i="86"/>
  <c r="Q374" i="86"/>
  <c r="O374" i="86"/>
  <c r="M374" i="86"/>
  <c r="K374" i="86"/>
  <c r="I374" i="86"/>
  <c r="G374" i="86"/>
  <c r="E374" i="86"/>
  <c r="C374" i="86"/>
  <c r="Q373" i="86"/>
  <c r="O373" i="86"/>
  <c r="M373" i="86"/>
  <c r="K373" i="86"/>
  <c r="I373" i="86"/>
  <c r="G373" i="86"/>
  <c r="E373" i="86"/>
  <c r="C373" i="86"/>
  <c r="Q372" i="86"/>
  <c r="O372" i="86"/>
  <c r="M372" i="86"/>
  <c r="K372" i="86"/>
  <c r="I372" i="86"/>
  <c r="G372" i="86"/>
  <c r="E372" i="86"/>
  <c r="C372" i="86"/>
  <c r="Q371" i="86"/>
  <c r="O371" i="86"/>
  <c r="M371" i="86"/>
  <c r="K371" i="86"/>
  <c r="I371" i="86"/>
  <c r="G371" i="86"/>
  <c r="E371" i="86"/>
  <c r="C371" i="86"/>
  <c r="Q370" i="86"/>
  <c r="O370" i="86"/>
  <c r="M370" i="86"/>
  <c r="K370" i="86"/>
  <c r="I370" i="86"/>
  <c r="G370" i="86"/>
  <c r="E370" i="86"/>
  <c r="C370" i="86"/>
  <c r="Q369" i="86"/>
  <c r="O369" i="86"/>
  <c r="M369" i="86"/>
  <c r="K369" i="86"/>
  <c r="I369" i="86"/>
  <c r="G369" i="86"/>
  <c r="E369" i="86"/>
  <c r="C369" i="86"/>
  <c r="Q368" i="86"/>
  <c r="O368" i="86"/>
  <c r="M368" i="86"/>
  <c r="K368" i="86"/>
  <c r="I368" i="86"/>
  <c r="G368" i="86"/>
  <c r="E368" i="86"/>
  <c r="C368" i="86"/>
  <c r="Q367" i="86"/>
  <c r="O367" i="86"/>
  <c r="M367" i="86"/>
  <c r="K367" i="86"/>
  <c r="I367" i="86"/>
  <c r="G367" i="86"/>
  <c r="E367" i="86"/>
  <c r="C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C363" i="86"/>
  <c r="Q362" i="86"/>
  <c r="O362" i="86"/>
  <c r="M362" i="86"/>
  <c r="K362" i="86"/>
  <c r="I362" i="86"/>
  <c r="G362" i="86"/>
  <c r="E362" i="86"/>
  <c r="C362" i="86"/>
  <c r="Q361" i="86"/>
  <c r="O361" i="86"/>
  <c r="M361" i="86"/>
  <c r="K361" i="86"/>
  <c r="I361" i="86"/>
  <c r="G361" i="86"/>
  <c r="E361" i="86"/>
  <c r="C361" i="86"/>
  <c r="Q360" i="86"/>
  <c r="O360" i="86"/>
  <c r="M360" i="86"/>
  <c r="K360" i="86"/>
  <c r="I360" i="86"/>
  <c r="G360" i="86"/>
  <c r="E360" i="86"/>
  <c r="C360" i="86"/>
  <c r="Q359" i="86"/>
  <c r="O359" i="86"/>
  <c r="M359" i="86"/>
  <c r="K359" i="86"/>
  <c r="I359" i="86"/>
  <c r="G359" i="86"/>
  <c r="E359" i="86"/>
  <c r="C359" i="86"/>
  <c r="Q358" i="86"/>
  <c r="O358" i="86"/>
  <c r="M358" i="86"/>
  <c r="K358" i="86"/>
  <c r="I358" i="86"/>
  <c r="G358" i="86"/>
  <c r="E358" i="86"/>
  <c r="C358" i="86"/>
  <c r="Q357" i="86"/>
  <c r="O357" i="86"/>
  <c r="M357" i="86"/>
  <c r="K357" i="86"/>
  <c r="I357" i="86"/>
  <c r="G357" i="86"/>
  <c r="E357" i="86"/>
  <c r="C357" i="86"/>
  <c r="Q356" i="86"/>
  <c r="O356" i="86"/>
  <c r="M356" i="86"/>
  <c r="K356" i="86"/>
  <c r="I356" i="86"/>
  <c r="G356" i="86"/>
  <c r="E356" i="86"/>
  <c r="C356" i="86"/>
  <c r="Q355" i="86"/>
  <c r="O355" i="86"/>
  <c r="M355" i="86"/>
  <c r="K355" i="86"/>
  <c r="I355" i="86"/>
  <c r="G355" i="86"/>
  <c r="E355" i="86"/>
  <c r="C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C350" i="86"/>
  <c r="Q349" i="86"/>
  <c r="O349" i="86"/>
  <c r="M349" i="86"/>
  <c r="K349" i="86"/>
  <c r="I349" i="86"/>
  <c r="G349" i="86"/>
  <c r="E349" i="86"/>
  <c r="Q348" i="86"/>
  <c r="O348" i="86"/>
  <c r="M348" i="86"/>
  <c r="K348" i="86"/>
  <c r="I348" i="86"/>
  <c r="G348" i="86"/>
  <c r="E348" i="86"/>
  <c r="Q347" i="86"/>
  <c r="O347" i="86"/>
  <c r="M347" i="86"/>
  <c r="K347" i="86"/>
  <c r="I347" i="86"/>
  <c r="G347" i="86"/>
  <c r="E347" i="86"/>
  <c r="C347" i="86"/>
  <c r="Q346" i="86"/>
  <c r="O346" i="86"/>
  <c r="M346" i="86"/>
  <c r="K346" i="86"/>
  <c r="I346" i="86"/>
  <c r="G346" i="86"/>
  <c r="E346" i="86"/>
  <c r="C346" i="86"/>
  <c r="Q345" i="86"/>
  <c r="O345" i="86"/>
  <c r="M345" i="86"/>
  <c r="K345" i="86"/>
  <c r="I345" i="86"/>
  <c r="G345" i="86"/>
  <c r="E345" i="86"/>
  <c r="C345" i="86"/>
  <c r="Q344" i="86"/>
  <c r="O344" i="86"/>
  <c r="M344" i="86"/>
  <c r="K344" i="86"/>
  <c r="I344" i="86"/>
  <c r="G344" i="86"/>
  <c r="E344" i="86"/>
  <c r="C344" i="86"/>
  <c r="Q343" i="86"/>
  <c r="O343" i="86"/>
  <c r="M343" i="86"/>
  <c r="K343" i="86"/>
  <c r="I343" i="86"/>
  <c r="G343" i="86"/>
  <c r="E343" i="86"/>
  <c r="C343" i="86"/>
  <c r="Q342" i="86"/>
  <c r="O342" i="86"/>
  <c r="M342" i="86"/>
  <c r="K342" i="86"/>
  <c r="I342" i="86"/>
  <c r="G342" i="86"/>
  <c r="E342" i="86"/>
  <c r="C342" i="86"/>
  <c r="Q341" i="86"/>
  <c r="O341" i="86"/>
  <c r="M341" i="86"/>
  <c r="K341" i="86"/>
  <c r="I341" i="86"/>
  <c r="G341" i="86"/>
  <c r="E341" i="86"/>
  <c r="C341" i="86"/>
  <c r="Q340" i="86"/>
  <c r="O340" i="86"/>
  <c r="M340" i="86"/>
  <c r="K340" i="86"/>
  <c r="I340" i="86"/>
  <c r="G340" i="86"/>
  <c r="E340" i="86"/>
  <c r="C340" i="86"/>
  <c r="Q339" i="86"/>
  <c r="O339" i="86"/>
  <c r="M339" i="86"/>
  <c r="K339" i="86"/>
  <c r="I339" i="86"/>
  <c r="G339" i="86"/>
  <c r="E339" i="86"/>
  <c r="C339" i="86"/>
  <c r="Q338" i="86"/>
  <c r="O338" i="86"/>
  <c r="M338" i="86"/>
  <c r="K338" i="86"/>
  <c r="I338" i="86"/>
  <c r="G338" i="86"/>
  <c r="E338" i="86"/>
  <c r="C338" i="86"/>
  <c r="Q337" i="86"/>
  <c r="O337" i="86"/>
  <c r="M337" i="86"/>
  <c r="K337" i="86"/>
  <c r="I337" i="86"/>
  <c r="G337" i="86"/>
  <c r="E337" i="86"/>
  <c r="C337" i="86"/>
  <c r="Q336" i="86"/>
  <c r="O336" i="86"/>
  <c r="M336" i="86"/>
  <c r="K336" i="86"/>
  <c r="I336" i="86"/>
  <c r="G336" i="86"/>
  <c r="E336" i="86"/>
  <c r="C336" i="86"/>
  <c r="Q335" i="86"/>
  <c r="O335" i="86"/>
  <c r="M335" i="86"/>
  <c r="K335" i="86"/>
  <c r="I335" i="86"/>
  <c r="G335" i="86"/>
  <c r="E335" i="86"/>
  <c r="C335" i="86"/>
  <c r="Q334" i="86"/>
  <c r="O334" i="86"/>
  <c r="M334" i="86"/>
  <c r="K334" i="86"/>
  <c r="I334" i="86"/>
  <c r="G334" i="86"/>
  <c r="E334" i="86"/>
  <c r="C334" i="86"/>
  <c r="Q333" i="86"/>
  <c r="O333" i="86"/>
  <c r="M333" i="86"/>
  <c r="K333" i="86"/>
  <c r="I333" i="86"/>
  <c r="G333" i="86"/>
  <c r="E333" i="86"/>
  <c r="C333" i="86"/>
  <c r="Q332" i="86"/>
  <c r="O332" i="86"/>
  <c r="M332" i="86"/>
  <c r="K332" i="86"/>
  <c r="I332" i="86"/>
  <c r="G332" i="86"/>
  <c r="E332" i="86"/>
  <c r="C332" i="86"/>
  <c r="Q331" i="86"/>
  <c r="O331" i="86"/>
  <c r="M331" i="86"/>
  <c r="K331" i="86"/>
  <c r="I331" i="86"/>
  <c r="G331" i="86"/>
  <c r="E331" i="86"/>
  <c r="C331" i="86"/>
  <c r="Q330" i="86"/>
  <c r="O330" i="86"/>
  <c r="M330" i="86"/>
  <c r="K330" i="86"/>
  <c r="I330" i="86"/>
  <c r="G330" i="86"/>
  <c r="E330" i="86"/>
  <c r="C330" i="86"/>
  <c r="Q329" i="86"/>
  <c r="O329" i="86"/>
  <c r="M329" i="86"/>
  <c r="K329" i="86"/>
  <c r="I329" i="86"/>
  <c r="G329" i="86"/>
  <c r="E329" i="86"/>
  <c r="C329" i="86"/>
  <c r="Q328" i="86"/>
  <c r="O328" i="86"/>
  <c r="M328" i="86"/>
  <c r="K328" i="86"/>
  <c r="I328" i="86"/>
  <c r="G328" i="86"/>
  <c r="E328" i="86"/>
  <c r="C328" i="86"/>
  <c r="Q327" i="86"/>
  <c r="O327" i="86"/>
  <c r="M327" i="86"/>
  <c r="K327" i="86"/>
  <c r="I327" i="86"/>
  <c r="G327" i="86"/>
  <c r="E327" i="86"/>
  <c r="C327" i="86"/>
  <c r="Q326" i="86"/>
  <c r="O326" i="86"/>
  <c r="M326" i="86"/>
  <c r="K326" i="86"/>
  <c r="I326" i="86"/>
  <c r="G326" i="86"/>
  <c r="E326" i="86"/>
  <c r="C326" i="86"/>
  <c r="Q325" i="86"/>
  <c r="O325" i="86"/>
  <c r="M325" i="86"/>
  <c r="K325" i="86"/>
  <c r="I325" i="86"/>
  <c r="G325" i="86"/>
  <c r="E325" i="86"/>
  <c r="C325" i="86"/>
  <c r="Q324" i="86"/>
  <c r="O324" i="86"/>
  <c r="M324" i="86"/>
  <c r="K324" i="86"/>
  <c r="I324" i="86"/>
  <c r="G324" i="86"/>
  <c r="E324" i="86"/>
  <c r="C324" i="86"/>
  <c r="Q323" i="86"/>
  <c r="O323" i="86"/>
  <c r="M323" i="86"/>
  <c r="K323" i="86"/>
  <c r="I323" i="86"/>
  <c r="G323" i="86"/>
  <c r="E323" i="86"/>
  <c r="C323" i="86"/>
  <c r="Q322" i="86"/>
  <c r="O322" i="86"/>
  <c r="M322" i="86"/>
  <c r="K322" i="86"/>
  <c r="I322" i="86"/>
  <c r="G322" i="86"/>
  <c r="E322" i="86"/>
  <c r="C322" i="86"/>
  <c r="Q321" i="86"/>
  <c r="O321" i="86"/>
  <c r="M321" i="86"/>
  <c r="K321" i="86"/>
  <c r="I321" i="86"/>
  <c r="G321" i="86"/>
  <c r="E321" i="86"/>
  <c r="C321" i="86"/>
  <c r="Q320" i="86"/>
  <c r="O320" i="86"/>
  <c r="M320" i="86"/>
  <c r="K320" i="86"/>
  <c r="I320" i="86"/>
  <c r="G320" i="86"/>
  <c r="E320" i="86"/>
  <c r="C320" i="86"/>
  <c r="Q319" i="86"/>
  <c r="O319" i="86"/>
  <c r="M319" i="86"/>
  <c r="K319" i="86"/>
  <c r="I319" i="86"/>
  <c r="G319" i="86"/>
  <c r="E319" i="86"/>
  <c r="C319" i="86"/>
  <c r="Q318" i="86"/>
  <c r="O318" i="86"/>
  <c r="M318" i="86"/>
  <c r="K318" i="86"/>
  <c r="I318" i="86"/>
  <c r="G318" i="86"/>
  <c r="E318" i="86"/>
  <c r="C318" i="86"/>
  <c r="Q317" i="86"/>
  <c r="O317" i="86"/>
  <c r="M317" i="86"/>
  <c r="K317" i="86"/>
  <c r="I317" i="86"/>
  <c r="G317" i="86"/>
  <c r="E317" i="86"/>
  <c r="C317" i="86"/>
  <c r="Q316" i="86"/>
  <c r="O316" i="86"/>
  <c r="M316" i="86"/>
  <c r="K316" i="86"/>
  <c r="I316" i="86"/>
  <c r="G316" i="86"/>
  <c r="E316" i="86"/>
  <c r="C316" i="86"/>
  <c r="Q315" i="86"/>
  <c r="O315" i="86"/>
  <c r="M315" i="86"/>
  <c r="K315" i="86"/>
  <c r="I315" i="86"/>
  <c r="G315" i="86"/>
  <c r="E315" i="86"/>
  <c r="C315" i="86"/>
  <c r="Q314" i="86"/>
  <c r="O314" i="86"/>
  <c r="M314" i="86"/>
  <c r="K314" i="86"/>
  <c r="I314" i="86"/>
  <c r="G314" i="86"/>
  <c r="E314" i="86"/>
  <c r="C314" i="86"/>
  <c r="Q313" i="86"/>
  <c r="O313" i="86"/>
  <c r="M313" i="86"/>
  <c r="K313" i="86"/>
  <c r="I313" i="86"/>
  <c r="G313" i="86"/>
  <c r="E313" i="86"/>
  <c r="C313" i="86"/>
  <c r="Q312" i="86"/>
  <c r="O312" i="86"/>
  <c r="M312" i="86"/>
  <c r="K312" i="86"/>
  <c r="I312" i="86"/>
  <c r="G312" i="86"/>
  <c r="E312" i="86"/>
  <c r="C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R269" i="86"/>
  <c r="S269" i="86" s="1"/>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B16" i="74" s="1"/>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E92" i="35"/>
  <c r="F92" i="35" s="1"/>
  <c r="G92" i="35" s="1"/>
  <c r="D92" i="35"/>
  <c r="F20" i="86"/>
  <c r="C25" i="86" l="1"/>
  <c r="C26" i="86"/>
  <c r="C27" i="86"/>
  <c r="C28" i="86"/>
  <c r="C29" i="86"/>
  <c r="C30" i="86"/>
  <c r="Y8" i="1" l="1"/>
  <c r="Y7" i="1"/>
  <c r="Y6" i="1"/>
  <c r="N8" i="1"/>
  <c r="O15" i="3"/>
  <c r="G21" i="6" s="1"/>
  <c r="K14" i="3"/>
  <c r="F20" i="6" s="1"/>
  <c r="I13" i="3"/>
  <c r="F19" i="6" s="1"/>
  <c r="F918" i="85"/>
  <c r="G916" i="85"/>
  <c r="G362" i="85"/>
  <c r="G342" i="85"/>
  <c r="G331" i="85"/>
  <c r="G296" i="85"/>
  <c r="G282" i="85"/>
  <c r="G37" i="85"/>
  <c r="G13" i="85"/>
  <c r="G8" i="85"/>
  <c r="F917" i="85" l="1"/>
  <c r="N11" i="85" s="1"/>
  <c r="F919" i="85" l="1"/>
  <c r="F920" i="85" s="1"/>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43" i="31"/>
  <c r="S441" i="31"/>
  <c r="S439" i="31"/>
  <c r="S437" i="31"/>
  <c r="S435" i="31"/>
  <c r="S433" i="31"/>
  <c r="S431" i="31"/>
  <c r="S467" i="31"/>
  <c r="S465" i="31"/>
  <c r="S463" i="31"/>
  <c r="S461" i="31"/>
  <c r="S459" i="31"/>
  <c r="S457" i="31"/>
  <c r="S455" i="31"/>
  <c r="S453" i="31"/>
  <c r="S451" i="31"/>
  <c r="S104" i="31"/>
  <c r="S445" i="31"/>
  <c r="S447" i="31"/>
  <c r="S449"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H23" i="33"/>
  <c r="AB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F23" i="33"/>
  <c r="AA23" i="33" s="1"/>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F9" i="67"/>
  <c r="F6" i="67"/>
  <c r="F43" i="87"/>
  <c r="M28" i="15"/>
  <c r="C76" i="15"/>
  <c r="F43" i="15"/>
  <c r="M29" i="15"/>
  <c r="M29" i="92"/>
  <c r="M6" i="67"/>
  <c r="E2" i="69"/>
  <c r="F36" i="15"/>
  <c r="F8" i="67"/>
  <c r="E8" i="76"/>
  <c r="F4" i="73"/>
  <c r="M23" i="67"/>
  <c r="J15" i="15"/>
  <c r="F16" i="15"/>
  <c r="F38" i="15"/>
  <c r="F42" i="67"/>
  <c r="E10" i="76"/>
  <c r="B11" i="76"/>
  <c r="F38" i="67"/>
  <c r="E2" i="68"/>
  <c r="D3" i="73"/>
  <c r="AO13" i="1"/>
  <c r="F40" i="67"/>
  <c r="D6" i="73"/>
  <c r="B9" i="76"/>
  <c r="M6" i="15"/>
  <c r="F20" i="31"/>
  <c r="E7" i="76"/>
  <c r="M24" i="67"/>
  <c r="F26" i="15"/>
  <c r="E9" i="76"/>
  <c r="L48" i="67"/>
  <c r="E12" i="76"/>
  <c r="M29" i="67"/>
  <c r="L47" i="15"/>
  <c r="F37" i="67"/>
  <c r="F6" i="15"/>
  <c r="F7" i="15"/>
  <c r="M26" i="15"/>
  <c r="M9" i="15"/>
  <c r="D5" i="73"/>
  <c r="F9" i="15"/>
  <c r="M24" i="15"/>
  <c r="M28" i="67"/>
  <c r="F7" i="92"/>
  <c r="D7" i="73"/>
  <c r="B10" i="76"/>
  <c r="F8" i="15"/>
  <c r="L48" i="15"/>
  <c r="C76" i="67"/>
  <c r="D4" i="73"/>
  <c r="L47" i="67"/>
  <c r="F43" i="92"/>
  <c r="E13" i="76"/>
  <c r="M8" i="15"/>
  <c r="F42" i="15"/>
  <c r="F40" i="15"/>
  <c r="F36" i="67"/>
  <c r="F43" i="67"/>
  <c r="M22" i="67"/>
  <c r="F7" i="87"/>
  <c r="E11" i="76"/>
  <c r="B8" i="76"/>
  <c r="M26" i="67"/>
  <c r="B13" i="76"/>
  <c r="F37" i="15"/>
  <c r="F6" i="73"/>
  <c r="F7" i="73"/>
  <c r="M22" i="15"/>
  <c r="F7" i="67"/>
  <c r="M29" i="87"/>
  <c r="F26" i="67"/>
  <c r="F5" i="73"/>
  <c r="F13" i="67"/>
  <c r="F13" i="15"/>
  <c r="M23" i="15"/>
  <c r="F16" i="67"/>
  <c r="M9" i="67"/>
  <c r="M8" i="67"/>
  <c r="B12" i="76"/>
  <c r="J15" i="67"/>
  <c r="F3" i="73"/>
  <c r="E30" i="31" l="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7"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C16" i="87"/>
  <c r="C36" i="69"/>
  <c r="C16" i="15"/>
  <c r="G1" i="73"/>
  <c r="D9" i="69"/>
  <c r="C16" i="67"/>
  <c r="C16" i="92"/>
  <c r="F27" i="69"/>
  <c r="W16" i="35" l="1"/>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AE6" i="1"/>
  <c r="AE7" i="1"/>
  <c r="W36" i="33" l="1"/>
  <c r="AC36" i="33"/>
  <c r="AA36" i="33"/>
  <c r="S36" i="33"/>
  <c r="T49" i="34"/>
  <c r="G49"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14" i="12"/>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F41" i="87"/>
  <c r="M27" i="67"/>
  <c r="M27" i="15"/>
  <c r="F69" i="67" l="1"/>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15"/>
  <c r="C17" i="67"/>
  <c r="C17" i="87"/>
  <c r="C14" i="67"/>
  <c r="C34" i="69"/>
  <c r="C17" i="92"/>
  <c r="D10" i="69"/>
  <c r="C14" i="92"/>
  <c r="C14" i="87"/>
  <c r="C49" i="34" l="1"/>
  <c r="C18" i="92"/>
  <c r="C15" i="92"/>
  <c r="D30" i="6"/>
  <c r="H24" i="6"/>
  <c r="M19" i="89"/>
  <c r="C118" i="89" s="1"/>
  <c r="S20" i="6"/>
  <c r="L18" i="89"/>
  <c r="C18" i="87"/>
  <c r="C15" i="87"/>
  <c r="E7" i="70"/>
  <c r="C25" i="11"/>
  <c r="H22" i="6"/>
  <c r="H21" i="6"/>
  <c r="H25" i="6"/>
  <c r="M19" i="9"/>
  <c r="C118" i="9" s="1"/>
  <c r="B2"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1" i="87"/>
  <c r="E6" i="76"/>
  <c r="B6" i="76"/>
  <c r="C14" i="15"/>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15"/>
  <c r="M21" i="67"/>
  <c r="M21" i="92"/>
  <c r="F35" i="15"/>
  <c r="R49" i="21" l="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30" i="92" l="1"/>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92"/>
  <c r="L51" i="87"/>
  <c r="C40" i="92" l="1"/>
  <c r="Q65" i="92" s="1"/>
  <c r="Q75" i="92" s="1"/>
  <c r="C80" i="92"/>
  <c r="C79" i="92" s="1"/>
  <c r="Q67" i="92"/>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2" i="92" l="1"/>
  <c r="B2" i="92" s="1"/>
  <c r="C45" i="92"/>
  <c r="C46" i="92" s="1"/>
  <c r="C43" i="92"/>
  <c r="Q56" i="92"/>
  <c r="Q62" i="92" s="1"/>
  <c r="C83" i="92"/>
  <c r="C82" i="92" s="1"/>
  <c r="Q47" i="92"/>
  <c r="Q53" i="92" s="1"/>
  <c r="B3" i="92"/>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B3" i="87" l="1"/>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AO7" i="1"/>
  <c r="AO9" i="1"/>
  <c r="AO12" i="1"/>
  <c r="C19" i="89"/>
  <c r="D20" i="89"/>
  <c r="D19" i="83"/>
  <c r="AO10" i="1"/>
  <c r="AO11" i="1"/>
  <c r="D19" i="89"/>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3"/>
  <c r="D19" i="9"/>
  <c r="C20" i="89"/>
  <c r="AO6" i="1"/>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I312" i="85" s="1"/>
  <c r="R102" i="88"/>
  <c r="S102" i="88" s="1"/>
  <c r="R100" i="88"/>
  <c r="S100" i="88" s="1"/>
  <c r="R98" i="88"/>
  <c r="S98" i="88" s="1"/>
  <c r="I360" i="85" s="1"/>
  <c r="R96" i="88"/>
  <c r="S96" i="88" s="1"/>
  <c r="I358" i="85" s="1"/>
  <c r="R94" i="88"/>
  <c r="S94" i="88" s="1"/>
  <c r="I356" i="85" s="1"/>
  <c r="R103" i="88"/>
  <c r="S103" i="88" s="1"/>
  <c r="R101" i="88"/>
  <c r="S101" i="88" s="1"/>
  <c r="R99" i="88"/>
  <c r="S99" i="88" s="1"/>
  <c r="I361" i="85" s="1"/>
  <c r="R97" i="88"/>
  <c r="S97" i="88" s="1"/>
  <c r="I359" i="85" s="1"/>
  <c r="R95" i="88"/>
  <c r="S95" i="88" s="1"/>
  <c r="I357" i="85" s="1"/>
  <c r="R93" i="88"/>
  <c r="S93" i="88" s="1"/>
  <c r="I355" i="85" s="1"/>
  <c r="R74" i="88"/>
  <c r="S74" i="88" s="1"/>
  <c r="I313" i="85" s="1"/>
  <c r="R92" i="88"/>
  <c r="S92" i="88" s="1"/>
  <c r="I354" i="85" s="1"/>
  <c r="R90" i="88"/>
  <c r="S90" i="88" s="1"/>
  <c r="I352" i="85" s="1"/>
  <c r="R88" i="88"/>
  <c r="S88" i="88" s="1"/>
  <c r="I350" i="85" s="1"/>
  <c r="R86" i="88"/>
  <c r="S86" i="88" s="1"/>
  <c r="I348" i="85" s="1"/>
  <c r="R84" i="88"/>
  <c r="S84" i="88" s="1"/>
  <c r="I346" i="85" s="1"/>
  <c r="R82" i="88"/>
  <c r="S82" i="88" s="1"/>
  <c r="R80" i="88"/>
  <c r="S80" i="88" s="1"/>
  <c r="I319" i="85" s="1"/>
  <c r="R78" i="88"/>
  <c r="S78" i="88" s="1"/>
  <c r="I317" i="85" s="1"/>
  <c r="R76" i="88"/>
  <c r="S76" i="88" s="1"/>
  <c r="I315" i="85" s="1"/>
  <c r="R91" i="88"/>
  <c r="S91" i="88" s="1"/>
  <c r="I353" i="85" s="1"/>
  <c r="R89" i="88"/>
  <c r="S89" i="88" s="1"/>
  <c r="I351" i="85" s="1"/>
  <c r="R87" i="88"/>
  <c r="S87" i="88" s="1"/>
  <c r="I349" i="85" s="1"/>
  <c r="R85" i="88"/>
  <c r="S85" i="88" s="1"/>
  <c r="I347" i="85" s="1"/>
  <c r="R83" i="88"/>
  <c r="S83" i="88" s="1"/>
  <c r="I345" i="85" s="1"/>
  <c r="R81" i="88"/>
  <c r="S81" i="88" s="1"/>
  <c r="I320" i="85" s="1"/>
  <c r="R79" i="88"/>
  <c r="S79" i="88" s="1"/>
  <c r="I318" i="85" s="1"/>
  <c r="R77" i="88"/>
  <c r="S77" i="88" s="1"/>
  <c r="I316" i="85" s="1"/>
  <c r="R75" i="88"/>
  <c r="S75" i="88" s="1"/>
  <c r="I314" i="85" s="1"/>
  <c r="R72" i="88"/>
  <c r="S72" i="88" s="1"/>
  <c r="I311" i="85" s="1"/>
  <c r="R70" i="88"/>
  <c r="S70" i="88" s="1"/>
  <c r="I309" i="85" s="1"/>
  <c r="R68" i="88"/>
  <c r="S68" i="88" s="1"/>
  <c r="I307" i="85" s="1"/>
  <c r="R66" i="88"/>
  <c r="S66" i="88" s="1"/>
  <c r="I305" i="85" s="1"/>
  <c r="R64" i="88"/>
  <c r="S64" i="88" s="1"/>
  <c r="I303" i="85" s="1"/>
  <c r="R62" i="88"/>
  <c r="S62" i="88" s="1"/>
  <c r="I301" i="85" s="1"/>
  <c r="R60" i="88"/>
  <c r="S60" i="88" s="1"/>
  <c r="I299" i="85" s="1"/>
  <c r="R58" i="88"/>
  <c r="S58" i="88" s="1"/>
  <c r="I297" i="85" s="1"/>
  <c r="R56" i="88"/>
  <c r="S56" i="88" s="1"/>
  <c r="I295" i="85" s="1"/>
  <c r="R54" i="88"/>
  <c r="S54" i="88" s="1"/>
  <c r="I293" i="85" s="1"/>
  <c r="R52" i="88"/>
  <c r="S52" i="88" s="1"/>
  <c r="I291" i="85" s="1"/>
  <c r="R50" i="88"/>
  <c r="S50" i="88" s="1"/>
  <c r="I289" i="85" s="1"/>
  <c r="R71" i="88"/>
  <c r="S71" i="88" s="1"/>
  <c r="I310" i="85" s="1"/>
  <c r="R69" i="88"/>
  <c r="S69" i="88" s="1"/>
  <c r="I308" i="85" s="1"/>
  <c r="R67" i="88"/>
  <c r="S67" i="88" s="1"/>
  <c r="I306" i="85" s="1"/>
  <c r="R65" i="88"/>
  <c r="S65" i="88" s="1"/>
  <c r="I304" i="85" s="1"/>
  <c r="R63" i="88"/>
  <c r="S63" i="88" s="1"/>
  <c r="I302" i="85" s="1"/>
  <c r="R61" i="88"/>
  <c r="S61" i="88" s="1"/>
  <c r="I300" i="85" s="1"/>
  <c r="R59" i="88"/>
  <c r="S59" i="88" s="1"/>
  <c r="I298" i="85" s="1"/>
  <c r="R57" i="88"/>
  <c r="S57" i="88" s="1"/>
  <c r="R55" i="88"/>
  <c r="S55" i="88" s="1"/>
  <c r="I294" i="85" s="1"/>
  <c r="R53" i="88"/>
  <c r="S53" i="88" s="1"/>
  <c r="I292" i="85" s="1"/>
  <c r="R51" i="88"/>
  <c r="S51" i="88" s="1"/>
  <c r="I290" i="85" s="1"/>
  <c r="R48" i="88"/>
  <c r="S48" i="88" s="1"/>
  <c r="R46" i="88"/>
  <c r="S46" i="88" s="1"/>
  <c r="I31" i="85" s="1"/>
  <c r="R41" i="88"/>
  <c r="S41" i="88" s="1"/>
  <c r="I26" i="85" s="1"/>
  <c r="R39" i="88"/>
  <c r="S39" i="88" s="1"/>
  <c r="I24" i="85" s="1"/>
  <c r="R37" i="88"/>
  <c r="S37" i="88" s="1"/>
  <c r="I22" i="85" s="1"/>
  <c r="R35" i="88"/>
  <c r="S35" i="88" s="1"/>
  <c r="I20" i="85" s="1"/>
  <c r="R33" i="88"/>
  <c r="S33" i="88" s="1"/>
  <c r="I18" i="85" s="1"/>
  <c r="R31" i="88"/>
  <c r="S31" i="88" s="1"/>
  <c r="I16" i="85" s="1"/>
  <c r="R49" i="88"/>
  <c r="S49" i="88" s="1"/>
  <c r="I288" i="85" s="1"/>
  <c r="R47" i="88"/>
  <c r="S47" i="88" s="1"/>
  <c r="I32" i="85" s="1"/>
  <c r="R45" i="88"/>
  <c r="S45" i="88" s="1"/>
  <c r="I30" i="85" s="1"/>
  <c r="R44" i="88"/>
  <c r="S44" i="88" s="1"/>
  <c r="I29" i="85" s="1"/>
  <c r="R43" i="88"/>
  <c r="S43" i="88" s="1"/>
  <c r="I28" i="85" s="1"/>
  <c r="R42" i="88"/>
  <c r="S42" i="88" s="1"/>
  <c r="I27" i="85" s="1"/>
  <c r="R40" i="88"/>
  <c r="S40" i="88" s="1"/>
  <c r="I25" i="85" s="1"/>
  <c r="R38" i="88"/>
  <c r="S38" i="88" s="1"/>
  <c r="I23" i="85" s="1"/>
  <c r="R36" i="88"/>
  <c r="S36" i="88" s="1"/>
  <c r="I21" i="85" s="1"/>
  <c r="R34" i="88"/>
  <c r="S34" i="88" s="1"/>
  <c r="I19" i="85" s="1"/>
  <c r="R32" i="88"/>
  <c r="S32" i="88" s="1"/>
  <c r="I17" i="85" s="1"/>
  <c r="R25" i="88"/>
  <c r="S25" i="88" s="1"/>
  <c r="I5" i="85" s="1"/>
  <c r="R28" i="88"/>
  <c r="S28" i="88" s="1"/>
  <c r="R26" i="88"/>
  <c r="S26" i="88" s="1"/>
  <c r="I6" i="85" s="1"/>
  <c r="S24" i="88"/>
  <c r="I4" i="85" s="1"/>
  <c r="R29" i="88"/>
  <c r="S29" i="88" s="1"/>
  <c r="I14" i="85" s="1"/>
  <c r="R27" i="88"/>
  <c r="S27" i="88" s="1"/>
  <c r="I7" i="85" s="1"/>
  <c r="R30" i="88"/>
  <c r="S30" i="88" s="1"/>
  <c r="I15" i="85" s="1"/>
  <c r="C35" i="89"/>
  <c r="F61" i="39"/>
  <c r="F56" i="39"/>
  <c r="C6" i="68" s="1"/>
  <c r="C6" i="69"/>
  <c r="F65" i="39"/>
  <c r="B2" i="39" s="1"/>
  <c r="B3" i="39" s="1"/>
  <c r="D103" i="9"/>
  <c r="C42" i="40"/>
  <c r="C43" i="40"/>
  <c r="E47" i="40"/>
  <c r="F47" i="40" s="1"/>
  <c r="E46" i="40"/>
  <c r="F46" i="40" s="1"/>
  <c r="I47" i="40"/>
  <c r="J47" i="40" s="1"/>
  <c r="D35" i="89"/>
  <c r="S22" i="88" l="1"/>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20" i="83"/>
  <c r="C19" i="83"/>
  <c r="C79" i="89" l="1"/>
  <c r="C80" i="89" s="1"/>
  <c r="E80" i="89" s="1"/>
  <c r="E81" i="89" s="1"/>
  <c r="C95" i="89"/>
  <c r="C96" i="89" s="1"/>
  <c r="E96" i="89" s="1"/>
  <c r="E97" i="89" s="1"/>
  <c r="D59" i="89"/>
  <c r="M55" i="89" s="1"/>
  <c r="M69" i="89"/>
  <c r="N69" i="89" s="1"/>
  <c r="B2" i="68"/>
  <c r="B3" i="68" s="1"/>
  <c r="B2" i="69"/>
  <c r="G20" i="83"/>
  <c r="R24" i="86" s="1"/>
  <c r="C103" i="83"/>
  <c r="C102" i="83"/>
  <c r="D22" i="83"/>
  <c r="C21" i="83"/>
  <c r="G19" i="83"/>
  <c r="B3" i="69"/>
  <c r="AO8" i="1"/>
  <c r="C19" i="9"/>
  <c r="C81" i="89" l="1"/>
  <c r="C97" i="89"/>
  <c r="D58" i="89" s="1"/>
  <c r="D56" i="89" s="1"/>
  <c r="M54" i="89" s="1"/>
  <c r="N57" i="89" s="1"/>
  <c r="R752" i="86"/>
  <c r="S752" i="86" s="1"/>
  <c r="I861" i="85" s="1"/>
  <c r="R753" i="86"/>
  <c r="S753" i="86" s="1"/>
  <c r="I862" i="85" s="1"/>
  <c r="R754" i="86"/>
  <c r="S754" i="86" s="1"/>
  <c r="I863" i="85" s="1"/>
  <c r="R795" i="86"/>
  <c r="S795" i="86" s="1"/>
  <c r="I904" i="85" s="1"/>
  <c r="R796" i="86"/>
  <c r="S796" i="86" s="1"/>
  <c r="I905" i="85" s="1"/>
  <c r="R797" i="86"/>
  <c r="S797" i="86" s="1"/>
  <c r="I906" i="85" s="1"/>
  <c r="R798" i="86"/>
  <c r="S798" i="86" s="1"/>
  <c r="I907" i="85" s="1"/>
  <c r="R799" i="86"/>
  <c r="S799" i="86" s="1"/>
  <c r="I908" i="85" s="1"/>
  <c r="R800" i="86"/>
  <c r="S800" i="86" s="1"/>
  <c r="I909" i="85" s="1"/>
  <c r="R801" i="86"/>
  <c r="S801" i="86" s="1"/>
  <c r="I910" i="85" s="1"/>
  <c r="R802" i="86"/>
  <c r="S802" i="86" s="1"/>
  <c r="I911" i="85" s="1"/>
  <c r="R803" i="86"/>
  <c r="S803" i="86" s="1"/>
  <c r="I912" i="85" s="1"/>
  <c r="R804" i="86"/>
  <c r="S804" i="86" s="1"/>
  <c r="I913" i="85" s="1"/>
  <c r="R805" i="86"/>
  <c r="S805" i="86" s="1"/>
  <c r="I914" i="85" s="1"/>
  <c r="R806" i="86"/>
  <c r="S806" i="86" s="1"/>
  <c r="I915" i="85"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I877" i="85" s="1"/>
  <c r="R756" i="86"/>
  <c r="S756" i="86" s="1"/>
  <c r="I865" i="85" s="1"/>
  <c r="R856" i="86"/>
  <c r="S856" i="86" s="1"/>
  <c r="R854" i="86"/>
  <c r="S854" i="86" s="1"/>
  <c r="R852" i="86"/>
  <c r="S852" i="86" s="1"/>
  <c r="R850" i="86"/>
  <c r="S850" i="86" s="1"/>
  <c r="R848" i="86"/>
  <c r="S848" i="86" s="1"/>
  <c r="R846" i="86"/>
  <c r="S846" i="86" s="1"/>
  <c r="R844" i="86"/>
  <c r="S844" i="86" s="1"/>
  <c r="R794" i="86"/>
  <c r="S794" i="86" s="1"/>
  <c r="I903" i="85" s="1"/>
  <c r="R793" i="86"/>
  <c r="S793" i="86" s="1"/>
  <c r="I902" i="85" s="1"/>
  <c r="R792" i="86"/>
  <c r="S792" i="86" s="1"/>
  <c r="I901" i="85" s="1"/>
  <c r="R791" i="86"/>
  <c r="S791" i="86" s="1"/>
  <c r="I900" i="85" s="1"/>
  <c r="R790" i="86"/>
  <c r="S790" i="86" s="1"/>
  <c r="I899" i="85" s="1"/>
  <c r="R789" i="86"/>
  <c r="S789" i="86" s="1"/>
  <c r="I898" i="85" s="1"/>
  <c r="R788" i="86"/>
  <c r="S788" i="86" s="1"/>
  <c r="I897" i="85" s="1"/>
  <c r="R787" i="86"/>
  <c r="S787" i="86" s="1"/>
  <c r="I896" i="85" s="1"/>
  <c r="R786" i="86"/>
  <c r="S786" i="86" s="1"/>
  <c r="I895" i="85" s="1"/>
  <c r="R785" i="86"/>
  <c r="S785" i="86" s="1"/>
  <c r="I894" i="85" s="1"/>
  <c r="R784" i="86"/>
  <c r="S784" i="86" s="1"/>
  <c r="I893" i="85" s="1"/>
  <c r="R783" i="86"/>
  <c r="S783" i="86" s="1"/>
  <c r="I892" i="85" s="1"/>
  <c r="R782" i="86"/>
  <c r="S782" i="86" s="1"/>
  <c r="I891" i="85" s="1"/>
  <c r="R781" i="86"/>
  <c r="S781" i="86" s="1"/>
  <c r="I890" i="85" s="1"/>
  <c r="R779" i="86"/>
  <c r="S779" i="86" s="1"/>
  <c r="I888" i="85" s="1"/>
  <c r="R777" i="86"/>
  <c r="S777" i="86" s="1"/>
  <c r="I886" i="85" s="1"/>
  <c r="R775" i="86"/>
  <c r="S775" i="86" s="1"/>
  <c r="I884" i="85" s="1"/>
  <c r="R773" i="86"/>
  <c r="S773" i="86" s="1"/>
  <c r="I882" i="85" s="1"/>
  <c r="R771" i="86"/>
  <c r="S771" i="86" s="1"/>
  <c r="I880" i="85" s="1"/>
  <c r="R769" i="86"/>
  <c r="S769" i="86" s="1"/>
  <c r="I878" i="85" s="1"/>
  <c r="R767" i="86"/>
  <c r="S767" i="86" s="1"/>
  <c r="I876" i="85" s="1"/>
  <c r="R765" i="86"/>
  <c r="S765" i="86" s="1"/>
  <c r="I874" i="85" s="1"/>
  <c r="R763" i="86"/>
  <c r="S763" i="86" s="1"/>
  <c r="I872" i="85" s="1"/>
  <c r="R761" i="86"/>
  <c r="S761" i="86" s="1"/>
  <c r="I870" i="85" s="1"/>
  <c r="R759" i="86"/>
  <c r="S759" i="86" s="1"/>
  <c r="I868" i="85" s="1"/>
  <c r="R757" i="86"/>
  <c r="S757" i="86" s="1"/>
  <c r="I866" i="85" s="1"/>
  <c r="R755" i="86"/>
  <c r="S755" i="86" s="1"/>
  <c r="I864" i="85" s="1"/>
  <c r="R857" i="86"/>
  <c r="S857" i="86" s="1"/>
  <c r="R855" i="86"/>
  <c r="S855" i="86" s="1"/>
  <c r="R853" i="86"/>
  <c r="S853" i="86" s="1"/>
  <c r="R851" i="86"/>
  <c r="S851" i="86" s="1"/>
  <c r="R849" i="86"/>
  <c r="S849" i="86" s="1"/>
  <c r="R847" i="86"/>
  <c r="S847" i="86" s="1"/>
  <c r="R845" i="86"/>
  <c r="S845" i="86" s="1"/>
  <c r="R780" i="86"/>
  <c r="S780" i="86" s="1"/>
  <c r="I889" i="85" s="1"/>
  <c r="R778" i="86"/>
  <c r="S778" i="86" s="1"/>
  <c r="I887" i="85" s="1"/>
  <c r="R776" i="86"/>
  <c r="S776" i="86" s="1"/>
  <c r="I885" i="85" s="1"/>
  <c r="R774" i="86"/>
  <c r="S774" i="86" s="1"/>
  <c r="I883" i="85" s="1"/>
  <c r="R772" i="86"/>
  <c r="S772" i="86" s="1"/>
  <c r="I881" i="85" s="1"/>
  <c r="R770" i="86"/>
  <c r="S770" i="86" s="1"/>
  <c r="I879" i="85" s="1"/>
  <c r="R766" i="86"/>
  <c r="S766" i="86" s="1"/>
  <c r="I875" i="85" s="1"/>
  <c r="R764" i="86"/>
  <c r="S764" i="86" s="1"/>
  <c r="I873" i="85" s="1"/>
  <c r="R762" i="86"/>
  <c r="S762" i="86" s="1"/>
  <c r="I871" i="85" s="1"/>
  <c r="R760" i="86"/>
  <c r="S760" i="86" s="1"/>
  <c r="I869" i="85" s="1"/>
  <c r="R758" i="86"/>
  <c r="S758" i="86" s="1"/>
  <c r="I867" i="85" s="1"/>
  <c r="R724" i="86"/>
  <c r="S724" i="86" s="1"/>
  <c r="I833" i="85" s="1"/>
  <c r="R725" i="86"/>
  <c r="S725" i="86" s="1"/>
  <c r="I834" i="85" s="1"/>
  <c r="R726" i="86"/>
  <c r="S726" i="86" s="1"/>
  <c r="I835" i="85" s="1"/>
  <c r="R750" i="86"/>
  <c r="S750" i="86" s="1"/>
  <c r="I859" i="85" s="1"/>
  <c r="R748" i="86"/>
  <c r="S748" i="86" s="1"/>
  <c r="I857" i="85" s="1"/>
  <c r="R746" i="86"/>
  <c r="S746" i="86" s="1"/>
  <c r="I855" i="85" s="1"/>
  <c r="R744" i="86"/>
  <c r="S744" i="86" s="1"/>
  <c r="I853" i="85" s="1"/>
  <c r="R742" i="86"/>
  <c r="S742" i="86" s="1"/>
  <c r="I851" i="85" s="1"/>
  <c r="R740" i="86"/>
  <c r="S740" i="86" s="1"/>
  <c r="I849" i="85" s="1"/>
  <c r="R738" i="86"/>
  <c r="S738" i="86" s="1"/>
  <c r="I847" i="85" s="1"/>
  <c r="R736" i="86"/>
  <c r="S736" i="86" s="1"/>
  <c r="I845" i="85" s="1"/>
  <c r="R734" i="86"/>
  <c r="S734" i="86" s="1"/>
  <c r="I843" i="85" s="1"/>
  <c r="R732" i="86"/>
  <c r="S732" i="86" s="1"/>
  <c r="I841" i="85" s="1"/>
  <c r="R730" i="86"/>
  <c r="S730" i="86" s="1"/>
  <c r="I839" i="85" s="1"/>
  <c r="R728" i="86"/>
  <c r="S728" i="86" s="1"/>
  <c r="I837" i="85" s="1"/>
  <c r="R751" i="86"/>
  <c r="S751" i="86" s="1"/>
  <c r="I860" i="85" s="1"/>
  <c r="R749" i="86"/>
  <c r="S749" i="86" s="1"/>
  <c r="I858" i="85" s="1"/>
  <c r="R747" i="86"/>
  <c r="S747" i="86" s="1"/>
  <c r="I856" i="85" s="1"/>
  <c r="R745" i="86"/>
  <c r="S745" i="86" s="1"/>
  <c r="I854" i="85" s="1"/>
  <c r="R743" i="86"/>
  <c r="S743" i="86" s="1"/>
  <c r="I852" i="85" s="1"/>
  <c r="R741" i="86"/>
  <c r="S741" i="86" s="1"/>
  <c r="I850" i="85" s="1"/>
  <c r="R739" i="86"/>
  <c r="S739" i="86" s="1"/>
  <c r="I848" i="85" s="1"/>
  <c r="R737" i="86"/>
  <c r="S737" i="86" s="1"/>
  <c r="I846" i="85" s="1"/>
  <c r="R735" i="86"/>
  <c r="S735" i="86" s="1"/>
  <c r="I844" i="85" s="1"/>
  <c r="R733" i="86"/>
  <c r="S733" i="86" s="1"/>
  <c r="I842" i="85" s="1"/>
  <c r="R731" i="86"/>
  <c r="S731" i="86" s="1"/>
  <c r="I840" i="85" s="1"/>
  <c r="R729" i="86"/>
  <c r="S729" i="86" s="1"/>
  <c r="I838" i="85" s="1"/>
  <c r="R727" i="86"/>
  <c r="S727" i="86" s="1"/>
  <c r="I836" i="85" s="1"/>
  <c r="R720" i="86"/>
  <c r="S720" i="86" s="1"/>
  <c r="I829" i="85" s="1"/>
  <c r="R721" i="86"/>
  <c r="S721" i="86" s="1"/>
  <c r="I830" i="85" s="1"/>
  <c r="R722" i="86"/>
  <c r="S722" i="86" s="1"/>
  <c r="I831" i="85" s="1"/>
  <c r="R723" i="86"/>
  <c r="S723" i="86" s="1"/>
  <c r="I832" i="85" s="1"/>
  <c r="R719" i="86"/>
  <c r="S719" i="86" s="1"/>
  <c r="I828" i="85" s="1"/>
  <c r="R718" i="86"/>
  <c r="S718" i="86" s="1"/>
  <c r="I827" i="85" s="1"/>
  <c r="R717" i="86"/>
  <c r="S717" i="86" s="1"/>
  <c r="I826" i="85" s="1"/>
  <c r="R716" i="86"/>
  <c r="S716" i="86" s="1"/>
  <c r="I825" i="85" s="1"/>
  <c r="R715" i="86"/>
  <c r="S715" i="86" s="1"/>
  <c r="I824" i="85" s="1"/>
  <c r="R714" i="86"/>
  <c r="S714" i="86" s="1"/>
  <c r="I823" i="85" s="1"/>
  <c r="R713" i="86"/>
  <c r="S713" i="86" s="1"/>
  <c r="I822" i="85" s="1"/>
  <c r="R712" i="86"/>
  <c r="S712" i="86" s="1"/>
  <c r="I821" i="85" s="1"/>
  <c r="R711" i="86"/>
  <c r="S711" i="86" s="1"/>
  <c r="I820" i="85" s="1"/>
  <c r="R710" i="86"/>
  <c r="S710" i="86" s="1"/>
  <c r="I819" i="85" s="1"/>
  <c r="R709" i="86"/>
  <c r="S709" i="86" s="1"/>
  <c r="I818" i="85" s="1"/>
  <c r="R708" i="86"/>
  <c r="S708" i="86" s="1"/>
  <c r="I817" i="85" s="1"/>
  <c r="R707" i="86"/>
  <c r="S707" i="86" s="1"/>
  <c r="I816" i="85" s="1"/>
  <c r="R706" i="86"/>
  <c r="S706" i="86" s="1"/>
  <c r="I815" i="85" s="1"/>
  <c r="R705" i="86"/>
  <c r="S705" i="86" s="1"/>
  <c r="I814" i="85" s="1"/>
  <c r="R704" i="86"/>
  <c r="S704" i="86" s="1"/>
  <c r="I813" i="85" s="1"/>
  <c r="R703" i="86"/>
  <c r="S703" i="86" s="1"/>
  <c r="I812" i="85" s="1"/>
  <c r="R702" i="86"/>
  <c r="S702" i="86" s="1"/>
  <c r="I811" i="85" s="1"/>
  <c r="R701" i="86"/>
  <c r="S701" i="86" s="1"/>
  <c r="I810" i="85" s="1"/>
  <c r="R700" i="86"/>
  <c r="S700" i="86" s="1"/>
  <c r="I809" i="85" s="1"/>
  <c r="R699" i="86"/>
  <c r="S699" i="86" s="1"/>
  <c r="I808" i="85" s="1"/>
  <c r="R698" i="86"/>
  <c r="S698" i="86" s="1"/>
  <c r="I807" i="85" s="1"/>
  <c r="R697" i="86"/>
  <c r="S697" i="86" s="1"/>
  <c r="I806" i="85" s="1"/>
  <c r="R696" i="86"/>
  <c r="S696" i="86" s="1"/>
  <c r="I805" i="85" s="1"/>
  <c r="R695" i="86"/>
  <c r="S695" i="86" s="1"/>
  <c r="I804" i="85" s="1"/>
  <c r="R694" i="86"/>
  <c r="S694" i="86" s="1"/>
  <c r="I803" i="85" s="1"/>
  <c r="R693" i="86"/>
  <c r="S693" i="86" s="1"/>
  <c r="I802" i="85" s="1"/>
  <c r="R692" i="86"/>
  <c r="S692" i="86" s="1"/>
  <c r="I801" i="85" s="1"/>
  <c r="R691" i="86"/>
  <c r="S691" i="86" s="1"/>
  <c r="I800" i="85" s="1"/>
  <c r="R690" i="86"/>
  <c r="S690" i="86" s="1"/>
  <c r="I799" i="85" s="1"/>
  <c r="R689" i="86"/>
  <c r="S689" i="86" s="1"/>
  <c r="I798" i="85" s="1"/>
  <c r="R688" i="86"/>
  <c r="S688" i="86" s="1"/>
  <c r="I797" i="85" s="1"/>
  <c r="R687" i="86"/>
  <c r="S687" i="86" s="1"/>
  <c r="I796" i="85" s="1"/>
  <c r="R686" i="86"/>
  <c r="S686" i="86" s="1"/>
  <c r="I795" i="85" s="1"/>
  <c r="R685" i="86"/>
  <c r="S685" i="86" s="1"/>
  <c r="I794" i="85" s="1"/>
  <c r="R684" i="86"/>
  <c r="S684" i="86" s="1"/>
  <c r="I793" i="85" s="1"/>
  <c r="R683" i="86"/>
  <c r="S683" i="86" s="1"/>
  <c r="I792" i="85" s="1"/>
  <c r="R682" i="86"/>
  <c r="S682" i="86" s="1"/>
  <c r="I791" i="85" s="1"/>
  <c r="R681" i="86"/>
  <c r="S681" i="86" s="1"/>
  <c r="I790" i="85" s="1"/>
  <c r="R680" i="86"/>
  <c r="S680" i="86" s="1"/>
  <c r="I789" i="85" s="1"/>
  <c r="R679" i="86"/>
  <c r="S679" i="86" s="1"/>
  <c r="I788" i="85" s="1"/>
  <c r="R678" i="86"/>
  <c r="S678" i="86" s="1"/>
  <c r="I787" i="85" s="1"/>
  <c r="R634" i="86"/>
  <c r="S634" i="86" s="1"/>
  <c r="I743" i="85" s="1"/>
  <c r="R635" i="86"/>
  <c r="S635" i="86" s="1"/>
  <c r="I744" i="85" s="1"/>
  <c r="R677" i="86"/>
  <c r="S677" i="86" s="1"/>
  <c r="I786" i="85" s="1"/>
  <c r="R661" i="86"/>
  <c r="S661" i="86" s="1"/>
  <c r="I770" i="85" s="1"/>
  <c r="R657" i="86"/>
  <c r="S657" i="86" s="1"/>
  <c r="I766" i="85" s="1"/>
  <c r="R651" i="86"/>
  <c r="S651" i="86" s="1"/>
  <c r="I760" i="85" s="1"/>
  <c r="R645" i="86"/>
  <c r="S645" i="86" s="1"/>
  <c r="I754" i="85" s="1"/>
  <c r="R639" i="86"/>
  <c r="S639" i="86" s="1"/>
  <c r="I748" i="85" s="1"/>
  <c r="R676" i="86"/>
  <c r="S676" i="86" s="1"/>
  <c r="I785" i="85" s="1"/>
  <c r="R675" i="86"/>
  <c r="S675" i="86" s="1"/>
  <c r="I784" i="85" s="1"/>
  <c r="R674" i="86"/>
  <c r="S674" i="86" s="1"/>
  <c r="I783" i="85" s="1"/>
  <c r="R673" i="86"/>
  <c r="S673" i="86" s="1"/>
  <c r="I782" i="85" s="1"/>
  <c r="R672" i="86"/>
  <c r="S672" i="86" s="1"/>
  <c r="I781" i="85" s="1"/>
  <c r="R671" i="86"/>
  <c r="S671" i="86" s="1"/>
  <c r="I780" i="85" s="1"/>
  <c r="R670" i="86"/>
  <c r="S670" i="86" s="1"/>
  <c r="I779" i="85" s="1"/>
  <c r="R669" i="86"/>
  <c r="S669" i="86" s="1"/>
  <c r="I778" i="85" s="1"/>
  <c r="R668" i="86"/>
  <c r="S668" i="86" s="1"/>
  <c r="I777" i="85" s="1"/>
  <c r="R667" i="86"/>
  <c r="S667" i="86" s="1"/>
  <c r="I776" i="85" s="1"/>
  <c r="R666" i="86"/>
  <c r="S666" i="86" s="1"/>
  <c r="I775" i="85" s="1"/>
  <c r="R665" i="86"/>
  <c r="S665" i="86" s="1"/>
  <c r="I774" i="85" s="1"/>
  <c r="R664" i="86"/>
  <c r="S664" i="86" s="1"/>
  <c r="I773" i="85" s="1"/>
  <c r="R663" i="86"/>
  <c r="S663" i="86" s="1"/>
  <c r="I772" i="85" s="1"/>
  <c r="R662" i="86"/>
  <c r="S662" i="86" s="1"/>
  <c r="I771" i="85" s="1"/>
  <c r="R660" i="86"/>
  <c r="S660" i="86" s="1"/>
  <c r="I769" i="85" s="1"/>
  <c r="R658" i="86"/>
  <c r="S658" i="86" s="1"/>
  <c r="I767" i="85" s="1"/>
  <c r="R656" i="86"/>
  <c r="S656" i="86" s="1"/>
  <c r="I765" i="85" s="1"/>
  <c r="R654" i="86"/>
  <c r="S654" i="86" s="1"/>
  <c r="I763" i="85" s="1"/>
  <c r="R652" i="86"/>
  <c r="S652" i="86" s="1"/>
  <c r="I761" i="85" s="1"/>
  <c r="R650" i="86"/>
  <c r="S650" i="86" s="1"/>
  <c r="I759" i="85" s="1"/>
  <c r="R648" i="86"/>
  <c r="S648" i="86" s="1"/>
  <c r="I757" i="85" s="1"/>
  <c r="R646" i="86"/>
  <c r="S646" i="86" s="1"/>
  <c r="I755" i="85" s="1"/>
  <c r="R644" i="86"/>
  <c r="S644" i="86" s="1"/>
  <c r="I753" i="85" s="1"/>
  <c r="R642" i="86"/>
  <c r="S642" i="86" s="1"/>
  <c r="I751" i="85" s="1"/>
  <c r="R640" i="86"/>
  <c r="S640" i="86" s="1"/>
  <c r="I749" i="85" s="1"/>
  <c r="R638" i="86"/>
  <c r="S638" i="86" s="1"/>
  <c r="I747" i="85" s="1"/>
  <c r="R636" i="86"/>
  <c r="S636" i="86" s="1"/>
  <c r="I745" i="85" s="1"/>
  <c r="R659" i="86"/>
  <c r="S659" i="86" s="1"/>
  <c r="I768" i="85" s="1"/>
  <c r="R655" i="86"/>
  <c r="S655" i="86" s="1"/>
  <c r="I764" i="85" s="1"/>
  <c r="R653" i="86"/>
  <c r="S653" i="86" s="1"/>
  <c r="I762" i="85" s="1"/>
  <c r="R649" i="86"/>
  <c r="S649" i="86" s="1"/>
  <c r="I758" i="85" s="1"/>
  <c r="R647" i="86"/>
  <c r="S647" i="86" s="1"/>
  <c r="I756" i="85" s="1"/>
  <c r="R643" i="86"/>
  <c r="S643" i="86" s="1"/>
  <c r="I752" i="85" s="1"/>
  <c r="R641" i="86"/>
  <c r="S641" i="86" s="1"/>
  <c r="I750" i="85" s="1"/>
  <c r="R637" i="86"/>
  <c r="S637" i="86" s="1"/>
  <c r="I746" i="85" s="1"/>
  <c r="R541" i="86"/>
  <c r="S541" i="86" s="1"/>
  <c r="I650" i="85" s="1"/>
  <c r="R542" i="86"/>
  <c r="S542" i="86" s="1"/>
  <c r="I651" i="85" s="1"/>
  <c r="R543" i="86"/>
  <c r="S543" i="86" s="1"/>
  <c r="I652" i="85" s="1"/>
  <c r="R584" i="86"/>
  <c r="S584" i="86" s="1"/>
  <c r="I693" i="85" s="1"/>
  <c r="R585" i="86"/>
  <c r="S585" i="86" s="1"/>
  <c r="I694" i="85" s="1"/>
  <c r="R586" i="86"/>
  <c r="S586" i="86" s="1"/>
  <c r="I695" i="85" s="1"/>
  <c r="R587" i="86"/>
  <c r="S587" i="86" s="1"/>
  <c r="I696" i="85" s="1"/>
  <c r="R588" i="86"/>
  <c r="S588" i="86" s="1"/>
  <c r="I697" i="85" s="1"/>
  <c r="R589" i="86"/>
  <c r="S589" i="86" s="1"/>
  <c r="I698" i="85" s="1"/>
  <c r="R590" i="86"/>
  <c r="S590" i="86" s="1"/>
  <c r="I699" i="85" s="1"/>
  <c r="R591" i="86"/>
  <c r="S591" i="86" s="1"/>
  <c r="I700" i="85" s="1"/>
  <c r="R592" i="86"/>
  <c r="S592" i="86" s="1"/>
  <c r="I701" i="85" s="1"/>
  <c r="R593" i="86"/>
  <c r="S593" i="86" s="1"/>
  <c r="I702" i="85" s="1"/>
  <c r="R594" i="86"/>
  <c r="S594" i="86" s="1"/>
  <c r="I703" i="85" s="1"/>
  <c r="R595" i="86"/>
  <c r="S595" i="86" s="1"/>
  <c r="I704" i="85" s="1"/>
  <c r="R596" i="86"/>
  <c r="S596" i="86" s="1"/>
  <c r="I705" i="85" s="1"/>
  <c r="R597" i="86"/>
  <c r="S597" i="86" s="1"/>
  <c r="I706" i="85" s="1"/>
  <c r="R598" i="86"/>
  <c r="S598" i="86" s="1"/>
  <c r="I707" i="85" s="1"/>
  <c r="R599" i="86"/>
  <c r="S599" i="86" s="1"/>
  <c r="I708" i="85" s="1"/>
  <c r="R600" i="86"/>
  <c r="S600" i="86" s="1"/>
  <c r="I709" i="85" s="1"/>
  <c r="R601" i="86"/>
  <c r="S601" i="86" s="1"/>
  <c r="I710" i="85" s="1"/>
  <c r="R602" i="86"/>
  <c r="S602" i="86" s="1"/>
  <c r="I711" i="85" s="1"/>
  <c r="R603" i="86"/>
  <c r="S603" i="86" s="1"/>
  <c r="I712" i="85" s="1"/>
  <c r="R604" i="86"/>
  <c r="S604" i="86" s="1"/>
  <c r="I713" i="85" s="1"/>
  <c r="R605" i="86"/>
  <c r="S605" i="86" s="1"/>
  <c r="I714" i="85" s="1"/>
  <c r="R606" i="86"/>
  <c r="S606" i="86" s="1"/>
  <c r="I715" i="85" s="1"/>
  <c r="R607" i="86"/>
  <c r="S607" i="86" s="1"/>
  <c r="I716" i="85" s="1"/>
  <c r="R608" i="86"/>
  <c r="S608" i="86" s="1"/>
  <c r="I717" i="85" s="1"/>
  <c r="R609" i="86"/>
  <c r="S609" i="86" s="1"/>
  <c r="I718" i="85" s="1"/>
  <c r="R610" i="86"/>
  <c r="S610" i="86" s="1"/>
  <c r="I719" i="85" s="1"/>
  <c r="R611" i="86"/>
  <c r="S611" i="86" s="1"/>
  <c r="I720" i="85" s="1"/>
  <c r="R612" i="86"/>
  <c r="S612" i="86" s="1"/>
  <c r="I721" i="85" s="1"/>
  <c r="R613" i="86"/>
  <c r="S613" i="86" s="1"/>
  <c r="I722" i="85" s="1"/>
  <c r="R614" i="86"/>
  <c r="S614" i="86" s="1"/>
  <c r="I723" i="85" s="1"/>
  <c r="R615" i="86"/>
  <c r="S615" i="86" s="1"/>
  <c r="I724" i="85" s="1"/>
  <c r="R616" i="86"/>
  <c r="S616" i="86" s="1"/>
  <c r="I725" i="85" s="1"/>
  <c r="R617" i="86"/>
  <c r="S617" i="86" s="1"/>
  <c r="I726" i="85" s="1"/>
  <c r="R618" i="86"/>
  <c r="S618" i="86" s="1"/>
  <c r="I727" i="85" s="1"/>
  <c r="R619" i="86"/>
  <c r="S619" i="86" s="1"/>
  <c r="I728" i="85" s="1"/>
  <c r="R620" i="86"/>
  <c r="S620" i="86" s="1"/>
  <c r="I729" i="85" s="1"/>
  <c r="R621" i="86"/>
  <c r="S621" i="86" s="1"/>
  <c r="I730" i="85" s="1"/>
  <c r="R622" i="86"/>
  <c r="S622" i="86" s="1"/>
  <c r="I731" i="85" s="1"/>
  <c r="R623" i="86"/>
  <c r="S623" i="86" s="1"/>
  <c r="I732" i="85" s="1"/>
  <c r="R624" i="86"/>
  <c r="S624" i="86" s="1"/>
  <c r="I733" i="85" s="1"/>
  <c r="R625" i="86"/>
  <c r="S625" i="86" s="1"/>
  <c r="I734" i="85" s="1"/>
  <c r="R626" i="86"/>
  <c r="S626" i="86" s="1"/>
  <c r="I735" i="85" s="1"/>
  <c r="R627" i="86"/>
  <c r="S627" i="86" s="1"/>
  <c r="I736" i="85" s="1"/>
  <c r="R628" i="86"/>
  <c r="S628" i="86" s="1"/>
  <c r="I737" i="85" s="1"/>
  <c r="R629" i="86"/>
  <c r="S629" i="86" s="1"/>
  <c r="I738" i="85" s="1"/>
  <c r="R630" i="86"/>
  <c r="S630" i="86" s="1"/>
  <c r="I739" i="85" s="1"/>
  <c r="R631" i="86"/>
  <c r="S631" i="86" s="1"/>
  <c r="I740" i="85" s="1"/>
  <c r="R632" i="86"/>
  <c r="S632" i="86" s="1"/>
  <c r="I741" i="85" s="1"/>
  <c r="R633" i="86"/>
  <c r="S633" i="86" s="1"/>
  <c r="I742" i="85" s="1"/>
  <c r="R569" i="86"/>
  <c r="S569" i="86" s="1"/>
  <c r="I678" i="85" s="1"/>
  <c r="R563" i="86"/>
  <c r="S563" i="86" s="1"/>
  <c r="I672" i="85" s="1"/>
  <c r="R557" i="86"/>
  <c r="S557" i="86" s="1"/>
  <c r="I666" i="85" s="1"/>
  <c r="R553" i="86"/>
  <c r="S553" i="86" s="1"/>
  <c r="I662" i="85" s="1"/>
  <c r="R549" i="86"/>
  <c r="S549" i="86" s="1"/>
  <c r="I658" i="85" s="1"/>
  <c r="R545" i="86"/>
  <c r="S545" i="86" s="1"/>
  <c r="I654" i="85" s="1"/>
  <c r="R583" i="86"/>
  <c r="S583" i="86" s="1"/>
  <c r="I692" i="85" s="1"/>
  <c r="R582" i="86"/>
  <c r="S582" i="86" s="1"/>
  <c r="I691" i="85" s="1"/>
  <c r="R581" i="86"/>
  <c r="S581" i="86" s="1"/>
  <c r="I690" i="85" s="1"/>
  <c r="R580" i="86"/>
  <c r="S580" i="86" s="1"/>
  <c r="I689" i="85" s="1"/>
  <c r="R579" i="86"/>
  <c r="S579" i="86" s="1"/>
  <c r="I688" i="85" s="1"/>
  <c r="R578" i="86"/>
  <c r="S578" i="86" s="1"/>
  <c r="I687" i="85" s="1"/>
  <c r="R577" i="86"/>
  <c r="S577" i="86" s="1"/>
  <c r="I686" i="85" s="1"/>
  <c r="R576" i="86"/>
  <c r="S576" i="86" s="1"/>
  <c r="I685" i="85" s="1"/>
  <c r="R575" i="86"/>
  <c r="S575" i="86" s="1"/>
  <c r="I684" i="85" s="1"/>
  <c r="R574" i="86"/>
  <c r="S574" i="86" s="1"/>
  <c r="I683" i="85" s="1"/>
  <c r="R573" i="86"/>
  <c r="S573" i="86" s="1"/>
  <c r="I682" i="85" s="1"/>
  <c r="R572" i="86"/>
  <c r="S572" i="86" s="1"/>
  <c r="I681" i="85" s="1"/>
  <c r="R571" i="86"/>
  <c r="S571" i="86" s="1"/>
  <c r="I680" i="85" s="1"/>
  <c r="R570" i="86"/>
  <c r="S570" i="86" s="1"/>
  <c r="I679" i="85" s="1"/>
  <c r="R568" i="86"/>
  <c r="S568" i="86" s="1"/>
  <c r="I677" i="85" s="1"/>
  <c r="R566" i="86"/>
  <c r="S566" i="86" s="1"/>
  <c r="I675" i="85" s="1"/>
  <c r="R564" i="86"/>
  <c r="S564" i="86" s="1"/>
  <c r="I673" i="85" s="1"/>
  <c r="R562" i="86"/>
  <c r="S562" i="86" s="1"/>
  <c r="I671" i="85" s="1"/>
  <c r="R560" i="86"/>
  <c r="S560" i="86" s="1"/>
  <c r="I669" i="85" s="1"/>
  <c r="R558" i="86"/>
  <c r="S558" i="86" s="1"/>
  <c r="I667" i="85" s="1"/>
  <c r="R556" i="86"/>
  <c r="S556" i="86" s="1"/>
  <c r="I665" i="85" s="1"/>
  <c r="R554" i="86"/>
  <c r="S554" i="86" s="1"/>
  <c r="I663" i="85" s="1"/>
  <c r="R552" i="86"/>
  <c r="S552" i="86" s="1"/>
  <c r="I661" i="85" s="1"/>
  <c r="R550" i="86"/>
  <c r="S550" i="86" s="1"/>
  <c r="I659" i="85" s="1"/>
  <c r="R548" i="86"/>
  <c r="S548" i="86" s="1"/>
  <c r="I657" i="85" s="1"/>
  <c r="R546" i="86"/>
  <c r="S546" i="86" s="1"/>
  <c r="I655" i="85" s="1"/>
  <c r="R544" i="86"/>
  <c r="S544" i="86" s="1"/>
  <c r="I653" i="85" s="1"/>
  <c r="R567" i="86"/>
  <c r="S567" i="86" s="1"/>
  <c r="I676" i="85" s="1"/>
  <c r="R565" i="86"/>
  <c r="S565" i="86" s="1"/>
  <c r="I674" i="85" s="1"/>
  <c r="R561" i="86"/>
  <c r="S561" i="86" s="1"/>
  <c r="I670" i="85" s="1"/>
  <c r="R559" i="86"/>
  <c r="S559" i="86" s="1"/>
  <c r="I668" i="85" s="1"/>
  <c r="R555" i="86"/>
  <c r="S555" i="86" s="1"/>
  <c r="I664" i="85" s="1"/>
  <c r="R551" i="86"/>
  <c r="S551" i="86" s="1"/>
  <c r="I660" i="85" s="1"/>
  <c r="R547" i="86"/>
  <c r="S547" i="86" s="1"/>
  <c r="I656" i="85" s="1"/>
  <c r="R525" i="86"/>
  <c r="S525" i="86" s="1"/>
  <c r="I634" i="85" s="1"/>
  <c r="R539" i="86"/>
  <c r="S539" i="86" s="1"/>
  <c r="I648" i="85" s="1"/>
  <c r="R537" i="86"/>
  <c r="S537" i="86" s="1"/>
  <c r="I646" i="85" s="1"/>
  <c r="R535" i="86"/>
  <c r="S535" i="86" s="1"/>
  <c r="I644" i="85" s="1"/>
  <c r="R533" i="86"/>
  <c r="S533" i="86" s="1"/>
  <c r="I642" i="85" s="1"/>
  <c r="R531" i="86"/>
  <c r="S531" i="86" s="1"/>
  <c r="I640" i="85" s="1"/>
  <c r="R529" i="86"/>
  <c r="S529" i="86" s="1"/>
  <c r="I638" i="85" s="1"/>
  <c r="R527" i="86"/>
  <c r="S527" i="86" s="1"/>
  <c r="I636" i="85" s="1"/>
  <c r="R540" i="86"/>
  <c r="S540" i="86" s="1"/>
  <c r="I649" i="85" s="1"/>
  <c r="R538" i="86"/>
  <c r="S538" i="86" s="1"/>
  <c r="I647" i="85" s="1"/>
  <c r="R536" i="86"/>
  <c r="S536" i="86" s="1"/>
  <c r="I645" i="85" s="1"/>
  <c r="R534" i="86"/>
  <c r="S534" i="86" s="1"/>
  <c r="I643" i="85" s="1"/>
  <c r="R532" i="86"/>
  <c r="S532" i="86" s="1"/>
  <c r="I641" i="85" s="1"/>
  <c r="R530" i="86"/>
  <c r="S530" i="86" s="1"/>
  <c r="I639" i="85" s="1"/>
  <c r="R528" i="86"/>
  <c r="S528" i="86" s="1"/>
  <c r="I637" i="85" s="1"/>
  <c r="R526" i="86"/>
  <c r="S526" i="86" s="1"/>
  <c r="I635" i="85" s="1"/>
  <c r="R523" i="86"/>
  <c r="S523" i="86" s="1"/>
  <c r="I632" i="85" s="1"/>
  <c r="R521" i="86"/>
  <c r="S521" i="86" s="1"/>
  <c r="I630" i="85" s="1"/>
  <c r="R524" i="86"/>
  <c r="S524" i="86" s="1"/>
  <c r="I633" i="85" s="1"/>
  <c r="R522" i="86"/>
  <c r="S522" i="86" s="1"/>
  <c r="I631" i="85" s="1"/>
  <c r="R520" i="86"/>
  <c r="S520" i="86" s="1"/>
  <c r="I629" i="85" s="1"/>
  <c r="R518" i="86"/>
  <c r="S518" i="86" s="1"/>
  <c r="I627" i="85" s="1"/>
  <c r="R516" i="86"/>
  <c r="S516" i="86" s="1"/>
  <c r="I625" i="85" s="1"/>
  <c r="R514" i="86"/>
  <c r="S514" i="86" s="1"/>
  <c r="I623" i="85" s="1"/>
  <c r="R512" i="86"/>
  <c r="S512" i="86" s="1"/>
  <c r="I621" i="85" s="1"/>
  <c r="R510" i="86"/>
  <c r="S510" i="86" s="1"/>
  <c r="I619" i="85" s="1"/>
  <c r="R508" i="86"/>
  <c r="S508" i="86" s="1"/>
  <c r="I617" i="85" s="1"/>
  <c r="R506" i="86"/>
  <c r="S506" i="86" s="1"/>
  <c r="I615" i="85" s="1"/>
  <c r="R504" i="86"/>
  <c r="S504" i="86" s="1"/>
  <c r="I613" i="85" s="1"/>
  <c r="R502" i="86"/>
  <c r="S502" i="86" s="1"/>
  <c r="I611" i="85" s="1"/>
  <c r="R500" i="86"/>
  <c r="S500" i="86" s="1"/>
  <c r="I609" i="85" s="1"/>
  <c r="R498" i="86"/>
  <c r="S498" i="86" s="1"/>
  <c r="I607" i="85" s="1"/>
  <c r="R496" i="86"/>
  <c r="S496" i="86" s="1"/>
  <c r="I605" i="85" s="1"/>
  <c r="R494" i="86"/>
  <c r="S494" i="86" s="1"/>
  <c r="I603" i="85" s="1"/>
  <c r="R492" i="86"/>
  <c r="S492" i="86" s="1"/>
  <c r="I601" i="85" s="1"/>
  <c r="R490" i="86"/>
  <c r="S490" i="86" s="1"/>
  <c r="I599" i="85" s="1"/>
  <c r="R488" i="86"/>
  <c r="S488" i="86" s="1"/>
  <c r="I597" i="85" s="1"/>
  <c r="R486" i="86"/>
  <c r="S486" i="86" s="1"/>
  <c r="I595" i="85" s="1"/>
  <c r="R484" i="86"/>
  <c r="S484" i="86" s="1"/>
  <c r="I593" i="85" s="1"/>
  <c r="R482" i="86"/>
  <c r="S482" i="86" s="1"/>
  <c r="I591" i="85" s="1"/>
  <c r="R480" i="86"/>
  <c r="S480" i="86" s="1"/>
  <c r="I589" i="85" s="1"/>
  <c r="R478" i="86"/>
  <c r="S478" i="86" s="1"/>
  <c r="I587" i="85" s="1"/>
  <c r="R476" i="86"/>
  <c r="S476" i="86" s="1"/>
  <c r="I585" i="85" s="1"/>
  <c r="R474" i="86"/>
  <c r="S474" i="86" s="1"/>
  <c r="I583" i="85" s="1"/>
  <c r="R472" i="86"/>
  <c r="S472" i="86" s="1"/>
  <c r="I581" i="85" s="1"/>
  <c r="R470" i="86"/>
  <c r="S470" i="86" s="1"/>
  <c r="I579" i="85" s="1"/>
  <c r="R468" i="86"/>
  <c r="S468" i="86" s="1"/>
  <c r="I577" i="85" s="1"/>
  <c r="R466" i="86"/>
  <c r="S466" i="86" s="1"/>
  <c r="I575" i="85" s="1"/>
  <c r="R464" i="86"/>
  <c r="S464" i="86" s="1"/>
  <c r="I573" i="85" s="1"/>
  <c r="R462" i="86"/>
  <c r="S462" i="86" s="1"/>
  <c r="I571" i="85" s="1"/>
  <c r="R460" i="86"/>
  <c r="S460" i="86" s="1"/>
  <c r="I569" i="85" s="1"/>
  <c r="R458" i="86"/>
  <c r="S458" i="86" s="1"/>
  <c r="I567" i="85" s="1"/>
  <c r="R456" i="86"/>
  <c r="S456" i="86" s="1"/>
  <c r="I565" i="85" s="1"/>
  <c r="R454" i="86"/>
  <c r="S454" i="86" s="1"/>
  <c r="I563" i="85" s="1"/>
  <c r="R452" i="86"/>
  <c r="S452" i="86" s="1"/>
  <c r="I561" i="85" s="1"/>
  <c r="R450" i="86"/>
  <c r="S450" i="86" s="1"/>
  <c r="I559" i="85" s="1"/>
  <c r="R448" i="86"/>
  <c r="S448" i="86" s="1"/>
  <c r="I557" i="85" s="1"/>
  <c r="R446" i="86"/>
  <c r="S446" i="86" s="1"/>
  <c r="I555" i="85" s="1"/>
  <c r="R444" i="86"/>
  <c r="S444" i="86" s="1"/>
  <c r="I553" i="85" s="1"/>
  <c r="R442" i="86"/>
  <c r="S442" i="86" s="1"/>
  <c r="I551" i="85" s="1"/>
  <c r="R440" i="86"/>
  <c r="S440" i="86" s="1"/>
  <c r="I549" i="85" s="1"/>
  <c r="R438" i="86"/>
  <c r="S438" i="86" s="1"/>
  <c r="I547" i="85" s="1"/>
  <c r="R436" i="86"/>
  <c r="S436" i="86" s="1"/>
  <c r="I545" i="85" s="1"/>
  <c r="R434" i="86"/>
  <c r="S434" i="86" s="1"/>
  <c r="I543" i="85" s="1"/>
  <c r="R432" i="86"/>
  <c r="S432" i="86" s="1"/>
  <c r="I541" i="85" s="1"/>
  <c r="R430" i="86"/>
  <c r="S430" i="86" s="1"/>
  <c r="I539" i="85" s="1"/>
  <c r="R428" i="86"/>
  <c r="S428" i="86" s="1"/>
  <c r="I537" i="85" s="1"/>
  <c r="R426" i="86"/>
  <c r="S426" i="86" s="1"/>
  <c r="I535" i="85" s="1"/>
  <c r="R424" i="86"/>
  <c r="S424" i="86" s="1"/>
  <c r="I533" i="85" s="1"/>
  <c r="R422" i="86"/>
  <c r="S422" i="86" s="1"/>
  <c r="I531" i="85" s="1"/>
  <c r="R420" i="86"/>
  <c r="S420" i="86" s="1"/>
  <c r="I529" i="85" s="1"/>
  <c r="R418" i="86"/>
  <c r="S418" i="86" s="1"/>
  <c r="I527" i="85" s="1"/>
  <c r="R416" i="86"/>
  <c r="S416" i="86" s="1"/>
  <c r="I525" i="85" s="1"/>
  <c r="R414" i="86"/>
  <c r="S414" i="86" s="1"/>
  <c r="I523" i="85" s="1"/>
  <c r="R412" i="86"/>
  <c r="S412" i="86" s="1"/>
  <c r="I521" i="85" s="1"/>
  <c r="R410" i="86"/>
  <c r="S410" i="86" s="1"/>
  <c r="I519" i="85" s="1"/>
  <c r="R408" i="86"/>
  <c r="S408" i="86" s="1"/>
  <c r="I517" i="85" s="1"/>
  <c r="R406" i="86"/>
  <c r="S406" i="86" s="1"/>
  <c r="I515" i="85" s="1"/>
  <c r="R404" i="86"/>
  <c r="S404" i="86" s="1"/>
  <c r="I513" i="85" s="1"/>
  <c r="R402" i="86"/>
  <c r="S402" i="86" s="1"/>
  <c r="I511" i="85" s="1"/>
  <c r="R400" i="86"/>
  <c r="S400" i="86" s="1"/>
  <c r="I509" i="85" s="1"/>
  <c r="R398" i="86"/>
  <c r="S398" i="86" s="1"/>
  <c r="I507" i="85" s="1"/>
  <c r="R396" i="86"/>
  <c r="S396" i="86" s="1"/>
  <c r="I505" i="85" s="1"/>
  <c r="R394" i="86"/>
  <c r="S394" i="86" s="1"/>
  <c r="I503" i="85" s="1"/>
  <c r="R392" i="86"/>
  <c r="S392" i="86" s="1"/>
  <c r="I501" i="85" s="1"/>
  <c r="R390" i="86"/>
  <c r="S390" i="86" s="1"/>
  <c r="I499" i="85" s="1"/>
  <c r="R388" i="86"/>
  <c r="S388" i="86" s="1"/>
  <c r="I497" i="85" s="1"/>
  <c r="R386" i="86"/>
  <c r="S386" i="86" s="1"/>
  <c r="I495" i="85" s="1"/>
  <c r="R384" i="86"/>
  <c r="S384" i="86" s="1"/>
  <c r="I493" i="85" s="1"/>
  <c r="R382" i="86"/>
  <c r="S382" i="86" s="1"/>
  <c r="I491" i="85" s="1"/>
  <c r="R380" i="86"/>
  <c r="S380" i="86" s="1"/>
  <c r="I489" i="85" s="1"/>
  <c r="R378" i="86"/>
  <c r="S378" i="86" s="1"/>
  <c r="I487" i="85" s="1"/>
  <c r="R376" i="86"/>
  <c r="S376" i="86" s="1"/>
  <c r="I485" i="85" s="1"/>
  <c r="R374" i="86"/>
  <c r="S374" i="86" s="1"/>
  <c r="I483" i="85" s="1"/>
  <c r="R372" i="86"/>
  <c r="S372" i="86" s="1"/>
  <c r="I481" i="85" s="1"/>
  <c r="R370" i="86"/>
  <c r="S370" i="86" s="1"/>
  <c r="I479" i="85" s="1"/>
  <c r="R368" i="86"/>
  <c r="S368" i="86" s="1"/>
  <c r="I477" i="85" s="1"/>
  <c r="R366" i="86"/>
  <c r="S366" i="86" s="1"/>
  <c r="I475" i="85" s="1"/>
  <c r="R364" i="86"/>
  <c r="S364" i="86" s="1"/>
  <c r="I473" i="85" s="1"/>
  <c r="R362" i="86"/>
  <c r="S362" i="86" s="1"/>
  <c r="I471" i="85" s="1"/>
  <c r="R360" i="86"/>
  <c r="S360" i="86" s="1"/>
  <c r="I469" i="85" s="1"/>
  <c r="R358" i="86"/>
  <c r="S358" i="86" s="1"/>
  <c r="I467" i="85" s="1"/>
  <c r="R356" i="86"/>
  <c r="S356" i="86" s="1"/>
  <c r="I465" i="85" s="1"/>
  <c r="R354" i="86"/>
  <c r="S354" i="86" s="1"/>
  <c r="I463" i="85" s="1"/>
  <c r="R352" i="86"/>
  <c r="S352" i="86" s="1"/>
  <c r="I461" i="85" s="1"/>
  <c r="R519" i="86"/>
  <c r="S519" i="86" s="1"/>
  <c r="I628" i="85" s="1"/>
  <c r="R515" i="86"/>
  <c r="S515" i="86" s="1"/>
  <c r="I624" i="85" s="1"/>
  <c r="R511" i="86"/>
  <c r="S511" i="86" s="1"/>
  <c r="I620" i="85" s="1"/>
  <c r="R507" i="86"/>
  <c r="S507" i="86" s="1"/>
  <c r="I616" i="85" s="1"/>
  <c r="R503" i="86"/>
  <c r="S503" i="86" s="1"/>
  <c r="I612" i="85" s="1"/>
  <c r="R499" i="86"/>
  <c r="S499" i="86" s="1"/>
  <c r="I608" i="85" s="1"/>
  <c r="R495" i="86"/>
  <c r="S495" i="86" s="1"/>
  <c r="I604" i="85" s="1"/>
  <c r="R491" i="86"/>
  <c r="S491" i="86" s="1"/>
  <c r="I600" i="85" s="1"/>
  <c r="R487" i="86"/>
  <c r="S487" i="86" s="1"/>
  <c r="I596" i="85" s="1"/>
  <c r="R483" i="86"/>
  <c r="S483" i="86" s="1"/>
  <c r="I592" i="85" s="1"/>
  <c r="R479" i="86"/>
  <c r="S479" i="86" s="1"/>
  <c r="I588" i="85" s="1"/>
  <c r="R475" i="86"/>
  <c r="S475" i="86" s="1"/>
  <c r="I584" i="85" s="1"/>
  <c r="R471" i="86"/>
  <c r="S471" i="86" s="1"/>
  <c r="I580" i="85" s="1"/>
  <c r="R467" i="86"/>
  <c r="S467" i="86" s="1"/>
  <c r="I576" i="85" s="1"/>
  <c r="R463" i="86"/>
  <c r="S463" i="86" s="1"/>
  <c r="I572" i="85" s="1"/>
  <c r="R459" i="86"/>
  <c r="S459" i="86" s="1"/>
  <c r="I568" i="85" s="1"/>
  <c r="R455" i="86"/>
  <c r="S455" i="86" s="1"/>
  <c r="I564" i="85" s="1"/>
  <c r="R451" i="86"/>
  <c r="S451" i="86" s="1"/>
  <c r="I560" i="85" s="1"/>
  <c r="R447" i="86"/>
  <c r="S447" i="86" s="1"/>
  <c r="I556" i="85" s="1"/>
  <c r="R443" i="86"/>
  <c r="S443" i="86" s="1"/>
  <c r="I552" i="85" s="1"/>
  <c r="R439" i="86"/>
  <c r="S439" i="86" s="1"/>
  <c r="I548" i="85" s="1"/>
  <c r="R435" i="86"/>
  <c r="S435" i="86" s="1"/>
  <c r="I544" i="85" s="1"/>
  <c r="R431" i="86"/>
  <c r="S431" i="86" s="1"/>
  <c r="I540" i="85" s="1"/>
  <c r="R427" i="86"/>
  <c r="S427" i="86" s="1"/>
  <c r="I536" i="85" s="1"/>
  <c r="R423" i="86"/>
  <c r="S423" i="86" s="1"/>
  <c r="I532" i="85" s="1"/>
  <c r="R419" i="86"/>
  <c r="S419" i="86" s="1"/>
  <c r="I528" i="85" s="1"/>
  <c r="R415" i="86"/>
  <c r="S415" i="86" s="1"/>
  <c r="I524" i="85" s="1"/>
  <c r="R411" i="86"/>
  <c r="S411" i="86" s="1"/>
  <c r="I520" i="85" s="1"/>
  <c r="R407" i="86"/>
  <c r="S407" i="86" s="1"/>
  <c r="I516" i="85" s="1"/>
  <c r="R403" i="86"/>
  <c r="S403" i="86" s="1"/>
  <c r="I512" i="85" s="1"/>
  <c r="R399" i="86"/>
  <c r="S399" i="86" s="1"/>
  <c r="I508" i="85" s="1"/>
  <c r="R395" i="86"/>
  <c r="S395" i="86" s="1"/>
  <c r="I504" i="85" s="1"/>
  <c r="R391" i="86"/>
  <c r="S391" i="86" s="1"/>
  <c r="I500" i="85" s="1"/>
  <c r="R387" i="86"/>
  <c r="S387" i="86" s="1"/>
  <c r="I496" i="85" s="1"/>
  <c r="R383" i="86"/>
  <c r="S383" i="86" s="1"/>
  <c r="I492" i="85" s="1"/>
  <c r="R379" i="86"/>
  <c r="S379" i="86" s="1"/>
  <c r="I488" i="85" s="1"/>
  <c r="R375" i="86"/>
  <c r="S375" i="86" s="1"/>
  <c r="I484" i="85" s="1"/>
  <c r="R371" i="86"/>
  <c r="S371" i="86" s="1"/>
  <c r="I480" i="85" s="1"/>
  <c r="R367" i="86"/>
  <c r="S367" i="86" s="1"/>
  <c r="I476" i="85" s="1"/>
  <c r="R363" i="86"/>
  <c r="S363" i="86" s="1"/>
  <c r="I472" i="85" s="1"/>
  <c r="R359" i="86"/>
  <c r="S359" i="86" s="1"/>
  <c r="I468" i="85" s="1"/>
  <c r="R355" i="86"/>
  <c r="S355" i="86" s="1"/>
  <c r="I464" i="85" s="1"/>
  <c r="R351" i="86"/>
  <c r="S351" i="86" s="1"/>
  <c r="I460" i="85" s="1"/>
  <c r="R349" i="86"/>
  <c r="S349" i="86" s="1"/>
  <c r="I458" i="85" s="1"/>
  <c r="R347" i="86"/>
  <c r="S347" i="86" s="1"/>
  <c r="I456" i="85" s="1"/>
  <c r="R345" i="86"/>
  <c r="S345" i="86" s="1"/>
  <c r="I454" i="85" s="1"/>
  <c r="R343" i="86"/>
  <c r="S343" i="86" s="1"/>
  <c r="I452" i="85" s="1"/>
  <c r="R341" i="86"/>
  <c r="S341" i="86" s="1"/>
  <c r="I450" i="85" s="1"/>
  <c r="R339" i="86"/>
  <c r="S339" i="86" s="1"/>
  <c r="I448" i="85" s="1"/>
  <c r="R337" i="86"/>
  <c r="S337" i="86" s="1"/>
  <c r="I446" i="85" s="1"/>
  <c r="R335" i="86"/>
  <c r="S335" i="86" s="1"/>
  <c r="I444" i="85" s="1"/>
  <c r="R333" i="86"/>
  <c r="S333" i="86" s="1"/>
  <c r="I442" i="85" s="1"/>
  <c r="R331" i="86"/>
  <c r="S331" i="86" s="1"/>
  <c r="I440" i="85" s="1"/>
  <c r="R329" i="86"/>
  <c r="S329" i="86" s="1"/>
  <c r="I438" i="85" s="1"/>
  <c r="R327" i="86"/>
  <c r="S327" i="86" s="1"/>
  <c r="I436" i="85" s="1"/>
  <c r="R325" i="86"/>
  <c r="S325" i="86" s="1"/>
  <c r="I434" i="85" s="1"/>
  <c r="R323" i="86"/>
  <c r="S323" i="86" s="1"/>
  <c r="I432" i="85" s="1"/>
  <c r="R321" i="86"/>
  <c r="S321" i="86" s="1"/>
  <c r="I430" i="85" s="1"/>
  <c r="R319" i="86"/>
  <c r="S319" i="86" s="1"/>
  <c r="I428" i="85" s="1"/>
  <c r="R317" i="86"/>
  <c r="S317" i="86" s="1"/>
  <c r="I426" i="85" s="1"/>
  <c r="R315" i="86"/>
  <c r="S315" i="86" s="1"/>
  <c r="I424" i="85" s="1"/>
  <c r="R313" i="86"/>
  <c r="S313" i="86" s="1"/>
  <c r="I422" i="85" s="1"/>
  <c r="R311" i="86"/>
  <c r="S311" i="86" s="1"/>
  <c r="I420" i="85" s="1"/>
  <c r="R309" i="86"/>
  <c r="S309" i="86" s="1"/>
  <c r="I418" i="85" s="1"/>
  <c r="R307" i="86"/>
  <c r="S307" i="86" s="1"/>
  <c r="I416" i="85" s="1"/>
  <c r="R517" i="86"/>
  <c r="S517" i="86" s="1"/>
  <c r="I626" i="85" s="1"/>
  <c r="R513" i="86"/>
  <c r="S513" i="86" s="1"/>
  <c r="I622" i="85" s="1"/>
  <c r="R509" i="86"/>
  <c r="S509" i="86" s="1"/>
  <c r="I618" i="85" s="1"/>
  <c r="R505" i="86"/>
  <c r="S505" i="86" s="1"/>
  <c r="I614" i="85" s="1"/>
  <c r="R501" i="86"/>
  <c r="S501" i="86" s="1"/>
  <c r="I610" i="85" s="1"/>
  <c r="R497" i="86"/>
  <c r="S497" i="86" s="1"/>
  <c r="I606" i="85" s="1"/>
  <c r="R493" i="86"/>
  <c r="S493" i="86" s="1"/>
  <c r="I602" i="85" s="1"/>
  <c r="R489" i="86"/>
  <c r="S489" i="86" s="1"/>
  <c r="I598" i="85" s="1"/>
  <c r="R485" i="86"/>
  <c r="S485" i="86" s="1"/>
  <c r="I594" i="85" s="1"/>
  <c r="R481" i="86"/>
  <c r="S481" i="86" s="1"/>
  <c r="I590" i="85" s="1"/>
  <c r="R477" i="86"/>
  <c r="S477" i="86" s="1"/>
  <c r="I586" i="85" s="1"/>
  <c r="R473" i="86"/>
  <c r="S473" i="86" s="1"/>
  <c r="I582" i="85" s="1"/>
  <c r="R469" i="86"/>
  <c r="S469" i="86" s="1"/>
  <c r="I578" i="85" s="1"/>
  <c r="R465" i="86"/>
  <c r="S465" i="86" s="1"/>
  <c r="I574" i="85" s="1"/>
  <c r="R461" i="86"/>
  <c r="S461" i="86" s="1"/>
  <c r="I570" i="85" s="1"/>
  <c r="R457" i="86"/>
  <c r="S457" i="86" s="1"/>
  <c r="I566" i="85" s="1"/>
  <c r="R453" i="86"/>
  <c r="S453" i="86" s="1"/>
  <c r="I562" i="85" s="1"/>
  <c r="R449" i="86"/>
  <c r="S449" i="86" s="1"/>
  <c r="I558" i="85" s="1"/>
  <c r="R445" i="86"/>
  <c r="S445" i="86" s="1"/>
  <c r="I554" i="85" s="1"/>
  <c r="R441" i="86"/>
  <c r="S441" i="86" s="1"/>
  <c r="I550" i="85" s="1"/>
  <c r="R437" i="86"/>
  <c r="S437" i="86" s="1"/>
  <c r="I546" i="85" s="1"/>
  <c r="R433" i="86"/>
  <c r="S433" i="86" s="1"/>
  <c r="I542" i="85" s="1"/>
  <c r="R429" i="86"/>
  <c r="S429" i="86" s="1"/>
  <c r="I538" i="85" s="1"/>
  <c r="R425" i="86"/>
  <c r="S425" i="86" s="1"/>
  <c r="I534" i="85" s="1"/>
  <c r="R421" i="86"/>
  <c r="S421" i="86" s="1"/>
  <c r="I530" i="85" s="1"/>
  <c r="R417" i="86"/>
  <c r="S417" i="86" s="1"/>
  <c r="I526" i="85" s="1"/>
  <c r="R413" i="86"/>
  <c r="S413" i="86" s="1"/>
  <c r="I522" i="85" s="1"/>
  <c r="R409" i="86"/>
  <c r="S409" i="86" s="1"/>
  <c r="I518" i="85" s="1"/>
  <c r="R405" i="86"/>
  <c r="S405" i="86" s="1"/>
  <c r="I514" i="85" s="1"/>
  <c r="R401" i="86"/>
  <c r="S401" i="86" s="1"/>
  <c r="I510" i="85" s="1"/>
  <c r="R397" i="86"/>
  <c r="S397" i="86" s="1"/>
  <c r="I506" i="85" s="1"/>
  <c r="R393" i="86"/>
  <c r="S393" i="86" s="1"/>
  <c r="I502" i="85" s="1"/>
  <c r="R389" i="86"/>
  <c r="S389" i="86" s="1"/>
  <c r="I498" i="85" s="1"/>
  <c r="R385" i="86"/>
  <c r="S385" i="86" s="1"/>
  <c r="I494" i="85" s="1"/>
  <c r="R381" i="86"/>
  <c r="S381" i="86" s="1"/>
  <c r="I490" i="85" s="1"/>
  <c r="R377" i="86"/>
  <c r="S377" i="86" s="1"/>
  <c r="I486" i="85" s="1"/>
  <c r="R373" i="86"/>
  <c r="S373" i="86" s="1"/>
  <c r="I482" i="85" s="1"/>
  <c r="R369" i="86"/>
  <c r="S369" i="86" s="1"/>
  <c r="I478" i="85" s="1"/>
  <c r="R365" i="86"/>
  <c r="S365" i="86" s="1"/>
  <c r="I474" i="85" s="1"/>
  <c r="R361" i="86"/>
  <c r="S361" i="86" s="1"/>
  <c r="I470" i="85" s="1"/>
  <c r="R357" i="86"/>
  <c r="S357" i="86" s="1"/>
  <c r="I466" i="85" s="1"/>
  <c r="R353" i="86"/>
  <c r="S353" i="86" s="1"/>
  <c r="I462" i="85" s="1"/>
  <c r="R350" i="86"/>
  <c r="S350" i="86" s="1"/>
  <c r="I459" i="85" s="1"/>
  <c r="R348" i="86"/>
  <c r="S348" i="86" s="1"/>
  <c r="I457" i="85" s="1"/>
  <c r="R346" i="86"/>
  <c r="S346" i="86" s="1"/>
  <c r="I455" i="85" s="1"/>
  <c r="R344" i="86"/>
  <c r="S344" i="86" s="1"/>
  <c r="I453" i="85" s="1"/>
  <c r="R342" i="86"/>
  <c r="S342" i="86" s="1"/>
  <c r="I451" i="85" s="1"/>
  <c r="R340" i="86"/>
  <c r="S340" i="86" s="1"/>
  <c r="I449" i="85" s="1"/>
  <c r="R338" i="86"/>
  <c r="S338" i="86" s="1"/>
  <c r="I447" i="85" s="1"/>
  <c r="R336" i="86"/>
  <c r="S336" i="86" s="1"/>
  <c r="I445" i="85" s="1"/>
  <c r="R334" i="86"/>
  <c r="S334" i="86" s="1"/>
  <c r="I443" i="85" s="1"/>
  <c r="R332" i="86"/>
  <c r="S332" i="86" s="1"/>
  <c r="I441" i="85" s="1"/>
  <c r="R330" i="86"/>
  <c r="S330" i="86" s="1"/>
  <c r="I439" i="85" s="1"/>
  <c r="R328" i="86"/>
  <c r="S328" i="86" s="1"/>
  <c r="I437" i="85" s="1"/>
  <c r="R326" i="86"/>
  <c r="S326" i="86" s="1"/>
  <c r="I435" i="85" s="1"/>
  <c r="R324" i="86"/>
  <c r="S324" i="86" s="1"/>
  <c r="I433" i="85" s="1"/>
  <c r="R322" i="86"/>
  <c r="S322" i="86" s="1"/>
  <c r="I431" i="85" s="1"/>
  <c r="R320" i="86"/>
  <c r="S320" i="86" s="1"/>
  <c r="I429" i="85" s="1"/>
  <c r="R318" i="86"/>
  <c r="S318" i="86" s="1"/>
  <c r="I427" i="85" s="1"/>
  <c r="R316" i="86"/>
  <c r="S316" i="86" s="1"/>
  <c r="I425" i="85" s="1"/>
  <c r="R314" i="86"/>
  <c r="S314" i="86" s="1"/>
  <c r="I423" i="85" s="1"/>
  <c r="R312" i="86"/>
  <c r="S312" i="86" s="1"/>
  <c r="I421" i="85" s="1"/>
  <c r="R310" i="86"/>
  <c r="S310" i="86" s="1"/>
  <c r="I419" i="85" s="1"/>
  <c r="R308" i="86"/>
  <c r="S308" i="86" s="1"/>
  <c r="I417" i="85" s="1"/>
  <c r="R306" i="86"/>
  <c r="S306" i="86" s="1"/>
  <c r="I415" i="85" s="1"/>
  <c r="R305" i="86"/>
  <c r="S305" i="86" s="1"/>
  <c r="I414" i="85" s="1"/>
  <c r="R304" i="86"/>
  <c r="S304" i="86" s="1"/>
  <c r="I413" i="85" s="1"/>
  <c r="R303" i="86"/>
  <c r="S303" i="86" s="1"/>
  <c r="I412" i="85" s="1"/>
  <c r="R302" i="86"/>
  <c r="S302" i="86" s="1"/>
  <c r="I411" i="85" s="1"/>
  <c r="R301" i="86"/>
  <c r="S301" i="86" s="1"/>
  <c r="I410" i="85" s="1"/>
  <c r="R300" i="86"/>
  <c r="S300" i="86" s="1"/>
  <c r="I409" i="85" s="1"/>
  <c r="R299" i="86"/>
  <c r="S299" i="86" s="1"/>
  <c r="I408" i="85" s="1"/>
  <c r="R298" i="86"/>
  <c r="S298" i="86" s="1"/>
  <c r="I407" i="85" s="1"/>
  <c r="R297" i="86"/>
  <c r="S297" i="86" s="1"/>
  <c r="I406" i="85" s="1"/>
  <c r="R296" i="86"/>
  <c r="S296" i="86" s="1"/>
  <c r="I405" i="85" s="1"/>
  <c r="R295" i="86"/>
  <c r="S295" i="86" s="1"/>
  <c r="I404" i="85" s="1"/>
  <c r="R294" i="86"/>
  <c r="S294" i="86" s="1"/>
  <c r="I403" i="85" s="1"/>
  <c r="R293" i="86"/>
  <c r="S293" i="86" s="1"/>
  <c r="I402" i="85" s="1"/>
  <c r="R292" i="86"/>
  <c r="S292" i="86" s="1"/>
  <c r="I401" i="85" s="1"/>
  <c r="R291" i="86"/>
  <c r="S291" i="86" s="1"/>
  <c r="I400" i="85" s="1"/>
  <c r="R290" i="86"/>
  <c r="S290" i="86" s="1"/>
  <c r="I399" i="85" s="1"/>
  <c r="R289" i="86"/>
  <c r="S289" i="86" s="1"/>
  <c r="I398" i="85" s="1"/>
  <c r="R288" i="86"/>
  <c r="S288" i="86" s="1"/>
  <c r="I397" i="85" s="1"/>
  <c r="R287" i="86"/>
  <c r="S287" i="86" s="1"/>
  <c r="I396" i="85" s="1"/>
  <c r="R286" i="86"/>
  <c r="S286" i="86" s="1"/>
  <c r="I395" i="85" s="1"/>
  <c r="R285" i="86"/>
  <c r="S285" i="86" s="1"/>
  <c r="I394" i="85" s="1"/>
  <c r="R284" i="86"/>
  <c r="S284" i="86" s="1"/>
  <c r="I393" i="85" s="1"/>
  <c r="R283" i="86"/>
  <c r="S283" i="86" s="1"/>
  <c r="I392" i="85" s="1"/>
  <c r="R282" i="86"/>
  <c r="S282" i="86" s="1"/>
  <c r="I391" i="85" s="1"/>
  <c r="R281" i="86"/>
  <c r="S281" i="86" s="1"/>
  <c r="I390" i="85" s="1"/>
  <c r="R280" i="86"/>
  <c r="S280" i="86" s="1"/>
  <c r="I389" i="85" s="1"/>
  <c r="R279" i="86"/>
  <c r="S279" i="86" s="1"/>
  <c r="I388" i="85" s="1"/>
  <c r="R278" i="86"/>
  <c r="S278" i="86" s="1"/>
  <c r="I387" i="85" s="1"/>
  <c r="R277" i="86"/>
  <c r="S277" i="86" s="1"/>
  <c r="I386" i="85" s="1"/>
  <c r="R276" i="86"/>
  <c r="S276" i="86" s="1"/>
  <c r="I385" i="85" s="1"/>
  <c r="R275" i="86"/>
  <c r="S275" i="86" s="1"/>
  <c r="I384" i="85" s="1"/>
  <c r="R274" i="86"/>
  <c r="S274" i="86" s="1"/>
  <c r="I383" i="85" s="1"/>
  <c r="R273" i="86"/>
  <c r="S273" i="86" s="1"/>
  <c r="I382" i="85" s="1"/>
  <c r="R272" i="86"/>
  <c r="S272" i="86" s="1"/>
  <c r="I381" i="85" s="1"/>
  <c r="R271" i="86"/>
  <c r="S271" i="86" s="1"/>
  <c r="I380" i="85" s="1"/>
  <c r="R268" i="86"/>
  <c r="S268" i="86" s="1"/>
  <c r="I281" i="85" s="1"/>
  <c r="R270" i="86"/>
  <c r="S270" i="86" s="1"/>
  <c r="I379" i="85" s="1"/>
  <c r="R267" i="86"/>
  <c r="S267" i="86" s="1"/>
  <c r="I280" i="85" s="1"/>
  <c r="R265" i="86"/>
  <c r="S265" i="86" s="1"/>
  <c r="I278" i="85" s="1"/>
  <c r="R263" i="86"/>
  <c r="S263" i="86" s="1"/>
  <c r="I276" i="85" s="1"/>
  <c r="R261" i="86"/>
  <c r="S261" i="86" s="1"/>
  <c r="I274" i="85" s="1"/>
  <c r="R259" i="86"/>
  <c r="S259" i="86" s="1"/>
  <c r="I272" i="85" s="1"/>
  <c r="R257" i="86"/>
  <c r="S257" i="86" s="1"/>
  <c r="I270" i="85" s="1"/>
  <c r="R255" i="86"/>
  <c r="S255" i="86" s="1"/>
  <c r="I268" i="85" s="1"/>
  <c r="R253" i="86"/>
  <c r="S253" i="86" s="1"/>
  <c r="I266" i="85" s="1"/>
  <c r="R251" i="86"/>
  <c r="S251" i="86" s="1"/>
  <c r="I264" i="85" s="1"/>
  <c r="R249" i="86"/>
  <c r="S249" i="86" s="1"/>
  <c r="I262" i="85" s="1"/>
  <c r="R247" i="86"/>
  <c r="S247" i="86" s="1"/>
  <c r="I260" i="85" s="1"/>
  <c r="R245" i="86"/>
  <c r="S245" i="86" s="1"/>
  <c r="I258" i="85" s="1"/>
  <c r="R243" i="86"/>
  <c r="S243" i="86" s="1"/>
  <c r="I256" i="85" s="1"/>
  <c r="R241" i="86"/>
  <c r="S241" i="86" s="1"/>
  <c r="I254" i="85" s="1"/>
  <c r="R239" i="86"/>
  <c r="S239" i="86" s="1"/>
  <c r="I252" i="85" s="1"/>
  <c r="R237" i="86"/>
  <c r="S237" i="86" s="1"/>
  <c r="I250" i="85" s="1"/>
  <c r="R235" i="86"/>
  <c r="S235" i="86" s="1"/>
  <c r="I248" i="85" s="1"/>
  <c r="R233" i="86"/>
  <c r="S233" i="86" s="1"/>
  <c r="I246" i="85" s="1"/>
  <c r="R231" i="86"/>
  <c r="S231" i="86" s="1"/>
  <c r="I244" i="85" s="1"/>
  <c r="R266" i="86"/>
  <c r="S266" i="86" s="1"/>
  <c r="I279" i="85" s="1"/>
  <c r="R264" i="86"/>
  <c r="S264" i="86" s="1"/>
  <c r="I277" i="85" s="1"/>
  <c r="R262" i="86"/>
  <c r="S262" i="86" s="1"/>
  <c r="I275" i="85" s="1"/>
  <c r="R260" i="86"/>
  <c r="S260" i="86" s="1"/>
  <c r="I273" i="85" s="1"/>
  <c r="R258" i="86"/>
  <c r="S258" i="86" s="1"/>
  <c r="I271" i="85" s="1"/>
  <c r="R256" i="86"/>
  <c r="S256" i="86" s="1"/>
  <c r="I269" i="85" s="1"/>
  <c r="R254" i="86"/>
  <c r="S254" i="86" s="1"/>
  <c r="I267" i="85" s="1"/>
  <c r="R252" i="86"/>
  <c r="S252" i="86" s="1"/>
  <c r="I265" i="85" s="1"/>
  <c r="R250" i="86"/>
  <c r="S250" i="86" s="1"/>
  <c r="I263" i="85" s="1"/>
  <c r="R248" i="86"/>
  <c r="S248" i="86" s="1"/>
  <c r="I261" i="85" s="1"/>
  <c r="R246" i="86"/>
  <c r="S246" i="86" s="1"/>
  <c r="I259" i="85" s="1"/>
  <c r="R244" i="86"/>
  <c r="S244" i="86" s="1"/>
  <c r="I257" i="85" s="1"/>
  <c r="R242" i="86"/>
  <c r="S242" i="86" s="1"/>
  <c r="I255" i="85" s="1"/>
  <c r="R240" i="86"/>
  <c r="S240" i="86" s="1"/>
  <c r="I253" i="85" s="1"/>
  <c r="R238" i="86"/>
  <c r="S238" i="86" s="1"/>
  <c r="I251" i="85" s="1"/>
  <c r="R236" i="86"/>
  <c r="S236" i="86" s="1"/>
  <c r="I249" i="85" s="1"/>
  <c r="R234" i="86"/>
  <c r="S234" i="86" s="1"/>
  <c r="I247" i="85" s="1"/>
  <c r="R232" i="86"/>
  <c r="S232" i="86" s="1"/>
  <c r="I245" i="85" s="1"/>
  <c r="R229" i="86"/>
  <c r="S229" i="86" s="1"/>
  <c r="I242" i="85" s="1"/>
  <c r="R227" i="86"/>
  <c r="S227" i="86" s="1"/>
  <c r="I240" i="85" s="1"/>
  <c r="R225" i="86"/>
  <c r="S225" i="86" s="1"/>
  <c r="I238" i="85" s="1"/>
  <c r="R223" i="86"/>
  <c r="S223" i="86" s="1"/>
  <c r="I236" i="85" s="1"/>
  <c r="R230" i="86"/>
  <c r="S230" i="86" s="1"/>
  <c r="I243" i="85" s="1"/>
  <c r="R228" i="86"/>
  <c r="S228" i="86" s="1"/>
  <c r="I241" i="85" s="1"/>
  <c r="R226" i="86"/>
  <c r="S226" i="86" s="1"/>
  <c r="I239" i="85" s="1"/>
  <c r="R224" i="86"/>
  <c r="S224" i="86" s="1"/>
  <c r="I237" i="85" s="1"/>
  <c r="R221" i="86"/>
  <c r="S221" i="86" s="1"/>
  <c r="I234" i="85" s="1"/>
  <c r="R219" i="86"/>
  <c r="S219" i="86" s="1"/>
  <c r="I232" i="85" s="1"/>
  <c r="R217" i="86"/>
  <c r="S217" i="86" s="1"/>
  <c r="R215" i="86"/>
  <c r="S215" i="86" s="1"/>
  <c r="R213" i="86"/>
  <c r="S213" i="86" s="1"/>
  <c r="R211" i="86"/>
  <c r="S211" i="86" s="1"/>
  <c r="I224" i="85" s="1"/>
  <c r="R209" i="86"/>
  <c r="S209" i="86" s="1"/>
  <c r="I222" i="85" s="1"/>
  <c r="R222" i="86"/>
  <c r="S222" i="86" s="1"/>
  <c r="I235" i="85" s="1"/>
  <c r="R220" i="86"/>
  <c r="S220" i="86" s="1"/>
  <c r="I233" i="85" s="1"/>
  <c r="R218" i="86"/>
  <c r="S218" i="86" s="1"/>
  <c r="R216" i="86"/>
  <c r="S216" i="86" s="1"/>
  <c r="R214" i="86"/>
  <c r="S214" i="86" s="1"/>
  <c r="R212" i="86"/>
  <c r="S212" i="86" s="1"/>
  <c r="R210" i="86"/>
  <c r="S210" i="86" s="1"/>
  <c r="I223" i="85" s="1"/>
  <c r="R207" i="86"/>
  <c r="S207" i="86" s="1"/>
  <c r="I220" i="85" s="1"/>
  <c r="R205" i="86"/>
  <c r="S205" i="86" s="1"/>
  <c r="I218" i="85" s="1"/>
  <c r="R203" i="86"/>
  <c r="S203" i="86" s="1"/>
  <c r="I216" i="85" s="1"/>
  <c r="R201" i="86"/>
  <c r="S201" i="86" s="1"/>
  <c r="I214" i="85" s="1"/>
  <c r="R199" i="86"/>
  <c r="S199" i="86" s="1"/>
  <c r="I212" i="85" s="1"/>
  <c r="R197" i="86"/>
  <c r="S197" i="86" s="1"/>
  <c r="I210" i="85" s="1"/>
  <c r="R195" i="86"/>
  <c r="S195" i="86" s="1"/>
  <c r="I208" i="85" s="1"/>
  <c r="R193" i="86"/>
  <c r="S193" i="86" s="1"/>
  <c r="I206" i="85" s="1"/>
  <c r="R208" i="86"/>
  <c r="S208" i="86" s="1"/>
  <c r="I221" i="85" s="1"/>
  <c r="R206" i="86"/>
  <c r="S206" i="86" s="1"/>
  <c r="I219" i="85" s="1"/>
  <c r="R204" i="86"/>
  <c r="S204" i="86" s="1"/>
  <c r="I217" i="85" s="1"/>
  <c r="R202" i="86"/>
  <c r="S202" i="86" s="1"/>
  <c r="I215" i="85" s="1"/>
  <c r="R200" i="86"/>
  <c r="S200" i="86" s="1"/>
  <c r="I213" i="85" s="1"/>
  <c r="R198" i="86"/>
  <c r="S198" i="86" s="1"/>
  <c r="I211" i="85" s="1"/>
  <c r="R196" i="86"/>
  <c r="S196" i="86" s="1"/>
  <c r="I209" i="85" s="1"/>
  <c r="R194" i="86"/>
  <c r="S194" i="86" s="1"/>
  <c r="I207" i="85" s="1"/>
  <c r="R192" i="86"/>
  <c r="S192" i="86" s="1"/>
  <c r="I205" i="85" s="1"/>
  <c r="R190" i="86"/>
  <c r="S190" i="86" s="1"/>
  <c r="I203" i="85" s="1"/>
  <c r="R188" i="86"/>
  <c r="S188" i="86" s="1"/>
  <c r="I201" i="85" s="1"/>
  <c r="R186" i="86"/>
  <c r="S186" i="86" s="1"/>
  <c r="I199" i="85" s="1"/>
  <c r="R184" i="86"/>
  <c r="S184" i="86" s="1"/>
  <c r="I197" i="85" s="1"/>
  <c r="R182" i="86"/>
  <c r="S182" i="86" s="1"/>
  <c r="I195" i="85" s="1"/>
  <c r="R191" i="86"/>
  <c r="S191" i="86" s="1"/>
  <c r="I204" i="85" s="1"/>
  <c r="R189" i="86"/>
  <c r="S189" i="86" s="1"/>
  <c r="I202" i="85" s="1"/>
  <c r="R187" i="86"/>
  <c r="S187" i="86" s="1"/>
  <c r="I200" i="85" s="1"/>
  <c r="R185" i="86"/>
  <c r="S185" i="86" s="1"/>
  <c r="I198" i="85" s="1"/>
  <c r="R183" i="86"/>
  <c r="S183" i="86" s="1"/>
  <c r="I196" i="85" s="1"/>
  <c r="R181" i="86"/>
  <c r="S181" i="86" s="1"/>
  <c r="I194" i="85" s="1"/>
  <c r="R179" i="86"/>
  <c r="S179" i="86" s="1"/>
  <c r="I192" i="85" s="1"/>
  <c r="R177" i="86"/>
  <c r="S177" i="86" s="1"/>
  <c r="I190" i="85" s="1"/>
  <c r="R175" i="86"/>
  <c r="S175" i="86" s="1"/>
  <c r="I188" i="85" s="1"/>
  <c r="R173" i="86"/>
  <c r="S173" i="86" s="1"/>
  <c r="I186" i="85" s="1"/>
  <c r="R171" i="86"/>
  <c r="S171" i="86" s="1"/>
  <c r="I184" i="85" s="1"/>
  <c r="R169" i="86"/>
  <c r="S169" i="86" s="1"/>
  <c r="I182" i="85" s="1"/>
  <c r="R180" i="86"/>
  <c r="S180" i="86" s="1"/>
  <c r="I193" i="85" s="1"/>
  <c r="R178" i="86"/>
  <c r="S178" i="86" s="1"/>
  <c r="I191" i="85" s="1"/>
  <c r="R176" i="86"/>
  <c r="S176" i="86" s="1"/>
  <c r="I189" i="85" s="1"/>
  <c r="R174" i="86"/>
  <c r="S174" i="86" s="1"/>
  <c r="I187" i="85" s="1"/>
  <c r="R172" i="86"/>
  <c r="S172" i="86" s="1"/>
  <c r="I185" i="85" s="1"/>
  <c r="R170" i="86"/>
  <c r="S170" i="86" s="1"/>
  <c r="I183" i="85" s="1"/>
  <c r="R167" i="86"/>
  <c r="S167" i="86" s="1"/>
  <c r="I180" i="85" s="1"/>
  <c r="R165" i="86"/>
  <c r="S165" i="86" s="1"/>
  <c r="I178" i="85" s="1"/>
  <c r="R163" i="86"/>
  <c r="S163" i="86" s="1"/>
  <c r="I176" i="85" s="1"/>
  <c r="R161" i="86"/>
  <c r="S161" i="86" s="1"/>
  <c r="I174" i="85" s="1"/>
  <c r="R168" i="86"/>
  <c r="S168" i="86" s="1"/>
  <c r="I181" i="85" s="1"/>
  <c r="R166" i="86"/>
  <c r="S166" i="86" s="1"/>
  <c r="I179" i="85" s="1"/>
  <c r="R164" i="86"/>
  <c r="S164" i="86" s="1"/>
  <c r="I177" i="85" s="1"/>
  <c r="R162" i="86"/>
  <c r="S162" i="86" s="1"/>
  <c r="I175" i="85" s="1"/>
  <c r="R160" i="86"/>
  <c r="S160" i="86" s="1"/>
  <c r="I173" i="85" s="1"/>
  <c r="R159" i="86"/>
  <c r="S159" i="86" s="1"/>
  <c r="I172" i="85" s="1"/>
  <c r="R157" i="86"/>
  <c r="S157" i="86" s="1"/>
  <c r="I170" i="85" s="1"/>
  <c r="R155" i="86"/>
  <c r="S155" i="86" s="1"/>
  <c r="I168" i="85" s="1"/>
  <c r="R153" i="86"/>
  <c r="S153" i="86" s="1"/>
  <c r="I166" i="85" s="1"/>
  <c r="R151" i="86"/>
  <c r="S151" i="86" s="1"/>
  <c r="I164" i="85" s="1"/>
  <c r="R149" i="86"/>
  <c r="S149" i="86" s="1"/>
  <c r="I162" i="85" s="1"/>
  <c r="R147" i="86"/>
  <c r="S147" i="86" s="1"/>
  <c r="I160" i="85" s="1"/>
  <c r="R145" i="86"/>
  <c r="S145" i="86" s="1"/>
  <c r="I158" i="85" s="1"/>
  <c r="R143" i="86"/>
  <c r="S143" i="86" s="1"/>
  <c r="I156" i="85" s="1"/>
  <c r="R141" i="86"/>
  <c r="S141" i="86" s="1"/>
  <c r="I154" i="85" s="1"/>
  <c r="R139" i="86"/>
  <c r="S139" i="86" s="1"/>
  <c r="I152" i="85" s="1"/>
  <c r="R137" i="86"/>
  <c r="S137" i="86" s="1"/>
  <c r="I150" i="85" s="1"/>
  <c r="R135" i="86"/>
  <c r="S135" i="86" s="1"/>
  <c r="I148" i="85" s="1"/>
  <c r="R133" i="86"/>
  <c r="S133" i="86" s="1"/>
  <c r="I146" i="85" s="1"/>
  <c r="R158" i="86"/>
  <c r="S158" i="86" s="1"/>
  <c r="I171" i="85" s="1"/>
  <c r="R156" i="86"/>
  <c r="S156" i="86" s="1"/>
  <c r="I169" i="85" s="1"/>
  <c r="R154" i="86"/>
  <c r="S154" i="86" s="1"/>
  <c r="I167" i="85" s="1"/>
  <c r="R152" i="86"/>
  <c r="S152" i="86" s="1"/>
  <c r="I165" i="85" s="1"/>
  <c r="R150" i="86"/>
  <c r="S150" i="86" s="1"/>
  <c r="I163" i="85" s="1"/>
  <c r="R148" i="86"/>
  <c r="S148" i="86" s="1"/>
  <c r="I161" i="85" s="1"/>
  <c r="R146" i="86"/>
  <c r="S146" i="86" s="1"/>
  <c r="I159" i="85" s="1"/>
  <c r="R144" i="86"/>
  <c r="S144" i="86" s="1"/>
  <c r="I157" i="85" s="1"/>
  <c r="R142" i="86"/>
  <c r="S142" i="86" s="1"/>
  <c r="I155" i="85" s="1"/>
  <c r="R140" i="86"/>
  <c r="S140" i="86" s="1"/>
  <c r="I153" i="85" s="1"/>
  <c r="R138" i="86"/>
  <c r="S138" i="86" s="1"/>
  <c r="I151" i="85" s="1"/>
  <c r="R136" i="86"/>
  <c r="S136" i="86" s="1"/>
  <c r="I149" i="85" s="1"/>
  <c r="R134" i="86"/>
  <c r="S134" i="86" s="1"/>
  <c r="I147" i="85" s="1"/>
  <c r="R131" i="86"/>
  <c r="S131" i="86" s="1"/>
  <c r="I144" i="85" s="1"/>
  <c r="R129" i="86"/>
  <c r="S129" i="86" s="1"/>
  <c r="I142" i="85" s="1"/>
  <c r="R127" i="86"/>
  <c r="S127" i="86" s="1"/>
  <c r="I140" i="85" s="1"/>
  <c r="R125" i="86"/>
  <c r="S125" i="86" s="1"/>
  <c r="I138" i="85" s="1"/>
  <c r="R123" i="86"/>
  <c r="S123" i="86" s="1"/>
  <c r="I136" i="85" s="1"/>
  <c r="R132" i="86"/>
  <c r="S132" i="86" s="1"/>
  <c r="I145" i="85" s="1"/>
  <c r="R130" i="86"/>
  <c r="S130" i="86" s="1"/>
  <c r="I143" i="85" s="1"/>
  <c r="R128" i="86"/>
  <c r="S128" i="86" s="1"/>
  <c r="I141" i="85" s="1"/>
  <c r="R126" i="86"/>
  <c r="S126" i="86" s="1"/>
  <c r="I139" i="85" s="1"/>
  <c r="R124" i="86"/>
  <c r="S124" i="86" s="1"/>
  <c r="I137" i="85" s="1"/>
  <c r="R121" i="86"/>
  <c r="S121" i="86" s="1"/>
  <c r="I134" i="85" s="1"/>
  <c r="R119" i="86"/>
  <c r="S119" i="86" s="1"/>
  <c r="I132" i="85" s="1"/>
  <c r="R117" i="86"/>
  <c r="S117" i="86" s="1"/>
  <c r="I130" i="85" s="1"/>
  <c r="R122" i="86"/>
  <c r="S122" i="86" s="1"/>
  <c r="I135" i="85" s="1"/>
  <c r="R120" i="86"/>
  <c r="S120" i="86" s="1"/>
  <c r="I133" i="85" s="1"/>
  <c r="R118" i="86"/>
  <c r="S118" i="86" s="1"/>
  <c r="I131" i="85" s="1"/>
  <c r="R116" i="86"/>
  <c r="S116" i="86" s="1"/>
  <c r="I129" i="85" s="1"/>
  <c r="R115" i="86"/>
  <c r="S115" i="86" s="1"/>
  <c r="I128" i="85" s="1"/>
  <c r="R113" i="86"/>
  <c r="S113" i="86" s="1"/>
  <c r="I126" i="85" s="1"/>
  <c r="R111" i="86"/>
  <c r="S111" i="86" s="1"/>
  <c r="I124" i="85" s="1"/>
  <c r="R114" i="86"/>
  <c r="S114" i="86" s="1"/>
  <c r="I127" i="85" s="1"/>
  <c r="R112" i="86"/>
  <c r="S112" i="86" s="1"/>
  <c r="I125" i="85" s="1"/>
  <c r="R110" i="86"/>
  <c r="S110" i="86" s="1"/>
  <c r="I123" i="85" s="1"/>
  <c r="R109" i="86"/>
  <c r="S109" i="86" s="1"/>
  <c r="I122" i="85" s="1"/>
  <c r="R107" i="86"/>
  <c r="S107" i="86" s="1"/>
  <c r="I120" i="85" s="1"/>
  <c r="R105" i="86"/>
  <c r="S105" i="86" s="1"/>
  <c r="I118" i="85" s="1"/>
  <c r="R108" i="86"/>
  <c r="S108" i="86" s="1"/>
  <c r="I121" i="85" s="1"/>
  <c r="R106" i="86"/>
  <c r="S106" i="86" s="1"/>
  <c r="I119" i="85" s="1"/>
  <c r="R104" i="86"/>
  <c r="S104" i="86" s="1"/>
  <c r="I117" i="85" s="1"/>
  <c r="R103" i="86"/>
  <c r="S103" i="86" s="1"/>
  <c r="I116" i="85" s="1"/>
  <c r="R101" i="86"/>
  <c r="S101" i="86" s="1"/>
  <c r="I114" i="85" s="1"/>
  <c r="R99" i="86"/>
  <c r="S99" i="86" s="1"/>
  <c r="I112" i="85" s="1"/>
  <c r="R102" i="86"/>
  <c r="S102" i="86" s="1"/>
  <c r="I115" i="85" s="1"/>
  <c r="R100" i="86"/>
  <c r="S100" i="86" s="1"/>
  <c r="I113" i="85" s="1"/>
  <c r="R98" i="86"/>
  <c r="S98" i="86" s="1"/>
  <c r="I111" i="85" s="1"/>
  <c r="R97" i="86"/>
  <c r="S97" i="86" s="1"/>
  <c r="I110" i="85" s="1"/>
  <c r="R95" i="86"/>
  <c r="S95" i="86" s="1"/>
  <c r="I108" i="85" s="1"/>
  <c r="R93" i="86"/>
  <c r="S93" i="86" s="1"/>
  <c r="I106" i="85" s="1"/>
  <c r="R91" i="86"/>
  <c r="S91" i="86" s="1"/>
  <c r="I104" i="85" s="1"/>
  <c r="R89" i="86"/>
  <c r="S89" i="86" s="1"/>
  <c r="I102" i="85" s="1"/>
  <c r="R96" i="86"/>
  <c r="S96" i="86" s="1"/>
  <c r="I109" i="85" s="1"/>
  <c r="R94" i="86"/>
  <c r="S94" i="86" s="1"/>
  <c r="I107" i="85" s="1"/>
  <c r="R92" i="86"/>
  <c r="S92" i="86" s="1"/>
  <c r="I105" i="85" s="1"/>
  <c r="R90" i="86"/>
  <c r="S90" i="86" s="1"/>
  <c r="I103" i="85" s="1"/>
  <c r="R88" i="86"/>
  <c r="S88" i="86" s="1"/>
  <c r="I101" i="85" s="1"/>
  <c r="R87" i="86"/>
  <c r="S87" i="86" s="1"/>
  <c r="I100" i="85" s="1"/>
  <c r="R85" i="86"/>
  <c r="S85" i="86" s="1"/>
  <c r="I98" i="85" s="1"/>
  <c r="R83" i="86"/>
  <c r="S83" i="86" s="1"/>
  <c r="I96" i="85" s="1"/>
  <c r="R81" i="86"/>
  <c r="S81" i="86" s="1"/>
  <c r="I94" i="85" s="1"/>
  <c r="R79" i="86"/>
  <c r="S79" i="86" s="1"/>
  <c r="I92" i="85" s="1"/>
  <c r="R77" i="86"/>
  <c r="S77" i="86" s="1"/>
  <c r="I90" i="85" s="1"/>
  <c r="R75" i="86"/>
  <c r="S75" i="86" s="1"/>
  <c r="I88" i="85" s="1"/>
  <c r="R73" i="86"/>
  <c r="S73" i="86" s="1"/>
  <c r="I86" i="85" s="1"/>
  <c r="R71" i="86"/>
  <c r="S71" i="86" s="1"/>
  <c r="I84" i="85" s="1"/>
  <c r="R86" i="86"/>
  <c r="S86" i="86" s="1"/>
  <c r="I99" i="85" s="1"/>
  <c r="R84" i="86"/>
  <c r="S84" i="86" s="1"/>
  <c r="I97" i="85" s="1"/>
  <c r="R82" i="86"/>
  <c r="S82" i="86" s="1"/>
  <c r="I95" i="85" s="1"/>
  <c r="R80" i="86"/>
  <c r="S80" i="86" s="1"/>
  <c r="I93" i="85" s="1"/>
  <c r="R78" i="86"/>
  <c r="S78" i="86" s="1"/>
  <c r="I91" i="85" s="1"/>
  <c r="R76" i="86"/>
  <c r="S76" i="86" s="1"/>
  <c r="I89" i="85" s="1"/>
  <c r="R74" i="86"/>
  <c r="S74" i="86" s="1"/>
  <c r="I87" i="85" s="1"/>
  <c r="R72" i="86"/>
  <c r="S72" i="86" s="1"/>
  <c r="I85" i="85" s="1"/>
  <c r="R69" i="86"/>
  <c r="S69" i="86" s="1"/>
  <c r="I82" i="85" s="1"/>
  <c r="R67" i="86"/>
  <c r="S67" i="86" s="1"/>
  <c r="I80" i="85" s="1"/>
  <c r="R65" i="86"/>
  <c r="S65" i="86" s="1"/>
  <c r="I78" i="85" s="1"/>
  <c r="R63" i="86"/>
  <c r="S63" i="86" s="1"/>
  <c r="I76" i="85" s="1"/>
  <c r="R61" i="86"/>
  <c r="S61" i="86" s="1"/>
  <c r="I74" i="85" s="1"/>
  <c r="R59" i="86"/>
  <c r="S59" i="86" s="1"/>
  <c r="I72" i="85" s="1"/>
  <c r="R70" i="86"/>
  <c r="S70" i="86" s="1"/>
  <c r="I83" i="85" s="1"/>
  <c r="R68" i="86"/>
  <c r="S68" i="86" s="1"/>
  <c r="I81" i="85" s="1"/>
  <c r="R66" i="86"/>
  <c r="S66" i="86" s="1"/>
  <c r="I79" i="85" s="1"/>
  <c r="R64" i="86"/>
  <c r="S64" i="86" s="1"/>
  <c r="I77" i="85" s="1"/>
  <c r="R62" i="86"/>
  <c r="S62" i="86" s="1"/>
  <c r="I75" i="85" s="1"/>
  <c r="R60" i="86"/>
  <c r="S60" i="86" s="1"/>
  <c r="I73" i="85" s="1"/>
  <c r="R57" i="86"/>
  <c r="S57" i="86" s="1"/>
  <c r="I70" i="85" s="1"/>
  <c r="R55" i="86"/>
  <c r="S55" i="86" s="1"/>
  <c r="I68" i="85" s="1"/>
  <c r="R53" i="86"/>
  <c r="S53" i="86" s="1"/>
  <c r="I66" i="85" s="1"/>
  <c r="R51" i="86"/>
  <c r="S51" i="86" s="1"/>
  <c r="I64" i="85" s="1"/>
  <c r="R49" i="86"/>
  <c r="S49" i="86" s="1"/>
  <c r="I62" i="85" s="1"/>
  <c r="R47" i="86"/>
  <c r="S47" i="86" s="1"/>
  <c r="I60" i="85" s="1"/>
  <c r="R45" i="86"/>
  <c r="S45" i="86" s="1"/>
  <c r="I58" i="85" s="1"/>
  <c r="R43" i="86"/>
  <c r="S43" i="86" s="1"/>
  <c r="I56" i="85" s="1"/>
  <c r="R41" i="86"/>
  <c r="S41" i="86" s="1"/>
  <c r="I54" i="85" s="1"/>
  <c r="R39" i="86"/>
  <c r="S39" i="86" s="1"/>
  <c r="I52" i="85" s="1"/>
  <c r="R37" i="86"/>
  <c r="S37" i="86" s="1"/>
  <c r="I50" i="85" s="1"/>
  <c r="R35" i="86"/>
  <c r="S35" i="86" s="1"/>
  <c r="I48" i="85" s="1"/>
  <c r="R33" i="86"/>
  <c r="S33" i="86" s="1"/>
  <c r="I46" i="85" s="1"/>
  <c r="R31" i="86"/>
  <c r="S31" i="86" s="1"/>
  <c r="I44" i="85" s="1"/>
  <c r="R58" i="86"/>
  <c r="S58" i="86" s="1"/>
  <c r="I71" i="85" s="1"/>
  <c r="R56" i="86"/>
  <c r="S56" i="86" s="1"/>
  <c r="I69" i="85" s="1"/>
  <c r="R54" i="86"/>
  <c r="S54" i="86" s="1"/>
  <c r="I67" i="85" s="1"/>
  <c r="R52" i="86"/>
  <c r="S52" i="86" s="1"/>
  <c r="I65" i="85" s="1"/>
  <c r="R50" i="86"/>
  <c r="S50" i="86" s="1"/>
  <c r="I63" i="85" s="1"/>
  <c r="R48" i="86"/>
  <c r="S48" i="86" s="1"/>
  <c r="I61" i="85" s="1"/>
  <c r="R46" i="86"/>
  <c r="S46" i="86" s="1"/>
  <c r="I59" i="85" s="1"/>
  <c r="R44" i="86"/>
  <c r="S44" i="86" s="1"/>
  <c r="I57" i="85" s="1"/>
  <c r="R42" i="86"/>
  <c r="S42" i="86" s="1"/>
  <c r="I55" i="85" s="1"/>
  <c r="R40" i="86"/>
  <c r="S40" i="86" s="1"/>
  <c r="I53" i="85" s="1"/>
  <c r="R38" i="86"/>
  <c r="S38" i="86" s="1"/>
  <c r="I51" i="85" s="1"/>
  <c r="R36" i="86"/>
  <c r="S36" i="86" s="1"/>
  <c r="I49" i="85" s="1"/>
  <c r="R34" i="86"/>
  <c r="S34" i="86" s="1"/>
  <c r="I47" i="85" s="1"/>
  <c r="R32" i="86"/>
  <c r="S32" i="86" s="1"/>
  <c r="I45" i="85" s="1"/>
  <c r="R26" i="86"/>
  <c r="S26" i="86" s="1"/>
  <c r="I39" i="85" s="1"/>
  <c r="R27" i="86"/>
  <c r="S27" i="86" s="1"/>
  <c r="I40" i="85" s="1"/>
  <c r="R25" i="86"/>
  <c r="S25" i="86" s="1"/>
  <c r="I38" i="85" s="1"/>
  <c r="S24" i="86"/>
  <c r="I231" i="85" s="1"/>
  <c r="R30" i="86"/>
  <c r="S30" i="86" s="1"/>
  <c r="I43" i="85" s="1"/>
  <c r="R28" i="86"/>
  <c r="S28" i="86" s="1"/>
  <c r="I41" i="85" s="1"/>
  <c r="R29" i="86"/>
  <c r="S29" i="86" s="1"/>
  <c r="I42" i="85" s="1"/>
  <c r="B8" i="70"/>
  <c r="B2" i="70" s="1"/>
  <c r="B3" i="70" s="1"/>
  <c r="C102" i="9"/>
  <c r="D22" i="9"/>
  <c r="C21" i="9"/>
  <c r="G19" i="9"/>
  <c r="AN14" i="1" s="1"/>
  <c r="C32" i="83"/>
  <c r="G21" i="83"/>
  <c r="C20" i="9"/>
  <c r="P57" i="89" l="1"/>
  <c r="N58" i="89"/>
  <c r="N59" i="89"/>
  <c r="S22" i="86"/>
  <c r="D16" i="74" s="1"/>
  <c r="G16" i="74" s="1"/>
  <c r="G20" i="9"/>
  <c r="R24" i="31" s="1"/>
  <c r="C103" i="9"/>
  <c r="G21" i="9"/>
  <c r="G15" i="74"/>
  <c r="C35" i="83"/>
  <c r="D35" i="83"/>
  <c r="C32" i="9" l="1"/>
  <c r="I118" i="9" s="1"/>
  <c r="H118" i="9" s="1"/>
  <c r="R86" i="31"/>
  <c r="S86" i="31" s="1"/>
  <c r="I376" i="85" s="1"/>
  <c r="R88" i="31"/>
  <c r="S88" i="31" s="1"/>
  <c r="I378" i="85" s="1"/>
  <c r="R87" i="31"/>
  <c r="S87" i="31" s="1"/>
  <c r="I377" i="85" s="1"/>
  <c r="R85" i="31"/>
  <c r="S85" i="31" s="1"/>
  <c r="I375" i="85" s="1"/>
  <c r="R84" i="31"/>
  <c r="S84" i="31" s="1"/>
  <c r="I374" i="85" s="1"/>
  <c r="R74" i="31"/>
  <c r="S74" i="31" s="1"/>
  <c r="I364" i="85" s="1"/>
  <c r="R76" i="31"/>
  <c r="S76" i="31" s="1"/>
  <c r="I366" i="85" s="1"/>
  <c r="R78" i="31"/>
  <c r="S78" i="31" s="1"/>
  <c r="I368" i="85" s="1"/>
  <c r="R80" i="31"/>
  <c r="S80" i="31" s="1"/>
  <c r="I370" i="85" s="1"/>
  <c r="R82" i="31"/>
  <c r="S82" i="31" s="1"/>
  <c r="I372" i="85" s="1"/>
  <c r="R75" i="31"/>
  <c r="S75" i="31" s="1"/>
  <c r="I365" i="85" s="1"/>
  <c r="R77" i="31"/>
  <c r="S77" i="31" s="1"/>
  <c r="I367" i="85" s="1"/>
  <c r="R79" i="31"/>
  <c r="S79" i="31" s="1"/>
  <c r="I369" i="85" s="1"/>
  <c r="R81" i="31"/>
  <c r="S81" i="31" s="1"/>
  <c r="I371" i="85" s="1"/>
  <c r="R83" i="31"/>
  <c r="S83" i="31" s="1"/>
  <c r="I373" i="85" s="1"/>
  <c r="R71" i="31"/>
  <c r="S71" i="31" s="1"/>
  <c r="I343" i="85" s="1"/>
  <c r="R72" i="31"/>
  <c r="S72" i="31" s="1"/>
  <c r="I344" i="85" s="1"/>
  <c r="R69" i="31"/>
  <c r="S69" i="31" s="1"/>
  <c r="I341" i="85" s="1"/>
  <c r="R68" i="31"/>
  <c r="S68" i="31" s="1"/>
  <c r="I340" i="85" s="1"/>
  <c r="R62" i="31"/>
  <c r="S62" i="31" s="1"/>
  <c r="I334" i="85" s="1"/>
  <c r="R64" i="31"/>
  <c r="S64" i="31" s="1"/>
  <c r="I336" i="85" s="1"/>
  <c r="R66" i="31"/>
  <c r="S66" i="31" s="1"/>
  <c r="I338" i="85" s="1"/>
  <c r="R61" i="31"/>
  <c r="S61" i="31" s="1"/>
  <c r="I333" i="85" s="1"/>
  <c r="R63" i="31"/>
  <c r="S63" i="31" s="1"/>
  <c r="I335" i="85" s="1"/>
  <c r="R65" i="31"/>
  <c r="S65" i="31" s="1"/>
  <c r="I337" i="85" s="1"/>
  <c r="R67" i="31"/>
  <c r="S67" i="31" s="1"/>
  <c r="I339" i="85" s="1"/>
  <c r="R58" i="31"/>
  <c r="S58" i="31" s="1"/>
  <c r="I330" i="85" s="1"/>
  <c r="R60" i="31"/>
  <c r="S60" i="31" s="1"/>
  <c r="I332" i="85" s="1"/>
  <c r="R50" i="31"/>
  <c r="S50" i="31" s="1"/>
  <c r="I322" i="85" s="1"/>
  <c r="R52" i="31"/>
  <c r="S52" i="31" s="1"/>
  <c r="I324" i="85" s="1"/>
  <c r="R54" i="31"/>
  <c r="S54" i="31" s="1"/>
  <c r="I326" i="85" s="1"/>
  <c r="R56" i="31"/>
  <c r="S56" i="31" s="1"/>
  <c r="I328" i="85" s="1"/>
  <c r="R51" i="31"/>
  <c r="S51" i="31" s="1"/>
  <c r="I323" i="85" s="1"/>
  <c r="R53" i="31"/>
  <c r="S53" i="31" s="1"/>
  <c r="I325" i="85" s="1"/>
  <c r="R55" i="31"/>
  <c r="S55" i="31" s="1"/>
  <c r="I327" i="85" s="1"/>
  <c r="R57" i="31"/>
  <c r="S57" i="31" s="1"/>
  <c r="I329" i="85" s="1"/>
  <c r="R44" i="31"/>
  <c r="S44" i="31" s="1"/>
  <c r="I284" i="85" s="1"/>
  <c r="R45" i="31"/>
  <c r="S45" i="31" s="1"/>
  <c r="I285" i="85" s="1"/>
  <c r="R47" i="31"/>
  <c r="S47" i="31" s="1"/>
  <c r="I287" i="85" s="1"/>
  <c r="R49" i="31"/>
  <c r="S49" i="31" s="1"/>
  <c r="I321" i="85" s="1"/>
  <c r="R46" i="31"/>
  <c r="S46" i="31" s="1"/>
  <c r="I286" i="85" s="1"/>
  <c r="R48" i="31"/>
  <c r="S48" i="31" s="1"/>
  <c r="R39" i="31"/>
  <c r="S39" i="31" s="1"/>
  <c r="I227" i="85" s="1"/>
  <c r="R41" i="31"/>
  <c r="S41" i="31" s="1"/>
  <c r="I229" i="85" s="1"/>
  <c r="R38" i="31"/>
  <c r="S38" i="31" s="1"/>
  <c r="I226" i="85" s="1"/>
  <c r="R42" i="31"/>
  <c r="S42" i="31" s="1"/>
  <c r="I230" i="85" s="1"/>
  <c r="R40" i="31"/>
  <c r="S40" i="31" s="1"/>
  <c r="I228" i="85" s="1"/>
  <c r="R36" i="31"/>
  <c r="S36" i="31" s="1"/>
  <c r="R37" i="31"/>
  <c r="S37" i="31" s="1"/>
  <c r="I225" i="85" s="1"/>
  <c r="R32" i="31"/>
  <c r="S32" i="31" s="1"/>
  <c r="I33" i="85" s="1"/>
  <c r="R34" i="31"/>
  <c r="S34" i="31" s="1"/>
  <c r="I35" i="85" s="1"/>
  <c r="R33" i="31"/>
  <c r="S33" i="31" s="1"/>
  <c r="I34" i="85" s="1"/>
  <c r="R35" i="31"/>
  <c r="S35" i="31" s="1"/>
  <c r="I36" i="85" s="1"/>
  <c r="R29" i="31"/>
  <c r="S29" i="31" s="1"/>
  <c r="I11" i="85" s="1"/>
  <c r="S24" i="31"/>
  <c r="I2" i="85" s="1"/>
  <c r="R25" i="31"/>
  <c r="S25" i="31" s="1"/>
  <c r="I3" i="85" s="1"/>
  <c r="R28" i="31"/>
  <c r="S28" i="31" s="1"/>
  <c r="I10" i="85" s="1"/>
  <c r="R27" i="31"/>
  <c r="S27" i="31" s="1"/>
  <c r="I9" i="85" s="1"/>
  <c r="R26" i="31"/>
  <c r="S26" i="31" s="1"/>
  <c r="R30" i="31"/>
  <c r="S30" i="31" s="1"/>
  <c r="I12" i="85" s="1"/>
  <c r="F16" i="74"/>
  <c r="E16" i="74"/>
  <c r="N60" i="89"/>
  <c r="N61" i="89"/>
  <c r="R22" i="86"/>
  <c r="B20" i="86"/>
  <c r="B21" i="86" s="1"/>
  <c r="C35" i="9"/>
  <c r="F15" i="74"/>
  <c r="E15" i="74"/>
  <c r="I118" i="83"/>
  <c r="H118" i="83" s="1"/>
  <c r="C104" i="83" s="1"/>
  <c r="G118" i="83"/>
  <c r="F118" i="83" s="1"/>
  <c r="F119" i="83" s="1"/>
  <c r="C34" i="83"/>
  <c r="D34" i="83"/>
  <c r="D35" i="9" l="1"/>
  <c r="H119" i="83"/>
  <c r="H101" i="83"/>
  <c r="H107" i="83" s="1"/>
  <c r="C34" i="9"/>
  <c r="C104" i="9"/>
  <c r="H4" i="52"/>
  <c r="H101" i="9"/>
  <c r="M48" i="9" s="1"/>
  <c r="H119" i="9"/>
  <c r="H5" i="52" s="1"/>
  <c r="I282" i="85"/>
  <c r="Q20" i="85" s="1"/>
  <c r="I331" i="85"/>
  <c r="Q22" i="85" s="1"/>
  <c r="I296" i="85"/>
  <c r="Q21" i="85" s="1"/>
  <c r="I342" i="85"/>
  <c r="Q24" i="85" s="1"/>
  <c r="I362" i="85"/>
  <c r="Q26" i="85" s="1"/>
  <c r="I916" i="85"/>
  <c r="Q27" i="85" s="1"/>
  <c r="I8" i="85"/>
  <c r="Q15" i="85" s="1"/>
  <c r="I13" i="85"/>
  <c r="Q17" i="85" s="1"/>
  <c r="I37" i="85"/>
  <c r="Q18" i="85" s="1"/>
  <c r="S22" i="31"/>
  <c r="D14" i="74" s="1"/>
  <c r="E118" i="83"/>
  <c r="D118" i="83" s="1"/>
  <c r="D119" i="83" s="1"/>
  <c r="C105" i="83"/>
  <c r="H102" i="83"/>
  <c r="D45" i="83"/>
  <c r="C105" i="9"/>
  <c r="H102" i="9"/>
  <c r="D7" i="53" s="1"/>
  <c r="B21" i="72" s="1"/>
  <c r="I4" i="52"/>
  <c r="H107" i="9"/>
  <c r="D5" i="53"/>
  <c r="D34" i="9"/>
  <c r="D45" i="9" l="1"/>
  <c r="C93" i="9" s="1"/>
  <c r="C86" i="9" s="1"/>
  <c r="M48" i="83"/>
  <c r="I917" i="85"/>
  <c r="F14" i="74"/>
  <c r="R22" i="31"/>
  <c r="B20" i="31"/>
  <c r="B21" i="31" s="1"/>
  <c r="C78" i="83"/>
  <c r="C73" i="83" s="1"/>
  <c r="D52" i="83"/>
  <c r="C93" i="83"/>
  <c r="C86" i="83" s="1"/>
  <c r="C85" i="83"/>
  <c r="C72" i="83"/>
  <c r="C64" i="83"/>
  <c r="C63" i="83" s="1"/>
  <c r="C67" i="83" s="1"/>
  <c r="D55" i="83"/>
  <c r="M53" i="83" s="1"/>
  <c r="D53" i="83"/>
  <c r="D122" i="83"/>
  <c r="D123" i="83" s="1"/>
  <c r="H108" i="83"/>
  <c r="M49" i="83"/>
  <c r="B20" i="72"/>
  <c r="D6" i="53"/>
  <c r="B22" i="72" s="1"/>
  <c r="H108" i="9"/>
  <c r="D15" i="53" s="1"/>
  <c r="B31" i="72" s="1"/>
  <c r="M49" i="9"/>
  <c r="D13" i="53"/>
  <c r="D122" i="9"/>
  <c r="G14" i="74"/>
  <c r="D53" i="9"/>
  <c r="C78" i="9" l="1"/>
  <c r="C73" i="9" s="1"/>
  <c r="C79" i="9" s="1"/>
  <c r="D55" i="9"/>
  <c r="M53" i="9" s="1"/>
  <c r="C85" i="9"/>
  <c r="C95" i="9" s="1"/>
  <c r="C96" i="9" s="1"/>
  <c r="E96" i="9" s="1"/>
  <c r="E97" i="9" s="1"/>
  <c r="C72" i="9"/>
  <c r="C64" i="9"/>
  <c r="C63" i="9" s="1"/>
  <c r="C67" i="9" s="1"/>
  <c r="D59" i="9" s="1"/>
  <c r="M55" i="9" s="1"/>
  <c r="D52" i="9"/>
  <c r="E14" i="74"/>
  <c r="C79" i="83"/>
  <c r="C80" i="83" s="1"/>
  <c r="E80" i="83" s="1"/>
  <c r="E81" i="83" s="1"/>
  <c r="L66" i="83"/>
  <c r="M66" i="83" s="1"/>
  <c r="L65" i="83"/>
  <c r="M65" i="83" s="1"/>
  <c r="L64" i="83"/>
  <c r="M64" i="83" s="1"/>
  <c r="L68" i="83"/>
  <c r="M68" i="83" s="1"/>
  <c r="L67" i="83"/>
  <c r="M67" i="83" s="1"/>
  <c r="L63" i="83"/>
  <c r="M63" i="83" s="1"/>
  <c r="D59" i="83"/>
  <c r="M55" i="83" s="1"/>
  <c r="C68" i="83"/>
  <c r="D54" i="83" s="1"/>
  <c r="C95" i="83"/>
  <c r="D123" i="9"/>
  <c r="D9" i="52" s="1"/>
  <c r="D8" i="52"/>
  <c r="L65" i="9"/>
  <c r="M65" i="9" s="1"/>
  <c r="L63" i="9"/>
  <c r="M63" i="9" s="1"/>
  <c r="L67" i="9"/>
  <c r="M67" i="9" s="1"/>
  <c r="L64" i="9"/>
  <c r="M64" i="9" s="1"/>
  <c r="L66" i="9"/>
  <c r="M66" i="9" s="1"/>
  <c r="L68" i="9"/>
  <c r="M68" i="9" s="1"/>
  <c r="D14" i="53"/>
  <c r="B32" i="72" s="1"/>
  <c r="B30" i="72"/>
  <c r="C68" i="9" l="1"/>
  <c r="D54" i="9" s="1"/>
  <c r="M69" i="83"/>
  <c r="N69" i="83" s="1"/>
  <c r="C96" i="83"/>
  <c r="E96" i="83" s="1"/>
  <c r="E97" i="83" s="1"/>
  <c r="C81" i="83"/>
  <c r="C80" i="9"/>
  <c r="E80" i="9" s="1"/>
  <c r="E81" i="9" s="1"/>
  <c r="M69" i="9"/>
  <c r="N69" i="9" s="1"/>
  <c r="C97" i="9"/>
  <c r="D58" i="9" s="1"/>
  <c r="D56" i="9" s="1"/>
  <c r="M54" i="9" s="1"/>
  <c r="N57" i="9" s="1"/>
  <c r="C97" i="83" l="1"/>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D18" i="74" l="1"/>
  <c r="G18" i="74" l="1"/>
  <c r="F18" i="74"/>
  <c r="E18" i="74"/>
  <c r="Q16" i="85" l="1"/>
  <c r="Q23" i="85" l="1"/>
  <c r="Q25" i="85"/>
  <c r="D19" i="74"/>
  <c r="Q19" i="85"/>
  <c r="Q28" i="85" l="1"/>
  <c r="E19" i="74"/>
  <c r="B5" i="74"/>
  <c r="F19" i="74"/>
  <c r="G19"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<sst xmlns="http://schemas.openxmlformats.org/spreadsheetml/2006/main" count="11982" uniqueCount="4429">
  <si>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</si>
  <si>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</si>
  <si>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</si>
  <si>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</si>
  <si>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</si>
  <si>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</si>
  <si>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</si>
  <si>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</si>
  <si>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</si>
  <si>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</si>
  <si>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</si>
  <si>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</si>
  <si>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</si>
  <si>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</si>
  <si>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</si>
  <si>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</si>
  <si>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</si>
  <si>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</si>
  <si>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</si>
  <si>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</si>
  <si>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</si>
  <si>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</si>
  <si>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</si>
  <si>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</si>
  <si>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</si>
  <si>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</si>
  <si>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</si>
  <si>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</si>
  <si>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</si>
  <si>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</si>
  <si>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</si>
  <si>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</si>
  <si>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</si>
  <si>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</si>
  <si>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</si>
  <si>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</si>
  <si>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</si>
  <si>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</si>
  <si>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</si>
  <si>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</si>
  <si>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</si>
  <si>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</si>
  <si>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</si>
  <si>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</si>
  <si>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</si>
  <si>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</si>
  <si>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</si>
  <si>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</si>
  <si>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</si>
  <si>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</si>
  <si>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</si>
  <si>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</si>
  <si>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</si>
  <si>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</si>
  <si>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</si>
  <si>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</si>
  <si>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</si>
  <si>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</si>
  <si>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</si>
  <si>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</si>
  <si>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</si>
  <si>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</si>
  <si>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</si>
  <si>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</si>
  <si>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</si>
  <si>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</si>
  <si>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</si>
  <si>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</si>
  <si>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</si>
  <si>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</si>
  <si>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</si>
  <si>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</si>
  <si>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</si>
  <si>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</si>
  <si>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</si>
  <si>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</si>
  <si>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</si>
  <si>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</si>
  <si>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</si>
  <si>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</si>
  <si>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</si>
  <si>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</si>
  <si>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</si>
  <si>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</si>
  <si>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</si>
  <si>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</si>
  <si>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</si>
  <si>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</si>
  <si>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</si>
  <si>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</si>
  <si>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</si>
  <si>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</si>
  <si>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</si>
  <si>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</si>
  <si>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</si>
  <si>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</si>
  <si>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</si>
  <si>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</si>
  <si>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</si>
  <si>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</si>
  <si>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</si>
  <si>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</si>
  <si>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</si>
  <si>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</si>
  <si>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</si>
  <si>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</si>
  <si>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</si>
  <si>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</si>
  <si>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</si>
  <si>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</si>
  <si>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</si>
  <si>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</si>
  <si>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</si>
  <si>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</si>
  <si>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</si>
  <si>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</si>
  <si>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</si>
  <si>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</si>
  <si>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</si>
  <si>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</si>
  <si>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</si>
  <si>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</si>
  <si>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</si>
  <si>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</si>
  <si>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</si>
  <si>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</si>
  <si>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</si>
  <si>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</si>
  <si>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</si>
  <si>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</si>
  <si>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</si>
  <si>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</si>
  <si>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</si>
  <si>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</si>
  <si>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</si>
  <si>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</si>
  <si>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</si>
  <si>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</si>
  <si>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</si>
  <si>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</si>
  <si>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</si>
  <si>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</si>
  <si>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</si>
  <si>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</si>
  <si>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</si>
  <si>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</si>
  <si>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</si>
  <si>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</si>
  <si>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</si>
  <si>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</si>
  <si>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</si>
  <si>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</si>
  <si>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</si>
  <si>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</si>
  <si>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</si>
  <si>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</si>
  <si>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</si>
  <si>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</si>
  <si>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</si>
  <si>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</si>
  <si>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</si>
  <si>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</si>
  <si>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</si>
  <si>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</si>
  <si>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</si>
  <si>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</si>
  <si>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</si>
  <si>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</si>
  <si>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</si>
  <si>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</si>
  <si>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</si>
  <si>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</si>
  <si>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</si>
  <si>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</si>
  <si>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</si>
  <si>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</si>
  <si>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</si>
  <si>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</si>
  <si>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</si>
  <si>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</si>
  <si>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</si>
  <si>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</si>
  <si>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</si>
  <si>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</si>
  <si>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</si>
  <si>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</si>
  <si>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</si>
  <si>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</si>
  <si>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</si>
  <si>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</si>
  <si>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</si>
  <si>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</si>
  <si>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</si>
  <si>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</si>
  <si>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</si>
  <si>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</si>
  <si>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</si>
  <si>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</si>
  <si>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</si>
  <si>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</si>
  <si>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</si>
  <si>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</si>
  <si>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</si>
  <si>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</si>
  <si>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</si>
  <si>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</si>
  <si>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</si>
  <si>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</si>
  <si>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</si>
  <si>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</si>
  <si>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</si>
  <si>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</si>
  <si>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</si>
  <si>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</si>
  <si>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</si>
  <si>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</si>
  <si>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</si>
  <si>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</si>
  <si>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</si>
  <si>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</si>
  <si>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</si>
  <si>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</si>
  <si>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</si>
  <si>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</si>
  <si>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</si>
  <si>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</si>
  <si>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</si>
  <si>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</si>
  <si>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</si>
  <si>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</si>
  <si>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</si>
  <si>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</si>
  <si>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</si>
  <si>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</si>
  <si>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</si>
  <si>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</si>
  <si>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</si>
  <si>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</si>
  <si>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</si>
  <si>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</si>
  <si>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</si>
  <si>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</si>
  <si>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</si>
  <si>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</si>
  <si>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</si>
  <si>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</si>
  <si>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</si>
  <si>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</si>
  <si>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</si>
  <si>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</si>
  <si>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</si>
  <si>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</si>
  <si>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</si>
  <si>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</si>
  <si>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</si>
  <si>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</si>
  <si>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</si>
  <si>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</si>
  <si>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</si>
  <si>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</si>
  <si>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</si>
  <si>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</si>
  <si>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</si>
  <si>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</si>
  <si>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</si>
  <si>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</si>
  <si>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</si>
  <si>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</si>
  <si>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</si>
  <si>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</si>
  <si>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</si>
  <si>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</si>
  <si>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</si>
  <si>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</si>
  <si>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</si>
  <si>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</si>
  <si>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</si>
  <si>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</si>
  <si>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</si>
  <si>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</si>
  <si>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</si>
  <si>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</si>
  <si>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</si>
  <si>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</si>
  <si>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</si>
  <si>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</si>
  <si>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</si>
  <si>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</si>
  <si>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</si>
  <si>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</si>
  <si>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</si>
  <si>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</si>
  <si>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</si>
  <si>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</si>
  <si>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</si>
  <si>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</si>
  <si>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</si>
  <si>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</si>
  <si>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</si>
  <si>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</si>
  <si>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</si>
  <si>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</si>
  <si>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</si>
  <si>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</si>
  <si>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</si>
  <si>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</si>
  <si>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</si>
  <si>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</si>
  <si>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</si>
  <si>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</si>
  <si>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</si>
  <si>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</si>
  <si>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</si>
  <si>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</si>
  <si>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</si>
  <si>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</si>
  <si>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</si>
  <si>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</si>
  <si>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</si>
  <si>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</si>
  <si>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</si>
  <si>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</si>
  <si>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</si>
  <si>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</si>
  <si>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</si>
  <si>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</si>
  <si>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</si>
  <si>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</si>
  <si>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</si>
  <si>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</si>
  <si>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</si>
  <si>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</si>
  <si>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</si>
  <si>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</si>
  <si>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</si>
  <si>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</si>
  <si>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</si>
  <si>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</si>
  <si>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</si>
  <si>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</si>
  <si>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</si>
  <si>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</si>
  <si>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</si>
  <si>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</si>
  <si>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</si>
  <si>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</si>
  <si>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</si>
  <si>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</si>
  <si>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</si>
  <si>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</si>
  <si>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</si>
  <si>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</si>
  <si>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</si>
  <si>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</si>
  <si>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</si>
  <si>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</si>
  <si>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</si>
  <si>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</si>
  <si>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</si>
  <si>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</si>
  <si>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</si>
  <si>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</si>
  <si>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</si>
  <si>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</si>
  <si>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</si>
  <si>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</si>
  <si>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</si>
  <si>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</si>
  <si>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</si>
  <si>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</si>
  <si>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</si>
  <si>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</si>
  <si>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</si>
  <si>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</si>
  <si>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</si>
  <si>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</si>
  <si>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</si>
  <si>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</si>
  <si>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</si>
  <si>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</si>
  <si>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</si>
  <si>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</si>
  <si>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</si>
  <si>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</si>
  <si>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</si>
  <si>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</si>
  <si>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</si>
  <si>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</si>
  <si>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</si>
  <si>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</si>
  <si>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</si>
  <si>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</si>
  <si>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</si>
  <si>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</si>
  <si>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</si>
  <si>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</si>
  <si>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</si>
  <si>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</si>
  <si>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</si>
  <si>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</si>
  <si>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</si>
  <si>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</si>
  <si>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</si>
  <si>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</si>
  <si>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</si>
  <si>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</si>
  <si>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</si>
  <si>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</si>
  <si>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</si>
  <si>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</si>
  <si>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</si>
  <si>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</si>
  <si>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</si>
  <si>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</si>
  <si>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</si>
  <si>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</si>
  <si>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</si>
  <si>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</si>
  <si>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</si>
  <si>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</si>
  <si>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</si>
  <si>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</si>
  <si>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</si>
  <si>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</si>
  <si>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</si>
  <si>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</si>
  <si>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</si>
  <si>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</si>
  <si>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</si>
  <si>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</si>
  <si>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</si>
  <si>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</si>
  <si>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</si>
  <si>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</si>
  <si>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</si>
  <si>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</si>
  <si>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</si>
  <si>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</si>
  <si>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</si>
  <si>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</si>
  <si>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</si>
  <si>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</si>
  <si>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</si>
  <si>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</si>
  <si>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</si>
  <si>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</si>
  <si>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</si>
  <si>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</si>
  <si>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</si>
  <si>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</si>
  <si>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</si>
  <si>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</si>
  <si>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</si>
  <si>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</si>
  <si>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</si>
  <si>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</si>
  <si>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</si>
  <si>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</si>
  <si>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</si>
  <si>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</si>
  <si>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</si>
  <si>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</si>
  <si>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</si>
  <si>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</si>
  <si>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</si>
  <si>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</si>
  <si>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</si>
  <si>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</si>
  <si>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</si>
  <si>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</si>
  <si>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</si>
  <si>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</si>
  <si>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</si>
  <si>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</si>
  <si>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</si>
  <si>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</si>
  <si>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</si>
  <si>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</si>
  <si>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</si>
  <si>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</si>
  <si>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</si>
  <si>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</si>
  <si>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</si>
  <si>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</si>
  <si>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</si>
  <si>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</si>
  <si>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</si>
  <si>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</si>
  <si>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</si>
  <si>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</si>
  <si>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</si>
  <si>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</si>
  <si>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</si>
  <si>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</si>
  <si>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</si>
  <si>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</si>
  <si>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</si>
  <si>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</si>
  <si>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</si>
  <si>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</si>
  <si>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</si>
  <si>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</si>
  <si>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</si>
  <si>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</si>
  <si>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</si>
  <si>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</si>
  <si>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</si>
  <si>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</si>
  <si>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</si>
  <si>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</si>
  <si>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</si>
  <si>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</si>
  <si>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</si>
  <si>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</si>
  <si>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</si>
  <si>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</si>
  <si>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</si>
  <si>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</si>
  <si>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</si>
  <si>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</si>
  <si>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</si>
  <si>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</si>
  <si>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</si>
  <si>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</si>
  <si>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</si>
  <si>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</si>
  <si>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</si>
  <si>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</si>
  <si>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</si>
  <si>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</si>
  <si>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</si>
  <si>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</si>
  <si>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</si>
  <si>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</si>
  <si>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</si>
  <si>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</si>
  <si>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</si>
  <si>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</si>
  <si>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</si>
  <si>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</si>
  <si>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</si>
  <si>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</si>
  <si>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</si>
  <si>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</si>
  <si>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</si>
  <si>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</si>
  <si>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</si>
  <si>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</si>
  <si>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</si>
  <si>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</si>
  <si>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</si>
  <si>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</si>
  <si>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</si>
  <si>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</si>
  <si>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</si>
  <si>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</si>
  <si>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</si>
  <si>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</si>
  <si>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</si>
  <si>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</si>
  <si>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</si>
  <si>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</si>
  <si>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</si>
  <si>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</si>
  <si>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</si>
  <si>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</si>
  <si>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</si>
  <si>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</si>
  <si>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</si>
  <si>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</si>
  <si>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</si>
  <si>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</si>
  <si>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</si>
  <si>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</si>
  <si>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</si>
  <si>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</si>
  <si>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</si>
  <si>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</si>
  <si>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</si>
  <si>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</si>
  <si>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</si>
  <si>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</si>
  <si>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</si>
  <si>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</si>
  <si>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</si>
  <si>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</si>
  <si>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</si>
  <si>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</si>
  <si>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</si>
  <si>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</si>
  <si>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</si>
  <si>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</si>
  <si>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</si>
  <si>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</si>
  <si>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</si>
  <si>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</si>
  <si>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</si>
  <si>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</si>
  <si>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</si>
  <si>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</si>
  <si>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</si>
  <si>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</si>
  <si>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</si>
  <si>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</si>
  <si>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</si>
  <si>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</si>
  <si>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</si>
  <si>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</si>
  <si>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</si>
  <si>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</si>
  <si>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</si>
  <si>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</si>
  <si>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</si>
  <si>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</si>
  <si>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</si>
  <si>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</si>
  <si>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</si>
  <si>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</si>
  <si>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</si>
  <si>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</si>
  <si>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</si>
  <si>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</si>
  <si>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</si>
  <si>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</si>
  <si>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</si>
  <si>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</si>
  <si>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</si>
  <si>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</si>
  <si>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</si>
  <si>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</si>
  <si>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</si>
  <si>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</si>
  <si>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</si>
  <si>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</si>
  <si>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</si>
  <si>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</si>
  <si>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</si>
  <si>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</si>
  <si>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</si>
  <si>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</si>
  <si>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</si>
  <si>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</si>
  <si>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</si>
  <si>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</si>
  <si>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</si>
  <si>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</si>
  <si>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</si>
  <si>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</si>
  <si>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</si>
  <si>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</si>
  <si>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</si>
  <si>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</si>
  <si>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</si>
  <si>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</si>
  <si>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</si>
  <si>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</si>
  <si>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</si>
  <si>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</si>
  <si>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</si>
  <si>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</si>
  <si>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</si>
  <si>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</si>
  <si>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</si>
  <si>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</si>
  <si>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</si>
  <si>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</si>
  <si>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</si>
  <si>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</si>
  <si>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</si>
  <si>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</si>
  <si>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</si>
  <si>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</si>
  <si>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</si>
  <si>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</si>
  <si>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</si>
  <si>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</si>
  <si>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</si>
  <si>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</si>
  <si>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</si>
  <si>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</si>
  <si>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</si>
  <si>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</si>
  <si>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</si>
  <si>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</si>
  <si>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</si>
  <si>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</si>
  <si>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</si>
  <si>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</si>
  <si>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</si>
  <si>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</si>
  <si>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</si>
  <si>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</si>
  <si>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</si>
  <si>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</si>
  <si>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</si>
  <si>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</si>
  <si>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</si>
  <si>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</si>
  <si>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</si>
  <si>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</si>
  <si>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</si>
  <si>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</si>
  <si>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</si>
  <si>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</si>
  <si>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</si>
  <si>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</si>
  <si>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</si>
  <si>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</si>
  <si>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</si>
  <si>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</si>
  <si>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</si>
  <si>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</si>
  <si>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</si>
  <si>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</si>
  <si>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</si>
  <si>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</si>
  <si>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</si>
  <si>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</si>
  <si>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</si>
  <si>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</si>
  <si>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</si>
  <si>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</si>
  <si>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</si>
  <si>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</si>
  <si>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</si>
  <si>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</si>
  <si>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</si>
  <si>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</si>
  <si>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</si>
  <si>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</si>
  <si>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</si>
  <si>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</si>
  <si>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</si>
  <si>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</si>
  <si>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</si>
  <si>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</si>
  <si>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</si>
  <si>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</si>
  <si>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</si>
  <si>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</si>
  <si>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</si>
  <si>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</si>
  <si>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</si>
  <si>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</si>
  <si>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</si>
  <si>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</si>
  <si>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</si>
  <si>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</si>
  <si>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</si>
  <si>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</si>
  <si>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</si>
  <si>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</si>
  <si>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</si>
  <si>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</si>
  <si>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</si>
  <si>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</si>
  <si>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</si>
  <si>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</si>
  <si>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</si>
  <si>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</si>
  <si>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</si>
  <si>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</si>
  <si>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</si>
  <si>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</si>
  <si>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</si>
  <si>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</si>
  <si>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</si>
  <si>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</si>
  <si>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</si>
  <si>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</si>
  <si>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</si>
  <si>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</si>
  <si>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</si>
  <si>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</si>
  <si>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</si>
  <si>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</si>
  <si>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</si>
  <si>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</si>
  <si>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</si>
  <si>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</si>
  <si>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</si>
  <si>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</si>
  <si>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</si>
  <si>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</si>
  <si>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</si>
  <si>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</si>
  <si>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</si>
  <si>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</si>
  <si>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</si>
  <si>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</si>
  <si>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</si>
  <si>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</si>
  <si>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</si>
  <si>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</si>
  <si>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</si>
  <si>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</si>
  <si>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</si>
  <si>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</si>
  <si>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</si>
  <si>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</si>
  <si>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</si>
  <si>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</si>
  <si>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</si>
  <si>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</si>
  <si>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</si>
  <si>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</si>
  <si>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</si>
  <si>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</si>
  <si>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</si>
  <si>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</si>
  <si>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</si>
  <si>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</si>
  <si>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</si>
  <si>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</si>
  <si>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</si>
  <si>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</si>
  <si>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</si>
  <si>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</si>
  <si>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</si>
  <si>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</si>
  <si>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</si>
  <si>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</si>
  <si>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</si>
  <si>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</si>
  <si>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</si>
  <si>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</si>
  <si>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</si>
  <si>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</si>
  <si>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</si>
  <si>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</si>
  <si>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</si>
  <si>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</si>
  <si>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</si>
  <si>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</si>
  <si>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</si>
  <si>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</si>
  <si>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</si>
  <si>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</si>
  <si>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</si>
  <si>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</si>
  <si>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</si>
  <si>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</si>
  <si>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</si>
  <si>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</si>
  <si>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</si>
  <si>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</si>
  <si>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</si>
  <si>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</si>
  <si>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</si>
  <si>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</si>
  <si>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</si>
  <si>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</si>
  <si>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</si>
  <si>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</si>
  <si>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</si>
  <si>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</si>
  <si>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</si>
  <si>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</si>
  <si>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</si>
  <si>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</si>
  <si>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</si>
  <si>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</si>
  <si>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</si>
  <si>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</si>
  <si>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</si>
  <si>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</si>
  <si>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</si>
  <si>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</si>
  <si>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</si>
  <si>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</si>
  <si>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</si>
  <si>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</si>
  <si>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</si>
  <si>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</si>
  <si>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</si>
  <si>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</si>
  <si>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</si>
  <si>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</si>
  <si>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</si>
  <si>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</si>
  <si>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</si>
  <si>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</si>
  <si>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</si>
  <si>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</si>
  <si>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</si>
  <si>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</si>
  <si>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</si>
  <si>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</si>
  <si>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</si>
  <si>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</si>
  <si>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</si>
  <si>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</si>
  <si>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</si>
  <si>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</si>
  <si>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</si>
  <si>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</si>
  <si>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</si>
  <si>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</si>
  <si>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</si>
  <si>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</si>
  <si>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</si>
  <si>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</si>
  <si>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</si>
  <si>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</si>
  <si>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</si>
  <si>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</si>
  <si>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</si>
  <si>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</si>
  <si>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</si>
  <si>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</si>
  <si>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</si>
  <si>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</si>
  <si>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</si>
  <si>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</si>
  <si>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</si>
  <si>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</si>
  <si>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</si>
  <si>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</si>
  <si>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</si>
  <si>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</si>
  <si>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</si>
  <si>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</si>
  <si>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</si>
  <si>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</si>
  <si>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</si>
  <si>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</si>
  <si>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</si>
  <si>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</si>
  <si>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</si>
  <si>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</si>
  <si>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</si>
  <si>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</si>
  <si>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</si>
  <si>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</si>
  <si>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</si>
  <si>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</si>
  <si>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</si>
  <si>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</si>
  <si>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</si>
  <si>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</si>
  <si>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</si>
  <si>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</si>
  <si>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</si>
  <si>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</si>
  <si>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</si>
  <si>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</si>
  <si>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</si>
  <si>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</si>
  <si>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</si>
  <si>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</si>
  <si>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</si>
  <si>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</si>
  <si>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</si>
  <si>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</si>
  <si>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</si>
  <si>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</si>
  <si>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</si>
  <si>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</si>
  <si>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</si>
  <si>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</si>
  <si>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</si>
  <si>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</si>
  <si>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</si>
  <si>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</si>
  <si>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</si>
  <si>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</si>
  <si>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</si>
  <si>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</si>
  <si>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</si>
  <si>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</si>
  <si>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</si>
  <si>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</si>
  <si>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</si>
  <si>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</si>
  <si>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</si>
  <si>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</si>
  <si>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</si>
  <si>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</si>
  <si>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</si>
  <si>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</si>
  <si>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</si>
  <si>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</si>
  <si>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</si>
  <si>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</si>
  <si>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</si>
  <si>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</si>
  <si>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</si>
  <si>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</si>
  <si>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</si>
  <si>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</si>
  <si>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</si>
  <si>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</si>
  <si>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</si>
  <si>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</si>
  <si>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</si>
  <si>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</si>
  <si>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</si>
  <si>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</si>
  <si>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</si>
  <si>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</si>
  <si>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</si>
  <si>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</si>
  <si>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</si>
  <si>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</si>
  <si>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</si>
  <si>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</si>
  <si>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</si>
  <si>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</si>
  <si>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</si>
  <si>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</si>
  <si>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</si>
  <si>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</si>
  <si>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</si>
  <si>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</si>
  <si>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</si>
  <si>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</si>
  <si>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</si>
  <si>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</si>
  <si>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</si>
  <si>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</si>
  <si>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</si>
  <si>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</si>
  <si>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</si>
  <si>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</si>
  <si>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</si>
  <si>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</si>
  <si>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</si>
  <si>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</si>
  <si>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</si>
  <si>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</si>
  <si>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</si>
  <si>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</si>
  <si>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</si>
  <si>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</si>
  <si>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</si>
  <si>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</si>
  <si>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</si>
  <si>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</si>
  <si>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</si>
  <si>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</si>
  <si>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</si>
  <si>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</si>
  <si>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</si>
  <si>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</si>
  <si>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</si>
  <si>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</si>
  <si>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</si>
  <si>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</si>
  <si>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</si>
  <si>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</si>
  <si>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</si>
  <si>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</si>
  <si>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</si>
  <si>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</si>
  <si>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</si>
  <si>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</si>
  <si>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</si>
  <si>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</si>
  <si>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</si>
  <si>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</si>
  <si>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</si>
  <si>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</si>
  <si>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</si>
  <si>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</si>
  <si>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</si>
  <si>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</si>
  <si>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</si>
  <si>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</si>
  <si>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</si>
  <si>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</si>
  <si>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</si>
  <si>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</si>
  <si>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</si>
  <si>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</si>
  <si>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</si>
  <si>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</si>
  <si>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</si>
  <si>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</si>
  <si>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</si>
  <si>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</si>
  <si>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</si>
  <si>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</si>
  <si>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</si>
  <si>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</si>
  <si>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</si>
  <si>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</si>
  <si>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</si>
  <si>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</si>
  <si>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</si>
  <si>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</si>
  <si>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</si>
  <si>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</si>
  <si>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</si>
  <si>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</si>
  <si>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</si>
  <si>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</si>
  <si>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</si>
  <si>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</si>
  <si>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</si>
  <si>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</si>
  <si>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</si>
  <si>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</si>
  <si>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</si>
  <si>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</si>
  <si>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</si>
  <si>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</si>
  <si>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</si>
  <si>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</si>
  <si>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</si>
  <si>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</si>
  <si>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</si>
  <si>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</si>
  <si>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</si>
  <si>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</si>
  <si>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</si>
  <si>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</si>
  <si>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</si>
  <si>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</si>
  <si>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</si>
  <si>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</si>
  <si>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</si>
  <si>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</si>
  <si>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</si>
  <si>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</si>
  <si>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</si>
  <si>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</si>
  <si>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</si>
  <si>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</si>
  <si>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</si>
  <si>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</si>
  <si>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</si>
  <si>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</si>
  <si>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</si>
  <si>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</si>
  <si>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</si>
  <si>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</si>
  <si>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</si>
  <si>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</si>
  <si>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</si>
  <si>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</si>
  <si>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</si>
  <si>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</si>
  <si>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</si>
  <si>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</si>
  <si>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</si>
  <si>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</si>
  <si>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</si>
  <si>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</si>
  <si>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</si>
  <si>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</si>
  <si>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</si>
  <si>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</si>
  <si>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</si>
  <si>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</si>
  <si>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</si>
  <si>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</si>
  <si>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</si>
  <si>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</si>
  <si>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</si>
  <si>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</si>
  <si>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</si>
  <si>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</si>
  <si>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</si>
  <si>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</si>
  <si>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</si>
  <si>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</si>
  <si>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</si>
  <si>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</si>
  <si>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</si>
  <si>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</si>
  <si>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</si>
  <si>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</si>
  <si>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</si>
  <si>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</si>
  <si>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</si>
  <si>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</si>
  <si>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</si>
  <si>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</si>
  <si>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</si>
  <si>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</si>
  <si>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</si>
  <si>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</si>
  <si>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</si>
  <si>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</si>
  <si>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</si>
  <si>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</si>
  <si>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</si>
  <si>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</si>
  <si>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</si>
  <si>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</si>
  <si>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</si>
  <si>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</si>
  <si>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</si>
  <si>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</si>
  <si>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</si>
  <si>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</si>
  <si>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</si>
  <si>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</si>
  <si>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</si>
  <si>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</si>
  <si>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</si>
  <si>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</si>
  <si>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</si>
  <si>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</si>
  <si>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</si>
  <si>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</si>
  <si>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</si>
  <si>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</si>
  <si>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</si>
  <si>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</si>
  <si>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</si>
  <si>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</si>
  <si>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</si>
  <si>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</si>
  <si>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</si>
  <si>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</si>
  <si>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</si>
  <si>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</si>
  <si>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</si>
  <si>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</si>
  <si>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</si>
  <si>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</si>
  <si>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</si>
  <si>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</si>
  <si>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</si>
  <si>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</si>
  <si>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</si>
  <si>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</si>
  <si>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</si>
  <si>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</si>
  <si>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</si>
  <si>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</si>
  <si>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</si>
  <si>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</si>
  <si>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</si>
  <si>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</si>
  <si>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</si>
  <si>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</si>
  <si>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</si>
  <si>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</si>
  <si>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</si>
  <si>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</si>
  <si>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</si>
  <si>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</si>
  <si>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</si>
  <si>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</si>
  <si>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</si>
  <si>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</si>
  <si>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</si>
  <si>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</si>
  <si>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</si>
  <si>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</si>
  <si>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</si>
  <si>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</si>
  <si>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</si>
  <si>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</si>
  <si>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</si>
  <si>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</si>
  <si>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</si>
  <si>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</si>
  <si>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</si>
  <si>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</si>
  <si>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</si>
  <si>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</si>
  <si>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</si>
  <si>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</si>
  <si>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</si>
  <si>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</si>
  <si>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</si>
  <si>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</si>
  <si>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</si>
  <si>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</si>
  <si>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</si>
  <si>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</si>
  <si>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</si>
  <si>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</si>
  <si>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</si>
  <si>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</si>
  <si>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</si>
  <si>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</si>
  <si>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</si>
  <si>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</si>
  <si>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</si>
  <si>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</si>
  <si>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</si>
  <si>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</si>
  <si>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</si>
  <si>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</si>
  <si>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</si>
  <si>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</si>
  <si>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</si>
  <si>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</si>
  <si>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</si>
  <si>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</si>
  <si>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</si>
  <si>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</si>
  <si>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</si>
  <si>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</si>
  <si>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</si>
  <si>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</si>
  <si>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</si>
  <si>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</si>
  <si>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</si>
  <si>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</si>
  <si>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</si>
  <si>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</si>
  <si>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</si>
  <si>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</si>
  <si>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</si>
  <si>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</si>
  <si>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</si>
  <si>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</si>
  <si>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</si>
  <si>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</si>
  <si>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</si>
  <si>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</si>
  <si>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</si>
  <si>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</si>
  <si>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</si>
  <si>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</si>
  <si>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</si>
  <si>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</si>
  <si>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</si>
  <si>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</si>
  <si>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</si>
  <si>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</si>
  <si>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</si>
  <si>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</si>
  <si>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</si>
  <si>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</si>
  <si>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</si>
  <si>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</si>
  <si>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</si>
  <si>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</si>
  <si>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</si>
  <si>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</si>
  <si>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</si>
  <si>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</si>
  <si>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</si>
  <si>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</si>
  <si>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</si>
  <si>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</si>
  <si>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</si>
  <si>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</si>
  <si>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</si>
  <si>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</si>
  <si>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</si>
  <si>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</si>
  <si>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</si>
  <si>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</si>
  <si>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</si>
  <si>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</si>
  <si>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</si>
  <si>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</si>
  <si>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</si>
  <si>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</si>
  <si>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</si>
  <si>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</si>
  <si>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</si>
  <si>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</si>
  <si>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</si>
  <si>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</si>
  <si>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</si>
  <si>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</si>
  <si>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</si>
  <si>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</si>
  <si>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</si>
  <si>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</si>
  <si>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</si>
  <si>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</si>
  <si>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</si>
  <si>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</si>
  <si>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</si>
  <si>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</si>
  <si>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</si>
  <si>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</si>
  <si>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</si>
  <si>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</si>
  <si>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</si>
  <si>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</si>
  <si>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</si>
  <si>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</si>
  <si>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</si>
  <si>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</si>
  <si>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</si>
  <si>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</si>
  <si>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</si>
  <si>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</si>
  <si>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</si>
  <si>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</si>
  <si>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</si>
  <si>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</si>
  <si>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</si>
  <si>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</si>
  <si>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</si>
  <si>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</si>
  <si>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</si>
  <si>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</si>
  <si>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</si>
  <si>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</si>
  <si>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</si>
  <si>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</si>
  <si>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</si>
  <si>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</si>
  <si>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</si>
  <si>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</si>
  <si>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</si>
  <si>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</si>
  <si>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</si>
  <si>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</si>
  <si>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</si>
  <si>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</si>
  <si>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</si>
  <si>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</si>
  <si>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</si>
  <si>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</si>
  <si>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</si>
  <si>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</si>
  <si>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</si>
  <si>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</si>
  <si>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</si>
  <si>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</si>
  <si>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</si>
  <si>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</si>
  <si>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</si>
  <si>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</si>
  <si>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</si>
  <si>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</si>
  <si>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</si>
  <si>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</si>
  <si>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</si>
  <si>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</si>
  <si>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</si>
  <si>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</si>
  <si>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</si>
  <si>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</si>
  <si>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</si>
  <si>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</si>
  <si>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</si>
  <si>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</si>
  <si>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</si>
  <si>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</si>
  <si>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</si>
  <si>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</si>
  <si>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</si>
  <si>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</si>
  <si>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</si>
  <si>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</si>
  <si>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</si>
  <si>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</si>
  <si>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</si>
  <si>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</si>
  <si>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</si>
  <si>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</si>
  <si>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</si>
  <si>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</si>
  <si>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</si>
  <si>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</si>
  <si>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</si>
  <si>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</si>
  <si>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</si>
  <si>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</si>
  <si>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</si>
  <si>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</si>
  <si>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</si>
  <si>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</si>
  <si>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</si>
  <si>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</si>
  <si>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</si>
  <si>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</si>
  <si>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</si>
  <si>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</si>
  <si>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</si>
  <si>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</si>
  <si>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</si>
  <si>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</si>
  <si>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</si>
  <si>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</si>
  <si>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</si>
  <si>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</si>
  <si>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</si>
  <si>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</si>
  <si>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</si>
  <si>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</si>
  <si>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</si>
  <si>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</si>
  <si>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</si>
  <si>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</si>
  <si>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</si>
  <si>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</si>
  <si>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</si>
  <si>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</si>
  <si>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</si>
  <si>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</si>
  <si>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</si>
  <si>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</si>
  <si>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</si>
  <si>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</si>
  <si>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</si>
  <si>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</si>
  <si>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</si>
  <si>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</si>
  <si>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</si>
  <si>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</si>
  <si>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</si>
  <si>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</si>
  <si>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</si>
  <si>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</si>
  <si>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</si>
  <si>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</si>
  <si>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</si>
  <si>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</si>
  <si>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</si>
  <si>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</si>
  <si>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</si>
  <si>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</si>
  <si>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</si>
  <si>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</si>
  <si>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</si>
  <si>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</si>
  <si>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</si>
  <si>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</si>
  <si>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</si>
  <si>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</si>
  <si>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</si>
  <si>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</si>
  <si>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</si>
  <si>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</si>
  <si>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</si>
  <si>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</si>
  <si>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</si>
  <si>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</si>
  <si>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</si>
  <si>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</si>
  <si>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</si>
  <si>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</si>
  <si>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</si>
  <si>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</si>
  <si>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</si>
  <si>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</si>
  <si>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</si>
  <si>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</si>
  <si>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</si>
  <si>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</si>
  <si>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</si>
  <si>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</si>
  <si>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</si>
  <si>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</si>
  <si>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</si>
  <si>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</si>
  <si>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</si>
  <si>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</si>
  <si>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</si>
  <si>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</si>
  <si>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</si>
  <si>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</si>
  <si>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</si>
  <si>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</si>
  <si>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</si>
  <si>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</si>
  <si>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</si>
  <si>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</si>
  <si>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</si>
  <si>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</si>
  <si>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</si>
  <si>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</si>
  <si>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</si>
  <si>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</si>
  <si>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</si>
  <si>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</si>
  <si>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</si>
  <si>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</si>
  <si>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</si>
  <si>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</si>
  <si>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</si>
  <si>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</si>
  <si>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</si>
  <si>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</si>
  <si>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</si>
  <si>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</si>
  <si>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</si>
  <si>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</si>
  <si>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</si>
  <si>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</si>
  <si>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</si>
  <si>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</si>
  <si>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</si>
  <si>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</si>
  <si>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</si>
  <si>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</si>
  <si>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</si>
  <si>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</si>
  <si>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</si>
  <si>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</si>
  <si>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</si>
  <si>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</si>
  <si>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</si>
  <si>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</si>
  <si>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</si>
  <si>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</si>
  <si>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</si>
  <si>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</si>
  <si>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</si>
  <si>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</si>
  <si>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</si>
  <si>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</si>
  <si>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</si>
  <si>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</si>
  <si>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</si>
  <si>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</si>
  <si>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</si>
  <si>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</si>
  <si>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</si>
  <si>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</si>
  <si>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</si>
  <si>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</si>
  <si>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</si>
  <si>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</si>
  <si>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</si>
  <si>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</si>
  <si>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</si>
  <si>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</si>
  <si>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</si>
  <si>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</si>
  <si>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</si>
  <si>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</si>
  <si>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</si>
  <si>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</si>
  <si>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</si>
  <si>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</si>
  <si>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</si>
  <si>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</si>
  <si>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</si>
  <si>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</si>
  <si>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</si>
  <si>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</si>
  <si>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</si>
  <si>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</si>
  <si>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</si>
  <si>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</si>
  <si>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</si>
  <si>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</si>
  <si>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</si>
  <si>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</si>
  <si>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</si>
  <si>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</si>
  <si>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</si>
  <si>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</si>
  <si>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</si>
  <si>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</si>
  <si>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</si>
  <si>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</si>
  <si>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</si>
  <si>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</si>
  <si>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</si>
  <si>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</si>
  <si>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</si>
  <si>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</si>
  <si>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</si>
  <si>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</si>
  <si>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</si>
  <si>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</si>
  <si>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</si>
  <si>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</si>
  <si>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</si>
  <si>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</si>
  <si>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</si>
  <si>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</si>
  <si>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</si>
  <si>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</si>
  <si>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</si>
  <si>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</si>
  <si>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</si>
  <si>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</si>
  <si>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</si>
  <si>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</si>
  <si>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</si>
  <si>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</si>
  <si>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</si>
  <si>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</si>
  <si>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</si>
  <si>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</si>
  <si>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</si>
  <si>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</si>
  <si>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</si>
  <si>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</si>
  <si>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</si>
  <si>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</si>
  <si>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</si>
  <si>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</si>
  <si>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</si>
  <si>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</si>
  <si>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</si>
  <si>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</si>
  <si>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</si>
  <si>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</si>
  <si>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</si>
  <si>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</si>
  <si>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</si>
  <si>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</si>
  <si>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</si>
  <si>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</si>
  <si>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</si>
  <si>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</si>
  <si>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</si>
  <si>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</si>
  <si>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</si>
  <si>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</si>
  <si>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</si>
  <si>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</si>
  <si>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</si>
  <si>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</si>
  <si>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</si>
  <si>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</si>
  <si>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</si>
  <si>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</si>
  <si>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</si>
  <si>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</si>
  <si>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</si>
  <si>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</si>
  <si>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</si>
  <si>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</si>
  <si>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</si>
  <si>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</si>
  <si>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</si>
  <si>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</si>
  <si>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</si>
  <si>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</si>
  <si>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</si>
  <si>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</si>
  <si>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</si>
  <si>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</si>
  <si>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</si>
  <si>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</si>
  <si>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</si>
  <si>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</si>
  <si>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</si>
  <si>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</si>
  <si>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</si>
  <si>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</si>
  <si>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</si>
  <si>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</si>
  <si>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</si>
  <si>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</si>
  <si>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</si>
  <si>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</si>
  <si>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</si>
  <si>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</si>
  <si>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</si>
  <si>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</si>
  <si>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</si>
  <si>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</si>
  <si>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</si>
  <si>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</si>
  <si>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</si>
  <si>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</si>
  <si>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</si>
  <si>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</si>
  <si>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</si>
  <si>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</si>
  <si>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</si>
  <si>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</si>
  <si>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</si>
  <si>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</si>
  <si>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</si>
  <si>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</si>
  <si>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</si>
  <si>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</si>
  <si>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</si>
  <si>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</si>
  <si>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</si>
  <si>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</si>
  <si>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</si>
  <si>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</si>
  <si>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</si>
  <si>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</si>
  <si>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</si>
  <si>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</si>
  <si>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</si>
  <si>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</si>
  <si>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</si>
  <si>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</si>
  <si>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</si>
  <si>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</si>
  <si>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</si>
  <si>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</si>
  <si>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</si>
  <si>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</si>
  <si>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</si>
  <si>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</si>
  <si>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</si>
  <si>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</si>
  <si>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</si>
  <si>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</si>
  <si>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</si>
  <si>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</si>
  <si>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</si>
  <si>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</si>
  <si>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</si>
  <si>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</si>
  <si>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</si>
  <si>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</si>
  <si>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</si>
  <si>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</si>
  <si>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</si>
  <si>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</si>
  <si>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</si>
  <si>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</si>
  <si>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</si>
  <si>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</si>
  <si>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</si>
  <si>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</si>
  <si>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</si>
  <si>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</si>
  <si>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</si>
  <si>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</si>
  <si>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</si>
  <si>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</si>
  <si>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</si>
  <si>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</si>
  <si>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</si>
  <si>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</si>
  <si>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</si>
  <si>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</si>
  <si>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</si>
  <si>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</si>
  <si>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</si>
  <si>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</si>
  <si>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</si>
  <si>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</si>
  <si>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</si>
  <si>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</si>
  <si>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</si>
  <si>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</si>
  <si>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</si>
  <si>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</si>
  <si>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</si>
  <si>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</si>
  <si>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</si>
  <si>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</si>
  <si>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</si>
  <si>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</si>
  <si>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</si>
  <si>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</si>
  <si>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</si>
  <si>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</si>
  <si>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</si>
  <si>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</si>
  <si>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</si>
  <si>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</si>
  <si>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</si>
  <si>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</si>
  <si>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</si>
  <si>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</si>
  <si>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</si>
  <si>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</si>
  <si>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</si>
  <si>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</si>
  <si>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</si>
  <si>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</si>
  <si>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</si>
  <si>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</si>
  <si>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</si>
  <si>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</si>
  <si>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</si>
  <si>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</si>
  <si>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</si>
  <si>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</si>
  <si>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</si>
  <si>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</si>
  <si>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</si>
  <si>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</si>
  <si>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</si>
  <si>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</si>
  <si>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</si>
  <si>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</si>
  <si>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</si>
  <si>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</si>
  <si>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</si>
  <si>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</si>
  <si>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</si>
  <si>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</si>
  <si>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</si>
  <si>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</si>
  <si>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</si>
  <si>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</si>
  <si>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</si>
  <si>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</si>
  <si>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</si>
  <si>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</si>
  <si>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</si>
  <si>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</si>
  <si>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</si>
  <si>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</si>
  <si>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</si>
  <si>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</si>
  <si>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</si>
  <si>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</si>
  <si>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</si>
  <si>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</si>
  <si>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</si>
  <si>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</si>
  <si>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</si>
  <si>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</si>
  <si>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</si>
  <si>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</si>
  <si>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</si>
  <si>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</si>
  <si>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</si>
  <si>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</si>
  <si>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</si>
  <si>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</si>
  <si>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</si>
  <si>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</si>
  <si>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</si>
  <si>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</si>
  <si>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</si>
  <si>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</si>
  <si>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</si>
  <si>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</si>
  <si>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</si>
  <si>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</si>
  <si>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</si>
  <si>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</si>
  <si>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</si>
  <si>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</si>
  <si>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</si>
  <si>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</si>
  <si>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</si>
  <si>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</si>
  <si>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</si>
  <si>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</si>
  <si>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</si>
  <si>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</si>
  <si>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</si>
  <si>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</si>
  <si>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</si>
  <si>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</si>
  <si>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</si>
  <si>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</si>
  <si>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</si>
  <si>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</si>
  <si>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</si>
  <si>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</si>
  <si>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</si>
  <si>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</si>
  <si>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</si>
  <si>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</si>
  <si>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</si>
  <si>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</si>
  <si>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</si>
  <si>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</si>
  <si>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</si>
  <si>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</si>
  <si>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</si>
  <si>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</si>
  <si>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</si>
  <si>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</si>
  <si>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</si>
  <si>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</si>
  <si>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</si>
  <si>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</si>
  <si>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</si>
  <si>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</si>
  <si>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</si>
  <si>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</si>
  <si>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</si>
  <si>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</si>
  <si>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</si>
  <si>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</si>
  <si>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</si>
  <si>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</si>
  <si>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</si>
  <si>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</si>
  <si>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</si>
  <si>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</si>
  <si>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</si>
  <si>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</si>
  <si>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</si>
  <si>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</si>
  <si>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</si>
  <si>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</si>
  <si>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</si>
  <si>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</si>
  <si>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</si>
  <si>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</si>
  <si>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</si>
  <si>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</si>
  <si>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</si>
  <si>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</si>
  <si>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</si>
  <si>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</si>
  <si>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</si>
  <si>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</si>
  <si>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</si>
  <si>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</si>
  <si>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</si>
  <si>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</si>
  <si>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</si>
  <si>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</si>
  <si>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</si>
  <si>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</si>
  <si>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</si>
  <si>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</si>
  <si>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</si>
  <si>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</si>
  <si>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</si>
  <si>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</si>
  <si>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</si>
  <si>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</si>
  <si>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</si>
  <si>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</si>
  <si>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</si>
  <si>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</si>
  <si>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</si>
  <si>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</si>
  <si>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</si>
  <si>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</si>
  <si>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</si>
  <si>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</si>
  <si>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</si>
  <si>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</si>
  <si>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</si>
  <si>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</si>
  <si>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</si>
  <si>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</si>
  <si>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</si>
  <si>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</si>
  <si>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</si>
  <si>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</si>
  <si>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</si>
  <si>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</si>
  <si>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</si>
  <si>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</si>
  <si>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</si>
  <si>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</si>
  <si>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</si>
  <si>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</si>
  <si>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</si>
  <si>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</si>
  <si>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</si>
  <si>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</si>
  <si>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</si>
  <si>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</si>
  <si>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</si>
  <si>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</si>
  <si>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</si>
  <si>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</si>
  <si>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</si>
  <si>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</si>
  <si>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</si>
  <si>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</si>
  <si>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</si>
  <si>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</si>
  <si>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</si>
  <si>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</si>
  <si>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</si>
  <si>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</si>
  <si>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</si>
  <si>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</si>
  <si>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</si>
  <si>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</si>
  <si>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</si>
  <si>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</si>
  <si>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</si>
  <si>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</si>
  <si>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</si>
  <si>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</si>
  <si>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</si>
  <si>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</si>
  <si>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</si>
  <si>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</si>
  <si>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</si>
  <si>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</si>
  <si>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</si>
  <si>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</si>
  <si>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</si>
  <si>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</si>
  <si>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</si>
  <si>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</si>
  <si>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</si>
  <si>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</si>
  <si>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</si>
  <si>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</si>
  <si>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</si>
  <si>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</si>
  <si>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</si>
  <si>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</si>
  <si>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</si>
  <si>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</si>
  <si>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</si>
  <si>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</si>
  <si>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</si>
  <si>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</si>
  <si>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</si>
  <si>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</si>
  <si>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</si>
  <si>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</si>
  <si>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</si>
  <si>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</si>
  <si>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</si>
  <si>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</si>
  <si>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</si>
  <si>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</si>
  <si>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</si>
  <si>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</si>
  <si>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</si>
  <si>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</si>
  <si>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</si>
  <si>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</si>
  <si>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</si>
  <si>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</si>
  <si>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</si>
  <si>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</si>
  <si>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</si>
  <si>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</si>
  <si>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</si>
  <si>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</si>
  <si>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</si>
  <si>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</si>
  <si>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</si>
  <si>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</si>
  <si>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</si>
  <si>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</si>
  <si>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</si>
  <si>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</si>
  <si>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</si>
  <si>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</si>
  <si>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</si>
  <si>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</si>
  <si>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</si>
  <si>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</si>
  <si>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</si>
  <si>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</si>
  <si>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</si>
  <si>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</si>
  <si>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</si>
  <si>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</si>
  <si>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</si>
  <si>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</si>
  <si>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</si>
  <si>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</si>
  <si>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</si>
  <si>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</si>
  <si>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</si>
  <si>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</si>
  <si>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</si>
  <si>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</si>
  <si>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</si>
  <si>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</si>
  <si>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</si>
  <si>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</si>
  <si>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</si>
  <si>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</si>
  <si>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</si>
  <si>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</si>
  <si>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</si>
  <si>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</si>
  <si>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</si>
  <si>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</si>
  <si>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</si>
  <si>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</si>
  <si>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</si>
  <si>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</si>
  <si>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</si>
  <si>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</si>
  <si>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</si>
  <si>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</si>
  <si>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</si>
  <si>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</si>
  <si>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</si>
  <si>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</si>
  <si>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</si>
  <si>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</si>
  <si>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</si>
  <si>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</si>
  <si>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</si>
  <si>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</si>
  <si>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</si>
  <si>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</si>
  <si>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</si>
  <si>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</si>
  <si>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</si>
  <si>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</si>
  <si>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</si>
  <si>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</si>
  <si>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</si>
  <si>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</si>
  <si>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</si>
  <si>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</si>
  <si>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</si>
  <si>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</si>
  <si>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</si>
  <si>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</si>
  <si>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</si>
  <si>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</si>
  <si>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</si>
  <si>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</si>
  <si>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</si>
  <si>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</si>
  <si>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</si>
  <si>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</si>
  <si>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</si>
  <si>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</si>
  <si>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</si>
  <si>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</si>
  <si>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</si>
  <si>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</si>
  <si>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</si>
  <si>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</si>
  <si>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</si>
  <si>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</si>
  <si>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</si>
  <si>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</si>
  <si>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</si>
  <si>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</si>
  <si>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</si>
  <si>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</si>
  <si>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</si>
  <si>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</si>
  <si>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</si>
  <si>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</si>
  <si>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</si>
  <si>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</si>
  <si>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</si>
  <si>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</si>
  <si>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</si>
  <si>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</si>
  <si>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</si>
  <si>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</si>
  <si>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</si>
  <si>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</si>
  <si>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</si>
  <si>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</si>
  <si>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</si>
  <si>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</si>
  <si>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</si>
  <si>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</si>
  <si>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</si>
  <si>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</si>
  <si>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</si>
  <si>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</si>
  <si>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</si>
  <si>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</si>
  <si>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</si>
  <si>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</si>
  <si>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</si>
  <si>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</si>
  <si>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</si>
  <si>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</si>
  <si>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</si>
  <si>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</si>
  <si>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</si>
  <si>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</si>
  <si>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</si>
  <si>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</si>
  <si>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</si>
  <si>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</si>
  <si>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</si>
  <si>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</si>
  <si>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</si>
  <si>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</si>
  <si>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</si>
  <si>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</si>
  <si>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</si>
  <si>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</si>
  <si>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</si>
  <si>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</si>
  <si>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</si>
  <si>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</si>
  <si>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</si>
  <si>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</si>
  <si>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</si>
  <si>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</si>
  <si>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</si>
  <si>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</si>
  <si>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</si>
  <si>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</si>
  <si>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</si>
  <si>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</si>
  <si>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</si>
  <si>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</si>
  <si>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</si>
  <si>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</si>
  <si>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</si>
  <si>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</si>
  <si>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</si>
  <si>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</si>
  <si>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</si>
  <si>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</si>
  <si>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</si>
  <si>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</si>
  <si>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</si>
  <si>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</si>
  <si>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</si>
  <si>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</si>
  <si>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</si>
  <si>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</si>
  <si>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</si>
  <si>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</si>
  <si>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</si>
  <si>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</si>
  <si>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</si>
  <si>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</si>
  <si>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</si>
  <si>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</si>
  <si>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</si>
  <si>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</si>
  <si>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</si>
  <si>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</si>
  <si>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</si>
  <si>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</si>
  <si>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</si>
  <si>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</si>
  <si>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</si>
  <si>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</si>
  <si>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</si>
  <si>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</si>
  <si>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</si>
  <si>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</si>
  <si>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</si>
  <si>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</si>
  <si>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</si>
  <si>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</si>
  <si>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</si>
  <si>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</si>
  <si>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</si>
  <si>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</si>
  <si>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</si>
  <si>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</si>
  <si>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</si>
  <si>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</si>
  <si>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</si>
  <si>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</si>
  <si>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</si>
  <si>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</si>
  <si>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</si>
  <si>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</si>
  <si>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</si>
  <si>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</si>
  <si>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</si>
  <si>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</si>
  <si>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</si>
  <si>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</si>
  <si>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</si>
  <si>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</si>
  <si>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</si>
  <si>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</si>
  <si>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</si>
  <si>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</si>
  <si>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</si>
  <si>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</si>
  <si>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</si>
  <si>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</si>
  <si>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</si>
  <si>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</si>
  <si>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</si>
  <si>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</si>
  <si>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</si>
  <si>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</si>
  <si>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</si>
  <si>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</si>
  <si>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</si>
  <si>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</si>
  <si>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</si>
  <si>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</si>
  <si>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</si>
  <si>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</si>
  <si>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</si>
  <si>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</si>
  <si>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</si>
  <si>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</si>
  <si>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</si>
  <si>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</si>
  <si>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</si>
  <si>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</si>
  <si>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</si>
  <si>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</si>
  <si>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</si>
  <si>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</si>
  <si>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</si>
  <si>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</si>
  <si>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</si>
  <si>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</si>
  <si>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</si>
  <si>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</si>
  <si>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</si>
  <si>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</si>
  <si>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</si>
  <si>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</si>
  <si>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</si>
  <si>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</si>
  <si>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</si>
  <si>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</si>
  <si>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</si>
  <si>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</si>
  <si>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</si>
  <si>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</si>
  <si>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</si>
  <si>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</si>
  <si>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</si>
  <si>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</si>
  <si>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</si>
  <si>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</si>
  <si>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</si>
  <si>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</si>
  <si>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</si>
  <si>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</si>
  <si>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</si>
  <si>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</si>
  <si>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</si>
  <si>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</si>
  <si>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</si>
  <si>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</si>
  <si>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</si>
  <si>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</si>
  <si>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</si>
  <si>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</si>
  <si>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</si>
  <si>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</si>
  <si>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</si>
  <si>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</si>
  <si>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</si>
  <si>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</si>
  <si>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</si>
  <si>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</si>
  <si>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</si>
  <si>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</si>
  <si>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</si>
  <si>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</si>
  <si>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</si>
  <si>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</si>
  <si>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</si>
  <si>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</si>
  <si>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</si>
  <si>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</si>
  <si>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</si>
  <si>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</si>
  <si>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</si>
  <si>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</si>
  <si>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</si>
  <si>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</si>
  <si>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</si>
  <si>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</si>
  <si>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</si>
  <si>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</si>
  <si>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</si>
  <si>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</si>
  <si>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</si>
  <si>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</si>
  <si>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</si>
  <si>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</si>
  <si>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</si>
  <si>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</si>
  <si>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</si>
  <si>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</si>
  <si>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</si>
  <si>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</si>
  <si>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</si>
  <si>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</si>
  <si>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</si>
  <si>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</si>
  <si>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</si>
  <si>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</si>
  <si>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</si>
  <si>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</si>
  <si>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</si>
  <si>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</si>
  <si>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</si>
  <si>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</si>
  <si>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</si>
  <si>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</si>
  <si>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</si>
  <si>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</si>
  <si>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</si>
  <si>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</si>
  <si>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</si>
  <si>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</si>
  <si>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</si>
  <si>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</si>
  <si>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</si>
  <si>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</si>
  <si>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</si>
  <si>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</si>
  <si>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</si>
  <si>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</si>
  <si>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</si>
  <si>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</si>
  <si>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</si>
  <si>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</si>
  <si>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</si>
  <si>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</si>
  <si>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</si>
  <si>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</si>
  <si>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</si>
  <si>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</si>
  <si>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</si>
  <si>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</si>
  <si>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</si>
  <si>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</si>
  <si>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</si>
  <si>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</si>
  <si>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</si>
  <si>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</si>
  <si>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</si>
  <si>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</si>
  <si>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</si>
  <si>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</si>
  <si>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</si>
  <si>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</si>
  <si>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</si>
  <si>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</si>
  <si>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</si>
  <si>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</si>
  <si>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</si>
  <si>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</si>
  <si>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</si>
  <si>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</si>
  <si>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</si>
  <si>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</si>
  <si>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</si>
  <si>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</si>
  <si>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</si>
  <si>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</si>
  <si>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</si>
  <si>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</si>
  <si>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</si>
  <si>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</si>
  <si>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</si>
  <si>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</si>
  <si>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</si>
  <si>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</si>
  <si>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</si>
  <si>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</si>
  <si>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</si>
  <si>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</si>
  <si>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</si>
  <si>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</si>
  <si>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</si>
  <si>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</si>
  <si>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</si>
  <si>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</si>
  <si>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</si>
  <si>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</si>
  <si>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</si>
  <si>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</si>
  <si>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</si>
  <si>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</si>
  <si>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</si>
  <si>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</si>
  <si>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</si>
  <si>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</si>
  <si>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</si>
  <si>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</si>
  <si>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</si>
  <si>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</si>
  <si>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</si>
  <si>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</si>
  <si>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</si>
  <si>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</si>
  <si>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</si>
  <si>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</si>
  <si>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</si>
  <si>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</si>
  <si>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</si>
  <si>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</si>
  <si>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</si>
  <si>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</si>
  <si>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</si>
  <si>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</si>
  <si>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</si>
  <si>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</si>
  <si>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</si>
  <si>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</si>
  <si>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</si>
  <si>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</si>
  <si>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</si>
  <si>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</si>
  <si>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</si>
  <si>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</si>
  <si>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</si>
  <si>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</si>
  <si>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</si>
  <si>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</si>
  <si>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</si>
  <si>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</si>
  <si>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</si>
  <si>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</si>
  <si>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</si>
  <si>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</si>
  <si>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</si>
  <si>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</si>
  <si>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</si>
  <si>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</si>
  <si>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</si>
  <si>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</si>
  <si>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</si>
  <si>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</si>
  <si>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</si>
  <si>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</si>
  <si>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</si>
  <si>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</si>
  <si>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</si>
  <si>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</si>
  <si>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</si>
  <si>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</si>
  <si>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</si>
  <si>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</si>
  <si>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</si>
  <si>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</si>
  <si>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</si>
  <si>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</si>
  <si>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</si>
  <si>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</si>
  <si>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</si>
  <si>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</si>
  <si>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</si>
  <si>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</si>
  <si>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</si>
  <si>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</si>
  <si>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</si>
  <si>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</si>
  <si>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</si>
  <si>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</si>
  <si>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</si>
  <si>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</si>
  <si>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</si>
  <si>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</si>
  <si>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</si>
  <si>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</si>
  <si>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</si>
  <si>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</si>
  <si>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</si>
  <si>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</si>
  <si>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</si>
  <si>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</si>
  <si>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</si>
  <si>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</si>
  <si>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</si>
  <si>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</si>
  <si>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</si>
  <si>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</si>
  <si>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</si>
  <si>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</si>
  <si>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</si>
  <si>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</si>
  <si>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</si>
  <si>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</si>
  <si>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</si>
  <si>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</si>
  <si>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</si>
  <si>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</si>
  <si>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</si>
  <si>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</si>
  <si>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</si>
  <si>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</si>
  <si>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</si>
  <si>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</si>
  <si>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</si>
  <si>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</si>
  <si>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</si>
  <si>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</si>
  <si>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</si>
  <si>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</si>
  <si>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</si>
  <si>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</si>
  <si>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</si>
  <si>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</si>
  <si>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</si>
  <si>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</si>
  <si>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</si>
  <si>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</si>
  <si>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</si>
  <si>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</si>
  <si>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</si>
  <si>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</si>
  <si>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</si>
  <si>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</si>
  <si>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</si>
  <si>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</si>
  <si>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</si>
  <si>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</si>
  <si>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</si>
  <si>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</si>
  <si>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</si>
  <si>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</si>
  <si>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</si>
  <si>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</si>
  <si>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</si>
  <si>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</si>
  <si>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</si>
  <si>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</si>
  <si>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</si>
  <si>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</si>
  <si>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</si>
  <si>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</si>
  <si>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</si>
  <si>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</si>
  <si>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</si>
  <si>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</si>
  <si>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</si>
  <si>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</si>
  <si>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</si>
  <si>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</si>
  <si>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</si>
  <si>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</si>
  <si>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</si>
  <si>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</si>
  <si>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</si>
  <si>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</si>
  <si>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</si>
  <si>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</si>
  <si>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</si>
  <si>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</si>
  <si>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</si>
  <si>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</si>
  <si>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</si>
  <si>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</si>
  <si>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</si>
  <si>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</si>
  <si>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</si>
  <si>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</si>
  <si>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</si>
  <si>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</si>
  <si>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</si>
  <si>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</si>
  <si>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</si>
  <si>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</si>
  <si>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</si>
  <si>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</si>
  <si>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</si>
  <si>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</si>
  <si>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</si>
  <si>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</si>
  <si>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</si>
  <si>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</si>
  <si>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</si>
  <si>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</si>
  <si>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</si>
  <si>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</si>
  <si>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</si>
  <si>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</si>
  <si>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</si>
  <si>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</si>
  <si>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</si>
  <si>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</si>
  <si>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</si>
  <si>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</si>
  <si>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</si>
  <si>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</si>
  <si>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</si>
  <si>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</si>
  <si>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</si>
  <si>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</si>
  <si>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</si>
  <si>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</si>
  <si>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</si>
  <si>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</si>
  <si>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</si>
  <si>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</si>
  <si>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</si>
  <si>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</si>
  <si>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</si>
  <si>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</si>
  <si>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</si>
  <si>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</si>
  <si>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</si>
  <si>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</si>
  <si>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</si>
  <si>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</si>
  <si>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</si>
  <si>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</si>
  <si>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</si>
  <si>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</si>
  <si>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</si>
  <si>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</si>
  <si>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</si>
  <si>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</si>
  <si>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</si>
  <si>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</si>
  <si>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</si>
  <si>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</si>
  <si>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</si>
  <si>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</si>
  <si>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</si>
  <si>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</si>
  <si>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</si>
  <si>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</si>
  <si>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</si>
  <si>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</si>
  <si>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</si>
  <si>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</si>
  <si>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</si>
  <si>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</si>
  <si>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</si>
  <si>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</si>
  <si>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</si>
  <si>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</si>
  <si>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</si>
  <si>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</si>
  <si>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</si>
  <si>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</si>
  <si>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</si>
  <si>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</si>
  <si>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</si>
  <si>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</si>
  <si>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</si>
  <si>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</si>
  <si>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</si>
  <si>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</si>
  <si>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</si>
  <si>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</si>
  <si>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</si>
  <si>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</si>
  <si>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</si>
  <si>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</si>
  <si>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</si>
  <si>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</si>
  <si>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</si>
  <si>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</si>
  <si>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</si>
  <si>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</si>
  <si>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</si>
  <si>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</si>
  <si>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</si>
  <si>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</si>
  <si>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</si>
  <si>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</si>
  <si>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</si>
  <si>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</si>
  <si>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</si>
  <si>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</si>
  <si>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</si>
  <si>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</si>
  <si>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</si>
  <si>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</si>
  <si>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</si>
  <si>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</si>
  <si>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</si>
  <si>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</si>
  <si>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</si>
  <si>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</si>
  <si>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</si>
  <si>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</si>
  <si>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</si>
  <si>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</si>
  <si>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</si>
  <si>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</si>
  <si>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</si>
  <si>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</si>
  <si>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</si>
  <si>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</si>
  <si>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</si>
  <si>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</si>
  <si>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</si>
  <si>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</si>
  <si>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</si>
  <si>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</si>
  <si>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</si>
  <si>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</si>
  <si>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</si>
  <si>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</si>
  <si>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</si>
  <si>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</si>
  <si>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</si>
  <si>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</si>
  <si>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</si>
  <si>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</si>
  <si>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</si>
  <si>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</si>
  <si>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</si>
  <si>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</si>
  <si>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</si>
  <si>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</si>
  <si>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</si>
  <si>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</si>
  <si>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</si>
  <si>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</si>
  <si>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</si>
  <si>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</si>
  <si>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</si>
  <si>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</si>
  <si>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</si>
  <si>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</si>
  <si>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</si>
  <si>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</si>
  <si>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</si>
  <si>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</si>
  <si>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</si>
  <si>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</si>
  <si>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</si>
  <si>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</si>
  <si>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</si>
  <si>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</si>
  <si>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</si>
  <si>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</si>
  <si>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</si>
  <si>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</si>
  <si>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</si>
  <si>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</si>
  <si>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</si>
  <si>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</si>
  <si>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</si>
  <si>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</si>
  <si>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</si>
  <si>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</si>
  <si>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</si>
  <si>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</si>
  <si>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</si>
  <si>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</si>
  <si>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</si>
  <si>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</si>
  <si>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</si>
  <si>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</si>
  <si>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</si>
  <si>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</si>
  <si>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</si>
  <si>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</si>
  <si>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</si>
  <si>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</si>
  <si>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</si>
  <si>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</si>
  <si>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</si>
  <si>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</si>
  <si>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</si>
  <si>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</si>
  <si>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</si>
  <si>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</si>
  <si>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</si>
  <si>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</si>
  <si>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</si>
  <si>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</si>
  <si>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</si>
  <si>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</si>
  <si>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</si>
  <si>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</si>
  <si>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</si>
  <si>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</si>
  <si>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</si>
  <si>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</si>
  <si>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</si>
  <si>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</si>
  <si>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</si>
  <si>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</si>
  <si>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</si>
  <si>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</si>
  <si>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</si>
  <si>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</si>
  <si>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</si>
  <si>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</si>
  <si>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</si>
  <si>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</si>
  <si>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</si>
  <si>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</si>
  <si>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</si>
  <si>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</si>
  <si>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</si>
  <si>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</si>
  <si>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</si>
  <si>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</si>
  <si>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</si>
  <si>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</si>
  <si>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</si>
  <si>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</si>
  <si>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</si>
  <si>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</si>
  <si>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</si>
  <si>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</si>
  <si>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</si>
  <si>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</si>
  <si>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</si>
  <si>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</si>
  <si>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</si>
  <si>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</si>
  <si>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</si>
  <si>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</si>
  <si>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</si>
  <si>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</si>
  <si>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</si>
  <si>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</si>
  <si>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</si>
  <si>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</si>
  <si>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</si>
  <si>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</si>
  <si>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</si>
  <si>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</si>
  <si>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</si>
  <si>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</si>
  <si>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</si>
  <si>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</si>
  <si>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</si>
  <si>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</si>
  <si>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</si>
  <si>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</si>
  <si>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</si>
  <si>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</si>
  <si>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</si>
  <si>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</si>
  <si>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</si>
  <si>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</si>
  <si>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</si>
  <si>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</si>
  <si>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</si>
  <si>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</si>
  <si>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</si>
  <si>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</si>
  <si>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</si>
  <si>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</si>
  <si>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</si>
  <si>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</si>
  <si>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</si>
  <si>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</si>
  <si>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</si>
  <si>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</si>
  <si>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</si>
  <si>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</si>
  <si>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</si>
  <si>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</si>
  <si>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</si>
  <si>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</si>
  <si>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</si>
  <si>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</si>
  <si>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</si>
  <si>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</si>
  <si>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</si>
  <si>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</si>
  <si>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</si>
  <si>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</si>
  <si>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</si>
  <si>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</si>
  <si>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</si>
  <si>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</si>
  <si>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</si>
  <si>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</si>
  <si>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</si>
  <si>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</si>
  <si>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</si>
  <si>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</si>
  <si>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</si>
  <si>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</si>
  <si>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</si>
  <si>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</si>
  <si>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</si>
  <si>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</si>
  <si>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</si>
  <si>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</si>
  <si>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</si>
  <si>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</si>
  <si>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</si>
  <si>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</si>
  <si>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</si>
  <si>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</si>
  <si>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</si>
  <si>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</si>
  <si>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</si>
  <si>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</si>
  <si>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</si>
  <si>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</si>
  <si>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</si>
  <si>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</si>
  <si>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</si>
  <si>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</si>
  <si>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</si>
  <si>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</si>
  <si>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</si>
  <si>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</si>
  <si>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</si>
  <si>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</si>
  <si>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</si>
  <si>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</si>
  <si>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</si>
  <si>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</si>
  <si>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</si>
  <si>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</si>
  <si>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</si>
  <si>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</si>
  <si>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</si>
  <si>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</si>
  <si>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</si>
  <si>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</si>
  <si>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</si>
  <si>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</si>
  <si>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</si>
  <si>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</si>
  <si>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</si>
  <si>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</si>
  <si>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</si>
  <si>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</si>
  <si>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</si>
  <si>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</si>
  <si>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</si>
  <si>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</si>
  <si>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</si>
  <si>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</si>
  <si>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</si>
  <si>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</si>
  <si>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</si>
  <si>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</si>
  <si>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</si>
  <si>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</si>
  <si>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</si>
  <si>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</si>
  <si>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</si>
  <si>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</si>
  <si>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</si>
  <si>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</si>
  <si>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</si>
  <si>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</si>
  <si>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</si>
  <si>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</si>
  <si>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</si>
  <si>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</si>
  <si>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</si>
  <si>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</si>
  <si>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</si>
  <si>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</si>
  <si>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</si>
  <si>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</si>
  <si>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</si>
  <si>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</si>
  <si>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</si>
  <si>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</si>
  <si>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</si>
  <si>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</si>
  <si>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</si>
  <si>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</si>
  <si>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</si>
  <si>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</si>
  <si>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</si>
  <si>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</si>
  <si>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</si>
  <si>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</si>
  <si>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</si>
  <si>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</si>
  <si>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</si>
  <si>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</si>
  <si>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</si>
  <si>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</si>
  <si>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</si>
  <si>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</si>
  <si>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</si>
  <si>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</si>
  <si>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</si>
  <si>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</si>
  <si>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</si>
  <si>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</si>
  <si>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</si>
  <si>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</si>
  <si>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</si>
  <si>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</si>
  <si>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</si>
  <si>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</si>
  <si>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</si>
  <si>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</si>
  <si>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</si>
  <si>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</si>
  <si>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</si>
  <si>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</si>
  <si>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</si>
  <si>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</si>
  <si>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</si>
  <si>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</si>
  <si>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</si>
  <si>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</si>
  <si>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</si>
  <si>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</si>
  <si>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</si>
  <si>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</si>
  <si>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</si>
  <si>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</si>
  <si>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</si>
  <si>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</si>
  <si>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</si>
  <si>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</si>
  <si>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</si>
  <si>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</si>
  <si>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</si>
  <si>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</si>
  <si>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</si>
  <si>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</si>
  <si>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</si>
  <si>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</si>
  <si>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</si>
  <si>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</si>
  <si>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</si>
  <si>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</si>
  <si>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</si>
  <si>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</si>
  <si>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</si>
  <si>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</si>
  <si>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</si>
  <si>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</si>
  <si>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</si>
  <si>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</si>
  <si>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</si>
  <si>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</si>
  <si>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</si>
  <si>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</si>
  <si>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</si>
  <si>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</si>
  <si>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</si>
  <si>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</si>
  <si>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</si>
  <si>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</si>
  <si>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</si>
  <si>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</si>
  <si>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</si>
  <si>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</si>
  <si>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</si>
  <si>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</si>
  <si>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</si>
  <si>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</si>
  <si>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</si>
  <si>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</si>
  <si>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</si>
  <si>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</si>
  <si>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</si>
  <si>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</si>
  <si>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</si>
  <si>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</si>
  <si>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</si>
  <si>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</si>
  <si>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</si>
  <si>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</si>
  <si>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</si>
  <si>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</si>
  <si>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</si>
  <si>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</si>
  <si>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</si>
  <si>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</si>
  <si>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</si>
  <si>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</si>
  <si>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</si>
  <si>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</si>
  <si>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</si>
  <si>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</si>
  <si>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</si>
  <si>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</si>
  <si>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</si>
  <si>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</si>
  <si>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</si>
  <si>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</si>
  <si>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</si>
  <si>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</si>
  <si>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</si>
  <si>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</si>
  <si>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</si>
  <si>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</si>
  <si>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</si>
  <si>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</si>
  <si>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</si>
  <si>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</si>
  <si>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</si>
  <si>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</si>
  <si>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</si>
  <si>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</si>
  <si>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</si>
  <si>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</si>
  <si>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</si>
  <si>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</si>
  <si>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</si>
  <si>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</si>
  <si>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</si>
  <si>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</si>
  <si>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</si>
  <si>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</si>
  <si>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</si>
  <si>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</si>
  <si>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</si>
  <si>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</si>
  <si>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</si>
  <si>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</si>
  <si>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</si>
  <si>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</si>
  <si>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</si>
  <si>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</si>
  <si>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</si>
  <si>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</si>
  <si>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</si>
  <si>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</si>
  <si>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</si>
  <si>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</si>
  <si>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</si>
  <si>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</si>
  <si>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</si>
  <si>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</si>
  <si>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</si>
  <si>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</si>
  <si>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</si>
  <si>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</si>
  <si>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</si>
  <si>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</si>
  <si>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</si>
  <si>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</si>
  <si>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</si>
  <si>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</si>
  <si>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</si>
  <si>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</si>
  <si>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</si>
  <si>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</si>
  <si>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</si>
  <si>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</si>
  <si>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</si>
  <si>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</si>
  <si>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</si>
  <si>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</si>
  <si>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</si>
  <si>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</si>
  <si>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</si>
  <si>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</si>
  <si>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</si>
  <si>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</si>
  <si>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</si>
  <si>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</si>
  <si>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</si>
  <si>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</si>
  <si>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</si>
  <si>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</si>
  <si>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</si>
  <si>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</si>
  <si>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</si>
  <si>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</si>
  <si>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</si>
  <si>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</si>
  <si>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</si>
  <si>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</si>
  <si>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</si>
  <si>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</si>
  <si>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</si>
  <si>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</si>
  <si>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</si>
  <si>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</si>
  <si>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</si>
  <si>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</si>
  <si>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</si>
  <si>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</si>
  <si>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</si>
  <si>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</si>
  <si>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</si>
  <si>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</si>
  <si>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</si>
  <si>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</si>
  <si>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</si>
  <si>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</si>
  <si>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</si>
  <si>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</si>
  <si>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</si>
  <si>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</si>
  <si>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</si>
  <si>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</si>
  <si>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</si>
  <si>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</si>
  <si>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</si>
  <si>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</si>
  <si>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</si>
  <si>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</si>
  <si>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</si>
  <si>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</si>
  <si>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</si>
  <si>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</si>
  <si>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</si>
  <si>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</si>
  <si>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</si>
  <si>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</si>
  <si>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</si>
  <si>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</si>
  <si>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</si>
  <si>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</si>
  <si>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</si>
  <si>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</si>
  <si>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</si>
  <si>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</si>
  <si>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</si>
  <si>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</si>
  <si>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</si>
  <si>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</si>
  <si>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</si>
  <si>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</si>
  <si>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</si>
  <si>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</si>
  <si>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</si>
  <si>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</si>
  <si>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</si>
  <si>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</si>
  <si>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</si>
  <si>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</si>
  <si>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</si>
  <si>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</si>
  <si>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</si>
  <si>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</si>
  <si>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</si>
  <si>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</si>
  <si>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</si>
  <si>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</si>
  <si>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</si>
  <si>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</si>
  <si>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</si>
  <si>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</si>
  <si>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</si>
  <si>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</si>
  <si>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</si>
  <si>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</si>
  <si>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</si>
  <si>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</si>
  <si>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</si>
  <si>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</si>
  <si>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</si>
  <si>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</si>
  <si>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</si>
  <si>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</si>
  <si>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</si>
  <si>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</si>
  <si>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</si>
  <si>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</si>
  <si>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</si>
  <si>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</si>
  <si>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</si>
  <si>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</si>
  <si>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</si>
  <si>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</si>
  <si>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</si>
  <si>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</si>
  <si>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</si>
  <si>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</si>
  <si>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</si>
  <si>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</si>
  <si>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</si>
  <si>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</si>
  <si>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</si>
  <si>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</si>
  <si>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</si>
  <si>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</si>
  <si>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</si>
  <si>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</si>
  <si>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</si>
  <si>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</si>
  <si>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</si>
  <si>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</si>
  <si>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</si>
  <si>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</si>
  <si>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</si>
  <si>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</si>
  <si>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</si>
  <si>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</si>
  <si>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</si>
  <si>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</si>
  <si>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</si>
  <si>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</si>
  <si>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</si>
  <si>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</si>
  <si>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</si>
  <si>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</si>
  <si>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</si>
  <si>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</si>
  <si>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</si>
  <si>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</si>
  <si>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</si>
  <si>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</si>
  <si>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</si>
  <si>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</si>
  <si>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</si>
  <si>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</si>
  <si>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</si>
  <si>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</si>
  <si>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</si>
  <si>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</si>
  <si>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</si>
  <si>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</si>
  <si>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</si>
  <si>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</si>
  <si>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</si>
  <si>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</si>
  <si>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</si>
  <si>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</si>
  <si>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</si>
  <si>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</si>
  <si>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</si>
  <si>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</si>
  <si>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</si>
  <si>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</si>
  <si>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</si>
  <si>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</si>
  <si>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</si>
  <si>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</si>
  <si>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</si>
  <si>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</si>
  <si>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</si>
  <si>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</si>
  <si>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</si>
  <si>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</si>
  <si>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</si>
  <si>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</si>
  <si>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</si>
  <si>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</si>
  <si>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</si>
  <si>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</si>
  <si>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</si>
  <si>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</si>
  <si>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</si>
  <si>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</si>
  <si>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</si>
  <si>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</si>
  <si>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</si>
  <si>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</si>
  <si>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</si>
  <si>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</si>
  <si>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</si>
  <si>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</si>
  <si>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</si>
  <si>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</si>
  <si>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</si>
  <si>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</si>
  <si>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</si>
  <si>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</si>
  <si>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</si>
  <si>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</si>
  <si>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</si>
  <si>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</si>
  <si>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</si>
  <si>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</si>
  <si>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</si>
  <si>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</si>
  <si>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</si>
  <si>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</si>
  <si>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</si>
  <si>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</si>
  <si>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</si>
  <si>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</si>
  <si>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</si>
  <si>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</si>
  <si>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</si>
  <si>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</si>
  <si>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</si>
  <si>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</si>
  <si>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</si>
  <si>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</si>
  <si>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</si>
  <si>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</si>
  <si>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</si>
  <si>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</si>
  <si>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</si>
  <si>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</si>
  <si>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</si>
  <si>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</si>
  <si>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</si>
  <si>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</si>
  <si>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</si>
  <si>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</si>
  <si>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</si>
  <si>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</si>
  <si>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</si>
  <si>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</si>
  <si>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</si>
  <si>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</si>
  <si>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</si>
  <si>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</si>
  <si>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</si>
  <si>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</si>
  <si>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</si>
  <si>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</si>
  <si>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</si>
  <si>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</si>
  <si>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</si>
  <si>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</si>
  <si>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</si>
  <si>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</si>
  <si>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</si>
  <si>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</si>
  <si>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</si>
  <si>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</si>
  <si>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</si>
  <si>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</si>
  <si>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</si>
  <si>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</si>
  <si>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</si>
  <si>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</si>
  <si>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</si>
  <si>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</si>
  <si>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</si>
  <si>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</si>
  <si>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</si>
  <si>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</si>
  <si>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</si>
  <si>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</si>
  <si>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</si>
  <si>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</si>
  <si>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</si>
  <si>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</si>
  <si>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</si>
  <si>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</si>
  <si>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</si>
  <si>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</si>
  <si>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</si>
  <si>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</si>
  <si>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</si>
  <si>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</si>
  <si>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</si>
  <si>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</si>
  <si>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</si>
  <si>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</si>
  <si>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</si>
  <si>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</si>
  <si>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</si>
  <si>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</si>
  <si>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</si>
  <si>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</si>
  <si>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</si>
  <si>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</si>
  <si>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</si>
  <si>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</si>
  <si>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</si>
  <si>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</si>
  <si>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</si>
  <si>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</si>
  <si>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</si>
  <si>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</si>
  <si>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</si>
  <si>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</si>
  <si>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</si>
  <si>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</si>
  <si>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</si>
  <si>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</si>
  <si>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</si>
  <si>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</si>
  <si>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</si>
  <si>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</si>
  <si>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</si>
  <si>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</si>
  <si>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</si>
  <si>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</si>
  <si>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</si>
  <si>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</si>
  <si>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</si>
  <si>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</si>
  <si>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</si>
  <si>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</si>
  <si>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</si>
  <si>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</si>
  <si>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</si>
  <si>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</si>
  <si>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</si>
  <si>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</si>
  <si>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</si>
  <si>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</si>
  <si>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</si>
  <si>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</si>
  <si>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</si>
  <si>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</si>
  <si>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</si>
  <si>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</si>
  <si>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</si>
  <si>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B2001</t>
  </si>
  <si>
    <t>B2002</t>
  </si>
  <si>
    <t>B2003</t>
  </si>
  <si>
    <t>B2004</t>
  </si>
  <si>
    <t>B2005</t>
  </si>
  <si>
    <t>B2006</t>
  </si>
  <si>
    <t>B2007</t>
  </si>
  <si>
    <t>B2008</t>
  </si>
  <si>
    <t>B2009</t>
  </si>
  <si>
    <t>B2010</t>
  </si>
  <si>
    <t>B2011</t>
  </si>
  <si>
    <t>B2012</t>
  </si>
  <si>
    <t>B2013</t>
  </si>
  <si>
    <t>B2014</t>
  </si>
  <si>
    <t>B2015</t>
  </si>
  <si>
    <t>B2016、B2017</t>
  </si>
  <si>
    <t>B2018、B2019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</si>
  <si>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</si>
  <si>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</si>
  <si>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</si>
  <si>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</si>
  <si>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</si>
  <si>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</si>
  <si>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</si>
  <si>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</si>
  <si>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</si>
  <si>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</si>
  <si>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</si>
  <si>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</si>
  <si>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</si>
  <si>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</si>
  <si>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</si>
  <si>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</si>
  <si>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</si>
  <si>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</si>
  <si>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</si>
  <si>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</si>
  <si>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</si>
  <si>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</si>
  <si>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</si>
  <si>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</si>
  <si>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</si>
  <si>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</si>
  <si>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</si>
  <si>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</si>
  <si>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</si>
  <si>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</si>
  <si>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</si>
  <si>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</si>
  <si>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</si>
  <si>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</si>
  <si>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</si>
  <si>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</si>
  <si>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</si>
  <si>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</si>
  <si>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</si>
  <si>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</si>
  <si>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</si>
  <si>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</si>
  <si>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</si>
  <si>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</si>
  <si>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</si>
  <si>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</si>
  <si>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</si>
  <si>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</si>
  <si>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</si>
  <si>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</si>
  <si>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</si>
  <si>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</si>
  <si>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</si>
  <si>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</si>
  <si>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</si>
  <si>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</si>
  <si>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</si>
  <si>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</si>
  <si>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</si>
  <si>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</si>
  <si>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</si>
  <si>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</si>
  <si>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</si>
  <si>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</si>
  <si>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</si>
  <si>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</si>
  <si>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</si>
  <si>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</si>
  <si>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B2088、B2089</t>
  </si>
  <si>
    <t>B2090、B2091</t>
  </si>
  <si>
    <t>B2092、B2093</t>
  </si>
  <si>
    <t>B2094</t>
  </si>
  <si>
    <t>B2095、B2096</t>
  </si>
  <si>
    <t>B2097、B2098</t>
  </si>
  <si>
    <t>B2099、B2100</t>
  </si>
  <si>
    <t>B2101、B2102</t>
  </si>
  <si>
    <t>地下商业</t>
    <phoneticPr fontId="134" type="noConversion"/>
  </si>
  <si>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</si>
  <si>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</si>
  <si>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</si>
  <si>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</si>
  <si>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</si>
  <si>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</si>
  <si>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</si>
  <si>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</si>
  <si>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</si>
  <si>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</si>
  <si>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</si>
  <si>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</si>
  <si>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</si>
  <si>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</si>
  <si>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</si>
  <si>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</si>
  <si>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</si>
  <si>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</si>
  <si>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</si>
  <si>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</si>
  <si>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</si>
  <si>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</si>
  <si>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</si>
  <si>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</si>
  <si>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</si>
  <si>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</si>
  <si>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</si>
  <si>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</si>
  <si>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</si>
  <si>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</si>
  <si>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</si>
  <si>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</si>
  <si>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</si>
  <si>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</si>
  <si>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</si>
  <si>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</si>
  <si>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</si>
  <si>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</si>
  <si>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</si>
  <si>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</si>
  <si>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</si>
  <si>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</si>
  <si>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</si>
  <si>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</si>
  <si>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</si>
  <si>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</si>
  <si>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</si>
  <si>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</si>
  <si>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</si>
  <si>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</si>
  <si>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</si>
  <si>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</si>
  <si>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</si>
  <si>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</si>
  <si>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</si>
  <si>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</si>
  <si>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</si>
  <si>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</si>
  <si>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</si>
  <si>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</si>
  <si>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</si>
  <si>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</si>
  <si>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</si>
  <si>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</si>
  <si>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</si>
  <si>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</si>
  <si>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</si>
  <si>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</si>
  <si>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</si>
  <si>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</si>
  <si>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</si>
  <si>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</si>
  <si>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</si>
  <si>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</si>
  <si>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</si>
  <si>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</si>
  <si>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</si>
  <si>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</si>
  <si>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</si>
  <si>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</si>
  <si>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</si>
  <si>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</si>
  <si>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</si>
  <si>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</si>
  <si>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</si>
  <si>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</si>
  <si>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</si>
  <si>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</si>
  <si>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</si>
  <si>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</si>
  <si>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</si>
  <si>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</si>
  <si>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</si>
  <si>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</si>
  <si>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</si>
  <si>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</si>
  <si>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</si>
  <si>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</si>
  <si>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</si>
  <si>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</si>
  <si>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</si>
  <si>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</si>
  <si>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</si>
  <si>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</si>
  <si>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</si>
  <si>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</si>
  <si>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</si>
  <si>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</si>
  <si>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</si>
  <si>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</si>
  <si>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</si>
  <si>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</si>
  <si>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</si>
  <si>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</si>
  <si>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</si>
  <si>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</si>
  <si>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</si>
  <si>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</si>
  <si>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</si>
  <si>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</si>
  <si>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</si>
  <si>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</si>
  <si>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</si>
  <si>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</si>
  <si>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</si>
  <si>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</si>
  <si>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</si>
  <si>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</si>
  <si>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</si>
  <si>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</si>
  <si>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</si>
  <si>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</si>
  <si>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</si>
  <si>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</si>
  <si>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</si>
  <si>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</si>
  <si>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</si>
  <si>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</si>
  <si>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</si>
  <si>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</si>
  <si>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</si>
  <si>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</si>
  <si>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</si>
  <si>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</si>
  <si>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</si>
  <si>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</si>
  <si>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</si>
  <si>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</si>
  <si>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</si>
  <si>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</si>
  <si>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</si>
  <si>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</si>
  <si>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</si>
  <si>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</si>
  <si>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</si>
  <si>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</si>
  <si>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</si>
  <si>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</si>
  <si>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</si>
  <si>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</si>
  <si>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</si>
  <si>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</si>
  <si>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</si>
  <si>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</si>
  <si>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</si>
  <si>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</si>
  <si>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</si>
  <si>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</si>
  <si>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</si>
  <si>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</si>
  <si>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</si>
  <si>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</si>
  <si>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</si>
  <si>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</si>
  <si>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</si>
  <si>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</si>
  <si>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</si>
  <si>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</si>
  <si>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</si>
  <si>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</si>
  <si>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</si>
  <si>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</si>
  <si>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</si>
  <si>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</si>
  <si>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</si>
  <si>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</si>
  <si>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</si>
  <si>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</si>
  <si>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</si>
  <si>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</si>
  <si>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</si>
  <si>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</si>
  <si>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</si>
  <si>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</si>
  <si>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</si>
  <si>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</si>
  <si>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</si>
  <si>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</si>
  <si>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</si>
  <si>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</si>
  <si>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</si>
  <si>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</si>
  <si>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</si>
  <si>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</si>
  <si>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</si>
  <si>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</si>
  <si>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</si>
  <si>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</si>
  <si>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</si>
  <si>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</si>
  <si>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B2015、B2016</t>
  </si>
  <si>
    <t>B2017</t>
  </si>
  <si>
    <t>B2018</t>
  </si>
  <si>
    <t>B2019</t>
  </si>
  <si>
    <t>B2050、B2051</t>
  </si>
  <si>
    <t>B2052、B2053</t>
  </si>
  <si>
    <t>B2054、B2055</t>
  </si>
  <si>
    <t>B2072、B2073</t>
  </si>
  <si>
    <t>B2074、B2075</t>
  </si>
  <si>
    <t>B2076、B2077</t>
  </si>
  <si>
    <t>B2078、B2079</t>
  </si>
  <si>
    <t>B2080、B2081</t>
  </si>
  <si>
    <t>B2082、B2083</t>
  </si>
  <si>
    <t>B2092</t>
  </si>
  <si>
    <t>B2093</t>
  </si>
  <si>
    <t>B2095</t>
  </si>
  <si>
    <t>B2096</t>
  </si>
  <si>
    <t>B2097</t>
  </si>
  <si>
    <t>B2098</t>
  </si>
  <si>
    <t>B2099</t>
  </si>
  <si>
    <t>B2100</t>
  </si>
  <si>
    <t>B2101</t>
  </si>
  <si>
    <t>B2102</t>
  </si>
  <si>
    <t>B2103</t>
  </si>
  <si>
    <t>B2104、B2105</t>
  </si>
  <si>
    <t>B2106、B2107</t>
  </si>
  <si>
    <t>B2108、B2109</t>
  </si>
  <si>
    <t>B2110</t>
  </si>
  <si>
    <t>B2111、B2112</t>
  </si>
  <si>
    <t>B2113、B2114</t>
  </si>
  <si>
    <t>B2115、B2116</t>
  </si>
  <si>
    <t>B2117、B2118</t>
  </si>
  <si>
    <t>B2119、B2120</t>
  </si>
  <si>
    <t>B2121</t>
  </si>
  <si>
    <t>B2122</t>
  </si>
  <si>
    <t>B2123</t>
  </si>
  <si>
    <t>B2124</t>
  </si>
  <si>
    <t>B2125</t>
  </si>
  <si>
    <t>B2126</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</si>
  <si>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</si>
  <si>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</si>
  <si>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</si>
  <si>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</si>
  <si>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</si>
  <si>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</si>
  <si>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</si>
  <si>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</si>
  <si>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</si>
  <si>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</si>
  <si>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</si>
  <si>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</si>
  <si>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</si>
  <si>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</si>
  <si>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</si>
  <si>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</si>
  <si>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</si>
  <si>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</si>
  <si>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</si>
  <si>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</si>
  <si>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</si>
  <si>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</si>
  <si>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</si>
  <si>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</si>
  <si>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</si>
  <si>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</si>
  <si>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</si>
  <si>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</si>
  <si>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</si>
  <si>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</si>
  <si>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</si>
  <si>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</si>
  <si>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</si>
  <si>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</si>
  <si>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</si>
  <si>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</si>
  <si>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</si>
  <si>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</si>
  <si>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</si>
  <si>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</si>
  <si>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</si>
  <si>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</si>
  <si>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</si>
  <si>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</si>
  <si>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</si>
  <si>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</si>
  <si>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</si>
  <si>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</si>
  <si>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</si>
  <si>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</si>
  <si>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</si>
  <si>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</si>
  <si>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</si>
  <si>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</si>
  <si>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</si>
  <si>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</si>
  <si>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</si>
  <si>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</si>
  <si>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</si>
  <si>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</si>
  <si>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</si>
  <si>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</si>
  <si>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</si>
  <si>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</si>
  <si>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</si>
  <si>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</si>
  <si>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</si>
  <si>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</si>
  <si>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</si>
  <si>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</si>
  <si>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</si>
  <si>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</si>
  <si>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</si>
  <si>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</si>
  <si>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</si>
  <si>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</si>
  <si>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</si>
  <si>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</si>
  <si>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</si>
  <si>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</si>
  <si>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</si>
  <si>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</si>
  <si>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</si>
  <si>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</si>
  <si>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</si>
  <si>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</si>
  <si>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</si>
  <si>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</si>
  <si>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</si>
  <si>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</si>
  <si>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</si>
  <si>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</si>
  <si>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</si>
  <si>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</si>
  <si>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</si>
  <si>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</si>
  <si>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</si>
  <si>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</si>
  <si>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</si>
  <si>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</si>
  <si>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</si>
  <si>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</si>
  <si>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</si>
  <si>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</si>
  <si>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</si>
  <si>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</si>
  <si>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</si>
  <si>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</si>
  <si>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</si>
  <si>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</si>
  <si>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</si>
  <si>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</si>
  <si>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</si>
  <si>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</si>
  <si>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</si>
  <si>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</si>
  <si>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</si>
  <si>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</si>
  <si>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</si>
  <si>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</si>
  <si>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</si>
  <si>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</si>
  <si>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</si>
  <si>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</si>
  <si>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</si>
  <si>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</si>
  <si>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</si>
  <si>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</si>
  <si>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</si>
  <si>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</si>
  <si>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</si>
  <si>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</si>
  <si>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</si>
  <si>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</si>
  <si>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</si>
  <si>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</si>
  <si>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</si>
  <si>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</si>
  <si>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</si>
  <si>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</si>
  <si>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</si>
  <si>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</si>
  <si>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</si>
  <si>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</si>
  <si>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</si>
  <si>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</si>
  <si>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</si>
  <si>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</si>
  <si>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</si>
  <si>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</si>
  <si>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</si>
  <si>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</si>
  <si>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</si>
  <si>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</si>
  <si>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</si>
  <si>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</si>
  <si>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</si>
  <si>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</si>
  <si>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</si>
  <si>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</si>
  <si>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</si>
  <si>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</si>
  <si>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</si>
  <si>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</si>
  <si>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</si>
  <si>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</si>
  <si>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</si>
  <si>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</si>
  <si>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</si>
  <si>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</si>
  <si>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</si>
  <si>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</si>
  <si>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</si>
  <si>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</si>
  <si>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</si>
  <si>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</si>
  <si>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</si>
  <si>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</si>
  <si>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</si>
  <si>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</si>
  <si>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</si>
  <si>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</si>
  <si>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</si>
  <si>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</si>
  <si>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</si>
  <si>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</si>
  <si>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</si>
  <si>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</si>
  <si>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</si>
  <si>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</si>
  <si>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</si>
  <si>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</si>
  <si>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</si>
  <si>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</si>
  <si>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</si>
  <si>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</si>
  <si>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</si>
  <si>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</si>
  <si>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</si>
  <si>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</si>
  <si>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</si>
  <si>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</si>
  <si>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</si>
  <si>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</si>
  <si>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</si>
  <si>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</si>
  <si>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</si>
  <si>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</si>
  <si>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</si>
  <si>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</si>
  <si>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</si>
  <si>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</si>
  <si>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</si>
  <si>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</si>
  <si>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</si>
  <si>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</si>
  <si>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</si>
  <si>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</si>
  <si>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</si>
  <si>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</si>
  <si>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</si>
  <si>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</si>
  <si>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</si>
  <si>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</si>
  <si>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B2366、B2367</t>
  </si>
  <si>
    <t>B2368、B2369</t>
  </si>
  <si>
    <t>B2370</t>
  </si>
  <si>
    <t>B2371</t>
  </si>
  <si>
    <t>B2372</t>
  </si>
  <si>
    <t>B2373</t>
  </si>
  <si>
    <t>B2374</t>
  </si>
  <si>
    <t>B2375</t>
  </si>
  <si>
    <t>B2376</t>
  </si>
  <si>
    <t>B2377</t>
  </si>
  <si>
    <t>B2378</t>
  </si>
  <si>
    <t>B2379</t>
  </si>
  <si>
    <t>B2380</t>
  </si>
  <si>
    <t>B2381</t>
  </si>
  <si>
    <t>B2382</t>
  </si>
  <si>
    <t>B2383</t>
  </si>
  <si>
    <t>B2384、B2385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</si>
  <si>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</si>
  <si>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</si>
  <si>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</si>
  <si>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</si>
  <si>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</si>
  <si>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</si>
  <si>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</si>
  <si>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</si>
  <si>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</si>
  <si>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</si>
  <si>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</si>
  <si>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</si>
  <si>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</si>
  <si>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</si>
  <si>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</si>
  <si>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</si>
  <si>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</si>
  <si>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</si>
  <si>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</si>
  <si>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</si>
  <si>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</si>
  <si>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</si>
  <si>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</si>
  <si>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</si>
  <si>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</si>
  <si>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</si>
  <si>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</si>
  <si>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</si>
  <si>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</si>
  <si>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</si>
  <si>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</si>
  <si>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</si>
  <si>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</si>
  <si>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</si>
  <si>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</si>
  <si>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</si>
  <si>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</si>
  <si>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</si>
  <si>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</si>
  <si>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</si>
  <si>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</si>
  <si>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</si>
  <si>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</si>
  <si>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</si>
  <si>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</si>
  <si>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</si>
  <si>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</si>
  <si>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</si>
  <si>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</si>
  <si>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</si>
  <si>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</si>
  <si>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</si>
  <si>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</si>
  <si>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</si>
  <si>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</si>
  <si>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</si>
  <si>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</si>
  <si>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</si>
  <si>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</si>
  <si>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</si>
  <si>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</si>
  <si>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</si>
  <si>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</si>
  <si>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</si>
  <si>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</si>
  <si>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</si>
  <si>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</si>
  <si>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</si>
  <si>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</si>
  <si>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</si>
  <si>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</si>
  <si>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</si>
  <si>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</si>
  <si>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</si>
  <si>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</si>
  <si>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</si>
  <si>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</si>
  <si>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</si>
  <si>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</si>
  <si>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</si>
  <si>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</si>
  <si>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</si>
  <si>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</si>
  <si>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</si>
  <si>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</si>
  <si>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</si>
  <si>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</si>
  <si>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</si>
  <si>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</si>
  <si>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</si>
  <si>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</si>
  <si>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</si>
  <si>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商业</t>
    <phoneticPr fontId="134" type="noConversion"/>
  </si>
  <si>
    <t>办公</t>
    <phoneticPr fontId="134" type="noConversion"/>
  </si>
  <si>
    <t>地下商业</t>
    <phoneticPr fontId="134" type="noConversion"/>
  </si>
  <si>
    <t>地下车库</t>
    <phoneticPr fontId="134" type="noConversion"/>
  </si>
  <si>
    <t>合计</t>
    <phoneticPr fontId="134" type="noConversion"/>
  </si>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</sst>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 numFmtId="198"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9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77" fillId="0" borderId="3" xfId="12" applyNumberFormat="1" applyFont="1" applyFill="1" applyBorder="1" applyAlignment="1">
      <alignment horizontal="center" vertical="center"/>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7" fontId="19" fillId="8" borderId="1" xfId="12" applyNumberFormat="1" applyFont="1" applyFill="1" applyBorder="1" applyAlignment="1" applyProtection="1">
      <alignment horizontal="center" vertical="center" shrinkToFit="1"/>
    </xf>
    <xf numFmtId="179" fontId="77" fillId="8" borderId="1" xfId="12" applyNumberFormat="1" applyFont="1" applyFill="1" applyBorder="1" applyAlignment="1">
      <alignment horizontal="center" vertical="center"/>
    </xf>
    <xf numFmtId="196" fontId="272" fillId="8" borderId="1" xfId="12" applyNumberFormat="1" applyFont="1" applyFill="1" applyBorder="1" applyAlignment="1">
      <alignment horizontal="center" vertical="center" wrapText="1"/>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198" fontId="47" fillId="6" borderId="1" xfId="0" applyNumberFormat="1" applyFont="1" applyFill="1" applyBorder="1" applyAlignment="1" applyProtection="1">
      <alignment horizontal="center" vertical="center"/>
    </xf>
    <xf numFmtId="0" fontId="80" fillId="22" borderId="1" xfId="0" applyFont="1" applyFill="1" applyBorder="1" applyProtection="1">
      <alignment vertical="center"/>
      <protection locked="0"/>
    </xf>
    <xf numFmtId="0" fontId="54" fillId="22" borderId="1" xfId="0" applyFont="1" applyFill="1" applyBorder="1" applyAlignment="1" applyProtection="1">
      <alignment horizontal="center"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64" fillId="0" borderId="176" xfId="0" applyFont="1" applyBorder="1" applyAlignment="1">
      <alignment horizontal="justify" vertical="center"/>
    </xf>
    <xf numFmtId="0" fontId="264" fillId="0" borderId="177" xfId="0" applyFont="1" applyBorder="1" applyAlignment="1">
      <alignment vertical="center"/>
    </xf>
    <xf numFmtId="0" fontId="264" fillId="0" borderId="177" xfId="0" applyFont="1" applyBorder="1" applyAlignment="1">
      <alignment horizontal="justify" vertical="center"/>
    </xf>
    <xf numFmtId="0" fontId="266" fillId="0" borderId="178" xfId="0" applyFont="1" applyBorder="1" applyAlignment="1">
      <alignment horizontal="justify" vertical="center"/>
    </xf>
    <xf numFmtId="0" fontId="264" fillId="0" borderId="179" xfId="0" applyFont="1" applyBorder="1" applyAlignment="1">
      <alignment vertical="center"/>
    </xf>
    <xf numFmtId="0" fontId="266" fillId="0" borderId="179" xfId="0" applyFont="1" applyBorder="1" applyAlignment="1">
      <alignment horizontal="justify" vertical="center"/>
    </xf>
    <xf numFmtId="0" fontId="266" fillId="0" borderId="183" xfId="0" applyFont="1" applyBorder="1" applyAlignment="1">
      <alignment horizontal="justify" vertical="center"/>
    </xf>
    <xf numFmtId="2" fontId="266" fillId="0" borderId="179" xfId="0" applyNumberFormat="1" applyFont="1" applyBorder="1" applyAlignment="1">
      <alignment horizontal="justify" vertical="center"/>
    </xf>
    <xf numFmtId="179" fontId="266" fillId="0" borderId="179" xfId="0" applyNumberFormat="1" applyFont="1" applyBorder="1" applyAlignment="1">
      <alignment horizontal="justify"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4" fillId="0" borderId="180" xfId="0" applyFont="1" applyBorder="1" applyAlignment="1">
      <alignment horizontal="justify" vertical="center"/>
    </xf>
    <xf numFmtId="0" fontId="264" fillId="0" borderId="181" xfId="0" applyFont="1" applyBorder="1" applyAlignment="1">
      <alignment horizontal="justify" vertical="center"/>
    </xf>
    <xf numFmtId="0" fontId="264" fillId="0" borderId="182" xfId="0" applyFont="1" applyBorder="1" applyAlignment="1">
      <alignment horizontal="justify" vertical="center"/>
    </xf>
    <xf numFmtId="0" fontId="270" fillId="0" borderId="1"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72" fillId="0" borderId="2" xfId="12" applyNumberFormat="1"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2" xfId="12"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163"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0303;&#23429;&#20179;&#2064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10;&#26469;&#20844;&#20803;&#38754;&#3121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3&#24180;/2023-1-0594-&#37329;&#36152;&#22823;&#21414;2023&#24180;-&#24314;&#34892;/2023-1-0594-F01&#35199;&#30452;&#38376;&#37329;&#36152;&#22823;&#21414;&#24314;&#34892;&#25253;&#21578;2023-&#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住宅仓储"/>
      <sheetName val="结果表"/>
      <sheetName val="比较法-住宅"/>
      <sheetName val="土地比较法-住宅、综合"/>
      <sheetName val="成本法"/>
      <sheetName val="成本法 (元)"/>
      <sheetName val="假设开发法"/>
      <sheetName val="比较法-工业"/>
      <sheetName val="收益法"/>
      <sheetName val="收益法 (元)"/>
      <sheetName val="收益法-酒店模型"/>
      <sheetName val="收益法（汇总）"/>
      <sheetName val="比较法-商业"/>
      <sheetName val="比较法-办公"/>
      <sheetName val="比较法-车位"/>
      <sheetName val="典型户型修正"/>
      <sheetName val="结果表仓"/>
      <sheetName val="比较法-仓储"/>
      <sheetName val="成本法 (仓)"/>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仓"/>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1060.71</v>
          </cell>
          <cell r="D14">
            <v>5666</v>
          </cell>
        </row>
        <row r="15">
          <cell r="B15">
            <v>482.66999999999996</v>
          </cell>
          <cell r="D15">
            <v>567</v>
          </cell>
        </row>
      </sheetData>
      <sheetData sheetId="17">
        <row r="4">
          <cell r="I4">
            <v>951</v>
          </cell>
        </row>
        <row r="7">
          <cell r="I7">
            <v>37</v>
          </cell>
        </row>
        <row r="16">
          <cell r="I16">
            <v>3382</v>
          </cell>
        </row>
        <row r="22">
          <cell r="I22">
            <v>1863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表"/>
      <sheetName val="英才南一街"/>
      <sheetName val="英才南二街"/>
      <sheetName val="住宅仓储"/>
      <sheetName val="商办车库"/>
      <sheetName val="清单"/>
    </sheetNames>
    <sheetDataSet>
      <sheetData sheetId="0">
        <row r="17">
          <cell r="F17">
            <v>152937.31</v>
          </cell>
        </row>
      </sheetData>
      <sheetData sheetId="1"/>
      <sheetData sheetId="2"/>
      <sheetData sheetId="3">
        <row r="19">
          <cell r="F19">
            <v>1543.38</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C5">
            <v>410.74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估价对象为北京市昌平区英才南一街15号院1号楼等13栋部分用房房地产，为所有。根据《国有土地使用证》[]，估价对象（分摊）出让国有建设用地使用权面积为0平方米，建筑面积为1467.45平方米。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1247</v>
      </c>
    </row>
    <row r="21" spans="1:2" s="1195" customFormat="1">
      <c r="A21" s="1193" t="s">
        <v>537</v>
      </c>
      <c r="B21" s="1194">
        <f ca="1">'预评函-2'!D7</f>
        <v>45249</v>
      </c>
    </row>
    <row r="22" spans="1:2" s="1195" customFormat="1">
      <c r="A22" s="1193" t="s">
        <v>538</v>
      </c>
      <c r="B22" s="1194" t="str">
        <f ca="1">'预评函-2'!D6</f>
        <v>壹仟贰佰肆拾柒万元整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1247</v>
      </c>
    </row>
    <row r="31" spans="1:2" s="1195" customFormat="1">
      <c r="A31" s="1193" t="s">
        <v>576</v>
      </c>
      <c r="B31" s="1194">
        <f ca="1">'预评函-2'!D15</f>
        <v>45249</v>
      </c>
    </row>
    <row r="32" spans="1:2" s="1195" customFormat="1">
      <c r="A32" s="1193" t="s">
        <v>543</v>
      </c>
      <c r="B32" s="1194" t="str">
        <f ca="1">'预评函-2'!D14</f>
        <v>壹仟贰佰肆拾柒万元整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1467.45</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4357</v>
      </c>
      <c r="C21" s="1539"/>
    </row>
    <row r="22" spans="1:3">
      <c r="A22" s="1538" t="s">
        <v>1050</v>
      </c>
      <c r="B22" s="1541" t="s">
        <v>4296</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15"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5"/>
      <c r="B54" s="1546" t="s">
        <v>385</v>
      </c>
      <c r="C54" s="1543" t="s">
        <v>583</v>
      </c>
    </row>
    <row r="55" spans="1:4">
      <c r="A55" s="3615"/>
      <c r="B55" s="1546" t="s">
        <v>386</v>
      </c>
      <c r="C55" s="1543" t="s">
        <v>584</v>
      </c>
    </row>
    <row r="56" spans="1:4">
      <c r="A56" s="3615"/>
      <c r="B56" s="1546" t="s">
        <v>387</v>
      </c>
      <c r="C56" s="1543" t="s">
        <v>588</v>
      </c>
    </row>
    <row r="57" spans="1:4">
      <c r="A57" s="3615"/>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16" t="s">
        <v>2579</v>
      </c>
      <c r="J2" s="3616"/>
      <c r="K2" s="3616"/>
      <c r="L2" s="3616"/>
      <c r="M2" s="3616"/>
      <c r="N2" s="3616"/>
      <c r="O2" s="3616"/>
      <c r="P2" s="3616"/>
      <c r="Q2" s="3616"/>
      <c r="R2" s="3616"/>
    </row>
    <row r="3" spans="1:18">
      <c r="A3" s="3004" t="s">
        <v>2500</v>
      </c>
      <c r="B3" s="3005">
        <f>项目基本情况!D3</f>
        <v>45173</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3.29</v>
      </c>
      <c r="D5" s="3009">
        <f>IF(ISERROR(ROUND(POWER(1+E5,A5-C5)*(POWER(1+E5,C5)-1)/(POWER(1+E5,A5)-1),3)),0,ROUND(POWER(1+E5,A5-C5)*(POWER(1+E5,C5)-1)/(POWER(1+E5,A5)-1),4))</f>
        <v>0.15290000000000001</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13.3</v>
      </c>
      <c r="D6" s="3009">
        <f>IF(ISERROR(ROUND(POWER(1+E6,A6-C6)*(POWER(1+E6,C6)-1)/(POWER(1+E6,A6)-1),3)),0,ROUND(POWER(1+E6,A6-C6)*(POWER(1+E6,C6)-1)/(POWER(1+E6,A6)-1),4))</f>
        <v>0.47299999999999998</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33.31</v>
      </c>
      <c r="D7" s="3009">
        <f>IF(ISERROR(ROUND(POWER(1+E7,A7-C7)*(POWER(1+E7,C7)-1)/(POWER(1+E7,A7)-1),3)),0,ROUND(POWER(1+E7,A7-C7)*(POWER(1+E7,C7)-1)/(POWER(1+E7,A7)-1),4))</f>
        <v>0.77929999999999999</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2" sqref="L22"/>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25"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26"/>
      <c r="D1" s="3626"/>
      <c r="E1" s="3626"/>
      <c r="F1" s="3626"/>
      <c r="G1" s="3626"/>
      <c r="H1" s="3626"/>
      <c r="I1" s="3627"/>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45173</v>
      </c>
      <c r="C3" s="2362" t="s">
        <v>2170</v>
      </c>
      <c r="D3" s="2361">
        <f>B3</f>
        <v>45173</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28"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29"/>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61.37</v>
      </c>
      <c r="D15" s="2395">
        <f>IF(A13="出让",IF(D13="","",ROUNDDOWN(MIN((D13-$D$3)/365,D14),2)),D14)</f>
        <v>31.35</v>
      </c>
      <c r="E15" s="2395">
        <f>IF(A13="出让",IF(E13="","",ROUNDDOWN(MIN((E13-$D$3)/365,E14),2)),E14)</f>
        <v>41.36</v>
      </c>
      <c r="F15" s="2395">
        <f>IF(A13="出让",IF(F13="","",ROUNDDOWN(MIN((F13-$D$3)/365,F14),2)),F14)</f>
        <v>41.36</v>
      </c>
      <c r="G15" s="2395">
        <f>IF(A13="出让",IF(G13="","",ROUNDDOWN(MIN((G13-$D$3)/365,G14),2)),G14)</f>
        <v>41.36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35"/>
      <c r="C16" s="3636"/>
      <c r="D16" s="3637"/>
      <c r="E16" s="2398" t="s">
        <v>2193</v>
      </c>
      <c r="F16" s="3638"/>
      <c r="G16" s="3639"/>
      <c r="H16" s="3639"/>
      <c r="I16" s="3640"/>
      <c r="J16" s="2424"/>
      <c r="K16" s="2602"/>
      <c r="L16" s="2436"/>
      <c r="M16" s="2436"/>
      <c r="N16" s="2494"/>
      <c r="O16" s="2436"/>
      <c r="P16" s="2494"/>
      <c r="Q16" s="2424"/>
      <c r="R16" s="2424"/>
    </row>
    <row r="17" spans="1:28">
      <c r="A17" s="313" t="s">
        <v>2194</v>
      </c>
      <c r="B17" s="302" t="s">
        <v>2195</v>
      </c>
      <c r="C17" s="8">
        <f>'数据-汇总表'!E3</f>
        <v>1467.45</v>
      </c>
      <c r="D17" s="2310" t="s">
        <v>2196</v>
      </c>
      <c r="E17" s="3641" t="s">
        <v>2197</v>
      </c>
      <c r="F17" s="3642"/>
      <c r="G17" s="3642"/>
      <c r="H17" s="3642"/>
      <c r="I17" s="3643"/>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44" t="s">
        <v>2201</v>
      </c>
      <c r="F18" s="3645"/>
      <c r="G18" s="3645"/>
      <c r="H18" s="3645"/>
      <c r="I18" s="3646"/>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31" t="s">
        <v>2205</v>
      </c>
      <c r="C20" s="3632"/>
      <c r="D20" s="3633" t="s">
        <v>2206</v>
      </c>
      <c r="E20" s="3634"/>
      <c r="F20" s="2632" t="s">
        <v>1056</v>
      </c>
      <c r="G20" s="2649"/>
      <c r="H20" s="2649"/>
      <c r="I20" s="2649"/>
      <c r="J20" s="2424"/>
      <c r="K20" s="3630"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30"/>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30"/>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18"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18"/>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18"/>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619"/>
      <c r="B30" s="302" t="s">
        <v>2217</v>
      </c>
      <c r="C30" s="3620"/>
      <c r="D30" s="3621"/>
      <c r="E30" s="2649"/>
      <c r="F30" s="2649"/>
      <c r="G30" s="2649"/>
      <c r="H30" s="2649"/>
      <c r="I30" s="2649"/>
      <c r="J30" s="2424"/>
      <c r="K30" s="2601"/>
      <c r="L30" s="2598"/>
      <c r="M30" s="2598"/>
      <c r="N30" s="2424"/>
      <c r="O30" s="2435"/>
      <c r="P30" s="2424"/>
      <c r="Q30" s="2424"/>
      <c r="R30" s="2424"/>
      <c r="S30" s="2424"/>
      <c r="T30" s="2424"/>
      <c r="U30" s="2424"/>
      <c r="V30" s="2424"/>
    </row>
    <row r="31" spans="1:28">
      <c r="A31" s="3622"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623"/>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623"/>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17" t="s">
        <v>2227</v>
      </c>
      <c r="T34" s="2413" t="str">
        <f>NUMBERSTRING(7-K34,1)&amp;"通"</f>
        <v>七通</v>
      </c>
      <c r="U34" s="2424"/>
      <c r="V34" s="2424"/>
    </row>
    <row r="35" spans="1:30">
      <c r="A35" s="2414"/>
      <c r="B35" s="3624" t="s">
        <v>2228</v>
      </c>
      <c r="C35" s="3624"/>
      <c r="D35" s="3624"/>
      <c r="E35" s="3624"/>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17"/>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1467.45</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1467.45</v>
      </c>
      <c r="H5" s="13">
        <f t="shared" ref="H5:AT5" si="0">SUM(H13:H656)</f>
        <v>1467.45</v>
      </c>
      <c r="I5" s="13">
        <f t="shared" si="0"/>
        <v>275.55</v>
      </c>
      <c r="J5" s="13">
        <f t="shared" si="0"/>
        <v>0</v>
      </c>
      <c r="K5" s="13">
        <f t="shared" si="0"/>
        <v>1146.95</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1467.45</v>
      </c>
      <c r="BA5" s="15">
        <f t="shared" si="1"/>
        <v>1467.45</v>
      </c>
      <c r="BB5" s="15">
        <f t="shared" si="1"/>
        <v>275.55</v>
      </c>
      <c r="BC5" s="15">
        <f t="shared" si="1"/>
        <v>1146.95</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275.55</v>
      </c>
      <c r="H13" s="17">
        <f>SUMIF(I$12:AB$12,"总值",I13:AB13)</f>
        <v>275.55</v>
      </c>
      <c r="I13" s="1618">
        <f>商办车库!F2</f>
        <v>275.55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275.55</v>
      </c>
      <c r="BA13" s="13">
        <f>SUM(BB13:BK13)</f>
        <v>275.55</v>
      </c>
      <c r="BB13" s="13">
        <f>IF($D13="是",I13-J13,0)</f>
        <v>275.55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1146.95</v>
      </c>
      <c r="H14" s="17">
        <f>SUMIF(I$12:AB$12,"总值",I14:AB14)</f>
        <v>1146.95</v>
      </c>
      <c r="I14" s="1618"/>
      <c r="J14" s="1618"/>
      <c r="K14" s="1618">
        <f>商办车库!F4</f>
        <v>1146.95</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1146.95</v>
      </c>
      <c r="BA14" s="13">
        <f>SUM(BB14:BK14)</f>
        <v>1146.95</v>
      </c>
      <c r="BB14" s="13">
        <f>IF($D14="是",I14-J14,0)</f>
        <v>0</v>
      </c>
      <c r="BC14" s="13">
        <f>IF($D14="是",K14-L14,0)</f>
        <v>1146.95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656" t="s">
        <v>1131</v>
      </c>
      <c r="B2" s="3656"/>
      <c r="C2" s="3656"/>
      <c r="D2" s="788" t="s">
        <v>1107</v>
      </c>
      <c r="E2" s="1631" t="s">
        <v>1108</v>
      </c>
      <c r="F2" s="2644"/>
      <c r="G2" s="2635"/>
      <c r="H2" s="2636"/>
      <c r="I2" s="2313" t="s">
        <v>1132</v>
      </c>
      <c r="J2" s="2644"/>
      <c r="K2" s="2644"/>
      <c r="L2" s="2644"/>
      <c r="M2" s="2644"/>
      <c r="N2" s="2646"/>
      <c r="O2" s="2644"/>
      <c r="P2" s="2644"/>
    </row>
    <row r="3" spans="1:16" ht="15.75" thickBot="1">
      <c r="A3" s="3657" t="s">
        <v>1105</v>
      </c>
      <c r="B3" s="3657"/>
      <c r="C3" s="3657"/>
      <c r="D3" s="43">
        <f>'数据-基础表'!AY6</f>
        <v>0</v>
      </c>
      <c r="E3" s="43">
        <f>'数据-基础表'!AZ5</f>
        <v>1467.45</v>
      </c>
      <c r="F3" s="2644"/>
      <c r="G3" s="1137"/>
      <c r="H3" s="1018" t="s">
        <v>1106</v>
      </c>
      <c r="I3" s="847" t="e">
        <f>ROUND('数据-基础表'!B3/'数据-基础表'!A3,2)</f>
        <v>#DIV/0!</v>
      </c>
      <c r="J3" s="2644"/>
      <c r="K3" s="2644"/>
      <c r="L3" s="2644"/>
      <c r="M3" s="2644"/>
      <c r="N3" s="2646"/>
      <c r="O3" s="2644"/>
      <c r="P3" s="2644"/>
    </row>
    <row r="4" spans="1:16" ht="15">
      <c r="A4" s="3658"/>
      <c r="B4" s="3659"/>
      <c r="C4" s="3660"/>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661" t="s">
        <v>1110</v>
      </c>
      <c r="C5" s="3661"/>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661" t="s">
        <v>1111</v>
      </c>
      <c r="C6" s="3661"/>
      <c r="D6" s="45">
        <f>ROUND($D$3*E6/$E$3,2)</f>
        <v>0</v>
      </c>
      <c r="E6" s="46">
        <f>E3-E5</f>
        <v>1467.45</v>
      </c>
      <c r="F6" s="2644"/>
      <c r="G6" s="2638" t="s">
        <v>1112</v>
      </c>
      <c r="H6" s="1138" t="s">
        <v>1113</v>
      </c>
      <c r="I6" s="2639" t="e">
        <f>ROUND(F31/D31,2)</f>
        <v>#DIV/0!</v>
      </c>
      <c r="J6" s="2644"/>
      <c r="K6" s="2644"/>
      <c r="L6" s="2644"/>
      <c r="M6" s="2644"/>
      <c r="N6" s="2644"/>
      <c r="O6" s="2644"/>
      <c r="P6" s="2644"/>
    </row>
    <row r="7" spans="1:16" ht="15.75" thickBot="1">
      <c r="A7" s="3653"/>
      <c r="B7" s="3654"/>
      <c r="C7" s="3655"/>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1422.5</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1467.45</v>
      </c>
      <c r="F16" s="2644"/>
      <c r="G16" s="2645"/>
      <c r="H16" s="1640" t="s">
        <v>1135</v>
      </c>
      <c r="I16" s="1641"/>
      <c r="J16" s="1131"/>
      <c r="K16" s="3650" t="s">
        <v>1135</v>
      </c>
      <c r="L16" s="3651"/>
      <c r="M16" s="3651"/>
      <c r="N16" s="3651"/>
      <c r="O16" s="3651"/>
      <c r="P16" s="3652"/>
    </row>
    <row r="17" spans="1:19" ht="15">
      <c r="A17" s="1642" t="s">
        <v>1136</v>
      </c>
      <c r="B17" s="1643" t="s">
        <v>1137</v>
      </c>
      <c r="C17" s="1644" t="s">
        <v>1138</v>
      </c>
      <c r="D17" s="1645" t="s">
        <v>1126</v>
      </c>
      <c r="E17" s="1646" t="s">
        <v>1127</v>
      </c>
      <c r="F17" s="1647"/>
      <c r="G17" s="1648"/>
      <c r="H17" s="1649" t="s">
        <v>1139</v>
      </c>
      <c r="I17" s="1650" t="s">
        <v>1124</v>
      </c>
      <c r="J17" s="1131"/>
      <c r="K17" s="3647" t="s">
        <v>1140</v>
      </c>
      <c r="L17" s="3648"/>
      <c r="M17" s="3649"/>
      <c r="N17" s="3647" t="s">
        <v>1141</v>
      </c>
      <c r="O17" s="3648"/>
      <c r="P17" s="3649"/>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4290</v>
      </c>
      <c r="D19" s="45">
        <f>ROUND($D$3*E19/$E$3,2)</f>
        <v>0</v>
      </c>
      <c r="E19" s="53">
        <f t="shared" ref="E19:E26" si="1">SUM(F19:G19)</f>
        <v>275.55</v>
      </c>
      <c r="F19" s="2779">
        <f>'数据-基础表'!I13</f>
        <v>275.55</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275.55</v>
      </c>
    </row>
    <row r="20" spans="1:19">
      <c r="A20" s="1662"/>
      <c r="B20" s="47" t="s">
        <v>1153</v>
      </c>
      <c r="C20" s="3401" t="s">
        <v>4291</v>
      </c>
      <c r="D20" s="45">
        <f t="shared" ref="D20:D26" si="6">ROUND($D$3*E20/$E$3,2)</f>
        <v>0</v>
      </c>
      <c r="E20" s="53">
        <f t="shared" si="1"/>
        <v>1146.95</v>
      </c>
      <c r="F20" s="2779">
        <f>'数据-基础表'!K14</f>
        <v>1146.95</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1146.95</v>
      </c>
    </row>
    <row r="21" spans="1:19">
      <c r="A21" s="1662"/>
      <c r="B21" s="47" t="s">
        <v>1153</v>
      </c>
      <c r="C21" s="3401" t="s">
        <v>4293</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1467.45</v>
      </c>
      <c r="F27" s="1132">
        <f>IF(SUM(F19:F26)=E8,SUM(F19:F26),"地上面积有误")</f>
        <v>1422.5</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1467.45</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1467.45</v>
      </c>
      <c r="F31" s="672">
        <f>F27+F30</f>
        <v>1422.5</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275.55</v>
      </c>
      <c r="L6" s="728">
        <v>4500</v>
      </c>
      <c r="M6" s="67">
        <f t="shared" ref="M6:M14" si="0">ROUND(K6*L6/10000,0)</f>
        <v>124</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21">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1E-3</v>
      </c>
      <c r="AM6" s="80">
        <v>0.01</v>
      </c>
      <c r="AN6" s="1707" t="s">
        <v>4356</v>
      </c>
      <c r="AO6" s="52">
        <f ca="1">SUMIF(INDIRECT("'"&amp;AN6&amp;"'"&amp;"!A:A"),"总价",INDIRECT("'"&amp;AN6&amp;"'"&amp;"!B:B"))</f>
        <v>932.08370000000002</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1146.95</v>
      </c>
      <c r="L7" s="728">
        <f>L6</f>
        <v>4500</v>
      </c>
      <c r="M7" s="67">
        <f t="shared" si="0"/>
        <v>516</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21">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v>1E-3</v>
      </c>
      <c r="AM7" s="80">
        <v>0.01</v>
      </c>
      <c r="AN7" s="1707" t="s">
        <v>4295</v>
      </c>
      <c r="AO7" s="52">
        <f t="shared" ref="AO7:AO13" ca="1" si="8">SUMIF(INDIRECT("'"&amp;AN7&amp;"'"&amp;"!A:A"),"总价",INDIRECT("'"&amp;AN7&amp;"'"&amp;"!B:B"))</f>
        <v>2712.8395999999998</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22">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v>1E-3</v>
      </c>
      <c r="AM8" s="80">
        <v>0.01</v>
      </c>
      <c r="AN8" s="1707" t="s">
        <v>4294</v>
      </c>
      <c r="AO8" s="52">
        <f t="shared" ca="1" si="8"/>
        <v>19.938800000000001</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1247</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1467.45</v>
      </c>
      <c r="L16" s="93">
        <f>ROUND(M16*10000/SUM(K6:K14),0)</f>
        <v>4470</v>
      </c>
      <c r="M16" s="93">
        <f>SUM(M6:M14)</f>
        <v>656</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ROUND(1-(2023-N19)/60,2)</f>
        <v>0.97</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0.93500000000000005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[2]成本法!C9+[2]成本法!C10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662" t="s">
        <v>2281</v>
      </c>
      <c r="B1" s="3663"/>
      <c r="C1" s="3663"/>
      <c r="D1" s="3663"/>
      <c r="E1" s="3663"/>
      <c r="F1" s="3663"/>
      <c r="G1" s="3663"/>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4337</v>
      </c>
      <c r="D4" s="2450"/>
      <c r="E4" s="2454"/>
      <c r="F4" s="1365" t="s">
        <v>2254</v>
      </c>
      <c r="G4" s="2455" t="s">
        <v>2255</v>
      </c>
      <c r="H4" s="791"/>
      <c r="I4" s="791"/>
      <c r="J4" s="791"/>
      <c r="K4" s="791"/>
      <c r="L4" s="791"/>
      <c r="M4" s="791"/>
      <c r="N4" s="791"/>
      <c r="O4" s="791"/>
      <c r="P4" s="791"/>
      <c r="Q4" s="791"/>
      <c r="R4" s="791"/>
    </row>
    <row r="5" spans="1:29" ht="36.75">
      <c r="A5" s="2427"/>
      <c r="B5" s="323" t="s">
        <v>2256</v>
      </c>
      <c r="C5" s="2453" t="s">
        <v>4336</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1" sqref="E31"/>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152937.31000000008</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45173</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350849</v>
      </c>
      <c r="C5" s="2497">
        <f ca="1">IF(B5=D14,结果表!H102,ROUND(B5*10000/$B$1,0))</f>
        <v>22941</v>
      </c>
      <c r="D5" s="2497" t="e">
        <f ca="1">ROUND(B5*10000/$B$2,0)</f>
        <v>#DIV/0!</v>
      </c>
      <c r="E5" s="2670"/>
      <c r="F5" s="2671"/>
      <c r="G5" s="2671"/>
      <c r="H5" s="2672"/>
      <c r="I5" s="2672"/>
      <c r="J5" s="2672"/>
      <c r="K5" s="2672"/>
    </row>
    <row r="6" spans="1:11" ht="16.5">
      <c r="A6" s="2497" t="s">
        <v>656</v>
      </c>
      <c r="B6" s="2497">
        <f ca="1">SUM(G14:G23)</f>
        <v>350849</v>
      </c>
      <c r="C6" s="2497">
        <f ca="1">IF(B6=G14,结果表!H108,ROUND(B6*10000/$B$1,0))</f>
        <v>22941</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17664.14</v>
      </c>
      <c r="C14" s="2503"/>
      <c r="D14" s="2503">
        <f ca="1">典型户型修正!S22</f>
        <v>57517</v>
      </c>
      <c r="E14" s="2503">
        <f ca="1">ROUND(D14*10000/B14,0)</f>
        <v>32561</v>
      </c>
      <c r="F14" s="2503" t="e">
        <f ca="1">ROUND(D14*10000/C14,0)</f>
        <v>#DIV/0!</v>
      </c>
      <c r="G14" s="2503">
        <f ca="1">D14</f>
        <v>57517</v>
      </c>
      <c r="H14" s="2503"/>
      <c r="I14" s="2503"/>
      <c r="J14" s="2671" t="s">
        <v>4392</v>
      </c>
      <c r="K14" s="2672"/>
    </row>
    <row r="15" spans="1:11" ht="16.5">
      <c r="A15" s="2502" t="s">
        <v>649</v>
      </c>
      <c r="B15" s="2503">
        <f>典型户型修正办!B22</f>
        <v>97797.649999999892</v>
      </c>
      <c r="C15" s="2503"/>
      <c r="D15" s="2503">
        <f ca="1">典型户型修正办!S22</f>
        <v>271010</v>
      </c>
      <c r="E15" s="2503">
        <f t="shared" ref="E15:E23" ca="1" si="0">ROUND(D15*10000/B15,0)</f>
        <v>27711</v>
      </c>
      <c r="F15" s="2503" t="e">
        <f t="shared" ref="F15:F23" ca="1" si="1">ROUND(D15*10000/C15,0)</f>
        <v>#DIV/0!</v>
      </c>
      <c r="G15" s="2503">
        <f ca="1">D15</f>
        <v>271010</v>
      </c>
      <c r="H15" s="1323"/>
      <c r="I15" s="2504"/>
      <c r="J15" s="2671" t="s">
        <v>4393</v>
      </c>
      <c r="K15" s="2672"/>
    </row>
    <row r="16" spans="1:11" ht="16.5">
      <c r="A16" s="2502" t="s">
        <v>648</v>
      </c>
      <c r="B16" s="2503">
        <f>典型户型修正车!B22</f>
        <v>35896.760000000184</v>
      </c>
      <c r="C16" s="2503"/>
      <c r="D16" s="2503">
        <f ca="1">典型户型修正车!S22</f>
        <v>16089</v>
      </c>
      <c r="E16" s="2503">
        <f t="shared" ca="1" si="0"/>
        <v>4482</v>
      </c>
      <c r="F16" s="2503" t="e">
        <f t="shared" ca="1" si="1"/>
        <v>#DIV/0!</v>
      </c>
      <c r="G16" s="2503">
        <f ca="1">D16</f>
        <v>16089</v>
      </c>
      <c r="H16" s="1323"/>
      <c r="I16" s="2504"/>
      <c r="J16" s="2672" t="s">
        <v>4394</v>
      </c>
      <c r="K16" s="2672"/>
    </row>
    <row r="17" spans="1:11" ht="16.5">
      <c r="A17" s="2502" t="s">
        <v>647</v>
      </c>
      <c r="B17" s="2503">
        <f>商办车库!F363</f>
        <v>35.380000000000003</v>
      </c>
      <c r="C17" s="2503"/>
      <c r="D17" s="2503"/>
      <c r="E17" s="2503">
        <f t="shared" si="0"/>
        <v>0</v>
      </c>
      <c r="F17" s="2503" t="e">
        <f t="shared" si="1"/>
        <v>#DIV/0!</v>
      </c>
      <c r="G17" s="2503"/>
      <c r="H17" s="1323"/>
      <c r="I17" s="2504"/>
      <c r="J17" s="2672"/>
      <c r="K17" s="2672"/>
    </row>
    <row r="18" spans="1:11" ht="16.5">
      <c r="A18" s="2502" t="s">
        <v>646</v>
      </c>
      <c r="B18" s="2503">
        <f>[3]系统读取表!$B$14</f>
        <v>1060.71</v>
      </c>
      <c r="C18" s="2503"/>
      <c r="D18" s="2503">
        <f>[3]系统读取表!$D$14</f>
        <v>5666</v>
      </c>
      <c r="E18" s="2503">
        <f t="shared" si="0"/>
        <v>53417</v>
      </c>
      <c r="F18" s="2503" t="e">
        <f t="shared" si="1"/>
        <v>#DIV/0!</v>
      </c>
      <c r="G18" s="2503">
        <f>D18</f>
        <v>5666</v>
      </c>
      <c r="H18" s="2504"/>
      <c r="I18" s="2504"/>
      <c r="J18" s="2672" t="s">
        <v>4395</v>
      </c>
      <c r="K18" s="2672"/>
    </row>
    <row r="19" spans="1:11" ht="16.5">
      <c r="A19" s="2502" t="s">
        <v>645</v>
      </c>
      <c r="B19" s="2503">
        <f>[3]系统读取表!$B$15</f>
        <v>482.66999999999996</v>
      </c>
      <c r="C19" s="2503"/>
      <c r="D19" s="2503">
        <f ca="1">[3]系统读取表!$D$15</f>
        <v>567</v>
      </c>
      <c r="E19" s="2503">
        <f t="shared" ca="1" si="0"/>
        <v>11747</v>
      </c>
      <c r="F19" s="2503" t="e">
        <f t="shared" ca="1" si="1"/>
        <v>#DIV/0!</v>
      </c>
      <c r="G19" s="2503">
        <f ca="1">D19</f>
        <v>567</v>
      </c>
      <c r="H19" s="2504"/>
      <c r="I19" s="2504"/>
      <c r="J19" s="2672" t="s">
        <v>4396</v>
      </c>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20"/>
  <sheetViews>
    <sheetView topLeftCell="A888" zoomScaleNormal="100" workbookViewId="0">
      <selection activeCell="G916" sqref="G916"/>
    </sheetView>
  </sheetViews>
  <sheetFormatPr defaultRowHeight="13.5"/>
  <cols>
    <col min="1" max="5" width="9" style="3467"/>
    <col min="6" max="6" width="11.625" style="3520" bestFit="1" customWidth="1"/>
    <col min="7" max="8" width="9" style="3467"/>
    <col min="9" max="9" width="11.875" style="3563"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3" t="s">
        <v>3442</v>
      </c>
      <c r="G1" s="3466" t="s">
        <v>3443</v>
      </c>
      <c r="H1" s="3465" t="s">
        <v>3444</v>
      </c>
      <c r="I1" s="3556" t="s">
        <v>4391</v>
      </c>
    </row>
    <row r="2" spans="1:17" s="3535" customFormat="1">
      <c r="A2" s="3680">
        <v>1</v>
      </c>
      <c r="B2" s="3668" t="s">
        <v>3523</v>
      </c>
      <c r="C2" s="3668" t="s">
        <v>3524</v>
      </c>
      <c r="D2" s="3669" t="s">
        <v>3525</v>
      </c>
      <c r="E2" s="3536">
        <v>101</v>
      </c>
      <c r="F2" s="3533">
        <v>275.55</v>
      </c>
      <c r="G2" s="3533">
        <v>50.16</v>
      </c>
      <c r="H2" s="3537" t="s">
        <v>673</v>
      </c>
      <c r="I2" s="3557">
        <f ca="1">典型户型修正!S24</f>
        <v>1247</v>
      </c>
    </row>
    <row r="3" spans="1:17" s="3472" customFormat="1">
      <c r="A3" s="3681"/>
      <c r="B3" s="3668"/>
      <c r="C3" s="3668"/>
      <c r="D3" s="3669"/>
      <c r="E3" s="3505">
        <v>102</v>
      </c>
      <c r="F3" s="3519">
        <v>369.34</v>
      </c>
      <c r="G3" s="3469">
        <v>67.23</v>
      </c>
      <c r="H3" s="3483" t="s">
        <v>673</v>
      </c>
      <c r="I3" s="3558">
        <f ca="1">典型户型修正!S25</f>
        <v>1655</v>
      </c>
    </row>
    <row r="4" spans="1:17" s="3535" customFormat="1">
      <c r="A4" s="3681"/>
      <c r="B4" s="3668"/>
      <c r="C4" s="3668"/>
      <c r="D4" s="3669"/>
      <c r="E4" s="3536">
        <v>201</v>
      </c>
      <c r="F4" s="3533">
        <v>1146.95</v>
      </c>
      <c r="G4" s="3533">
        <v>208.77</v>
      </c>
      <c r="H4" s="3537" t="s">
        <v>21</v>
      </c>
      <c r="I4" s="3557">
        <f ca="1">典型户型修正办!S24</f>
        <v>3115</v>
      </c>
    </row>
    <row r="5" spans="1:17" s="3472" customFormat="1">
      <c r="A5" s="3681"/>
      <c r="B5" s="3668"/>
      <c r="C5" s="3668"/>
      <c r="D5" s="3669"/>
      <c r="E5" s="3505">
        <v>301</v>
      </c>
      <c r="F5" s="3519">
        <v>1117.0999999999999</v>
      </c>
      <c r="G5" s="3469">
        <v>203.34</v>
      </c>
      <c r="H5" s="3483" t="s">
        <v>21</v>
      </c>
      <c r="I5" s="3558">
        <f ca="1">典型户型修正办!S25</f>
        <v>3034</v>
      </c>
    </row>
    <row r="6" spans="1:17" s="3472" customFormat="1">
      <c r="A6" s="3681"/>
      <c r="B6" s="3668"/>
      <c r="C6" s="3668"/>
      <c r="D6" s="3669"/>
      <c r="E6" s="3505">
        <v>401</v>
      </c>
      <c r="F6" s="3519">
        <v>1112.98</v>
      </c>
      <c r="G6" s="3469">
        <v>202.59</v>
      </c>
      <c r="H6" s="3483" t="s">
        <v>21</v>
      </c>
      <c r="I6" s="3558">
        <f ca="1">典型户型修正办!S26</f>
        <v>3023</v>
      </c>
      <c r="M6" s="3530" t="s">
        <v>4327</v>
      </c>
      <c r="N6" s="3531">
        <f>SUM(F2:F3,F9:F12,F33:F36,F284:F287,F321:F330,F332:F341,F343:F344,)</f>
        <v>12877.269999999999</v>
      </c>
    </row>
    <row r="7" spans="1:17" s="3472" customFormat="1">
      <c r="A7" s="3682"/>
      <c r="B7" s="3668"/>
      <c r="C7" s="3668"/>
      <c r="D7" s="3669"/>
      <c r="E7" s="3505">
        <v>501</v>
      </c>
      <c r="F7" s="3519">
        <v>1946.09</v>
      </c>
      <c r="G7" s="3469">
        <v>354.23</v>
      </c>
      <c r="H7" s="3483" t="s">
        <v>21</v>
      </c>
      <c r="I7" s="3558">
        <f ca="1">典型户型修正办!S27</f>
        <v>5259</v>
      </c>
      <c r="M7" s="3530" t="s">
        <v>4328</v>
      </c>
      <c r="N7" s="3531">
        <f>SUM(F4:F7,F14:F32,F288:F295,F297:F320,F345:F361,)</f>
        <v>97797.649999999892</v>
      </c>
    </row>
    <row r="8" spans="1:17" s="3472" customFormat="1">
      <c r="A8" s="3667" t="s">
        <v>3526</v>
      </c>
      <c r="B8" s="3667"/>
      <c r="C8" s="3667"/>
      <c r="D8" s="3667"/>
      <c r="E8" s="3667"/>
      <c r="F8" s="3523">
        <f>SUM(F2:F7)</f>
        <v>5968.01</v>
      </c>
      <c r="G8" s="3466">
        <f>SUM(G2:G7)</f>
        <v>1086.3200000000002</v>
      </c>
      <c r="H8" s="3506" t="s">
        <v>3527</v>
      </c>
      <c r="I8" s="3559">
        <f ca="1">SUM(I2:I7)</f>
        <v>17333</v>
      </c>
      <c r="M8" s="3530" t="s">
        <v>4329</v>
      </c>
      <c r="N8" s="3531">
        <f>SUM(F225:F230,F364:F378)</f>
        <v>4786.87</v>
      </c>
    </row>
    <row r="9" spans="1:17" s="3472" customFormat="1">
      <c r="A9" s="3680">
        <v>3</v>
      </c>
      <c r="B9" s="3668" t="s">
        <v>3528</v>
      </c>
      <c r="C9" s="3668" t="s">
        <v>3529</v>
      </c>
      <c r="D9" s="3678" t="s">
        <v>3450</v>
      </c>
      <c r="E9" s="3505">
        <v>-107</v>
      </c>
      <c r="F9" s="3519">
        <v>307.95</v>
      </c>
      <c r="G9" s="3469">
        <v>56.05</v>
      </c>
      <c r="H9" s="3483" t="s">
        <v>673</v>
      </c>
      <c r="I9" s="3558">
        <f ca="1">典型户型修正!S27</f>
        <v>609</v>
      </c>
      <c r="M9" s="3530" t="s">
        <v>4330</v>
      </c>
      <c r="N9" s="3531">
        <f>SUM(F38:F224,F231:F281,F379:F915)</f>
        <v>35896.760000000184</v>
      </c>
    </row>
    <row r="10" spans="1:17" s="3472" customFormat="1">
      <c r="A10" s="3681"/>
      <c r="B10" s="3668"/>
      <c r="C10" s="3668"/>
      <c r="D10" s="3679"/>
      <c r="E10" s="3468">
        <v>101</v>
      </c>
      <c r="F10" s="3519">
        <v>400.49</v>
      </c>
      <c r="G10" s="3469">
        <v>72.900000000000006</v>
      </c>
      <c r="H10" s="3483" t="s">
        <v>673</v>
      </c>
      <c r="I10" s="3558">
        <f ca="1">典型户型修正!S28</f>
        <v>1636</v>
      </c>
      <c r="M10" s="3530" t="s">
        <v>4331</v>
      </c>
      <c r="N10" s="3531">
        <f>SUM(N6:N9)</f>
        <v>151358.55000000008</v>
      </c>
    </row>
    <row r="11" spans="1:17" s="3472" customFormat="1">
      <c r="A11" s="3681"/>
      <c r="B11" s="3668"/>
      <c r="C11" s="3668"/>
      <c r="D11" s="3679"/>
      <c r="E11" s="3468">
        <v>102</v>
      </c>
      <c r="F11" s="3519">
        <v>84.52</v>
      </c>
      <c r="G11" s="3469">
        <v>15.38</v>
      </c>
      <c r="H11" s="3483" t="s">
        <v>673</v>
      </c>
      <c r="I11" s="3558">
        <f ca="1">典型户型修正!S29</f>
        <v>356</v>
      </c>
      <c r="M11" s="3530"/>
      <c r="N11" s="3531">
        <f>N10-F917</f>
        <v>-35.380000000121072</v>
      </c>
    </row>
    <row r="12" spans="1:17" s="3472" customFormat="1">
      <c r="A12" s="3682"/>
      <c r="B12" s="3668"/>
      <c r="C12" s="3668"/>
      <c r="D12" s="3684"/>
      <c r="E12" s="3468">
        <v>103</v>
      </c>
      <c r="F12" s="3519">
        <v>147.1</v>
      </c>
      <c r="G12" s="3469">
        <v>26.78</v>
      </c>
      <c r="H12" s="3483" t="s">
        <v>673</v>
      </c>
      <c r="I12" s="3558">
        <f ca="1">典型户型修正!S30</f>
        <v>613</v>
      </c>
    </row>
    <row r="13" spans="1:17" s="3472" customFormat="1" ht="14.25" thickBot="1">
      <c r="A13" s="3685" t="s">
        <v>3526</v>
      </c>
      <c r="B13" s="3686"/>
      <c r="C13" s="3686"/>
      <c r="D13" s="3686"/>
      <c r="E13" s="3687"/>
      <c r="F13" s="3523">
        <f>SUM(F9:F12)</f>
        <v>940.06000000000006</v>
      </c>
      <c r="G13" s="3466">
        <f>SUM(G9:G12)</f>
        <v>171.10999999999999</v>
      </c>
      <c r="H13" s="3506" t="s">
        <v>3527</v>
      </c>
      <c r="I13" s="3559">
        <f ca="1">SUM(I9:I12)</f>
        <v>3214</v>
      </c>
    </row>
    <row r="14" spans="1:17" s="3472" customFormat="1" ht="14.25" thickTop="1">
      <c r="A14" s="3680">
        <v>4</v>
      </c>
      <c r="B14" s="3668" t="s">
        <v>3530</v>
      </c>
      <c r="C14" s="3668" t="s">
        <v>3531</v>
      </c>
      <c r="D14" s="3669" t="s">
        <v>3532</v>
      </c>
      <c r="E14" s="3507" t="s">
        <v>3533</v>
      </c>
      <c r="F14" s="3524">
        <v>678.59</v>
      </c>
      <c r="G14" s="3471">
        <v>123.52</v>
      </c>
      <c r="H14" s="3483" t="s">
        <v>21</v>
      </c>
      <c r="I14" s="3558">
        <f ca="1">典型户型修正办!S29</f>
        <v>1852</v>
      </c>
      <c r="M14" s="3566" t="s">
        <v>3437</v>
      </c>
      <c r="N14" s="3567" t="s">
        <v>4399</v>
      </c>
      <c r="O14" s="3567" t="s">
        <v>4400</v>
      </c>
      <c r="P14" s="3567" t="s">
        <v>4401</v>
      </c>
      <c r="Q14" s="3568" t="s">
        <v>4402</v>
      </c>
    </row>
    <row r="15" spans="1:17" s="3472" customFormat="1">
      <c r="A15" s="3681"/>
      <c r="B15" s="3668"/>
      <c r="C15" s="3668"/>
      <c r="D15" s="3669"/>
      <c r="E15" s="3507" t="s">
        <v>3534</v>
      </c>
      <c r="F15" s="3524">
        <v>678.47</v>
      </c>
      <c r="G15" s="3471">
        <v>123.5</v>
      </c>
      <c r="H15" s="3483" t="s">
        <v>21</v>
      </c>
      <c r="I15" s="3558">
        <f ca="1">典型户型修正办!S30</f>
        <v>1852</v>
      </c>
      <c r="M15" s="3569">
        <v>1</v>
      </c>
      <c r="N15" s="3570" t="s">
        <v>4403</v>
      </c>
      <c r="O15" s="3570" t="s">
        <v>4404</v>
      </c>
      <c r="P15" s="3570">
        <v>5968.01</v>
      </c>
      <c r="Q15" s="3573">
        <f ca="1">I8</f>
        <v>17333</v>
      </c>
    </row>
    <row r="16" spans="1:17" s="3472" customFormat="1">
      <c r="A16" s="3681"/>
      <c r="B16" s="3668"/>
      <c r="C16" s="3668"/>
      <c r="D16" s="3669"/>
      <c r="E16" s="3507" t="s">
        <v>3535</v>
      </c>
      <c r="F16" s="3524">
        <v>725.7</v>
      </c>
      <c r="G16" s="3471">
        <v>132.1</v>
      </c>
      <c r="H16" s="3483" t="s">
        <v>21</v>
      </c>
      <c r="I16" s="3558">
        <f ca="1">典型户型修正办!S31</f>
        <v>1981</v>
      </c>
      <c r="M16" s="3569">
        <v>2</v>
      </c>
      <c r="N16" s="3570" t="s">
        <v>4405</v>
      </c>
      <c r="O16" s="3570" t="s">
        <v>4406</v>
      </c>
      <c r="P16" s="3570">
        <v>197.22</v>
      </c>
      <c r="Q16" s="3571">
        <f ca="1">[3]住宅仓储!$I$4</f>
        <v>951</v>
      </c>
    </row>
    <row r="17" spans="1:17" s="3472" customFormat="1">
      <c r="A17" s="3681"/>
      <c r="B17" s="3668"/>
      <c r="C17" s="3668"/>
      <c r="D17" s="3669"/>
      <c r="E17" s="3507" t="s">
        <v>3536</v>
      </c>
      <c r="F17" s="3524">
        <v>725.7</v>
      </c>
      <c r="G17" s="3471">
        <v>132.1</v>
      </c>
      <c r="H17" s="3483" t="s">
        <v>21</v>
      </c>
      <c r="I17" s="3558">
        <f ca="1">典型户型修正办!S32</f>
        <v>1981</v>
      </c>
      <c r="M17" s="3569">
        <v>3</v>
      </c>
      <c r="N17" s="3570" t="s">
        <v>4407</v>
      </c>
      <c r="O17" s="3570" t="s">
        <v>4408</v>
      </c>
      <c r="P17" s="3570">
        <v>940.06</v>
      </c>
      <c r="Q17" s="3573">
        <f ca="1">I13</f>
        <v>3214</v>
      </c>
    </row>
    <row r="18" spans="1:17" s="3472" customFormat="1">
      <c r="A18" s="3681"/>
      <c r="B18" s="3668"/>
      <c r="C18" s="3668"/>
      <c r="D18" s="3669"/>
      <c r="E18" s="3507" t="s">
        <v>3537</v>
      </c>
      <c r="F18" s="3524">
        <v>725.7</v>
      </c>
      <c r="G18" s="3471">
        <v>132.1</v>
      </c>
      <c r="H18" s="3483" t="s">
        <v>21</v>
      </c>
      <c r="I18" s="3558">
        <f ca="1">典型户型修正办!S33</f>
        <v>1981</v>
      </c>
      <c r="M18" s="3569">
        <v>4</v>
      </c>
      <c r="N18" s="3570" t="s">
        <v>4409</v>
      </c>
      <c r="O18" s="3570" t="s">
        <v>4410</v>
      </c>
      <c r="P18" s="3570">
        <v>17672.919999999998</v>
      </c>
      <c r="Q18" s="3573">
        <f ca="1">I37</f>
        <v>50898</v>
      </c>
    </row>
    <row r="19" spans="1:17" s="3472" customFormat="1">
      <c r="A19" s="3681"/>
      <c r="B19" s="3668"/>
      <c r="C19" s="3668"/>
      <c r="D19" s="3669"/>
      <c r="E19" s="3507" t="s">
        <v>3538</v>
      </c>
      <c r="F19" s="3524">
        <v>725.7</v>
      </c>
      <c r="G19" s="3471">
        <v>132.1</v>
      </c>
      <c r="H19" s="3483" t="s">
        <v>21</v>
      </c>
      <c r="I19" s="3558">
        <f ca="1">典型户型修正办!S34</f>
        <v>2040</v>
      </c>
      <c r="M19" s="3569">
        <v>5</v>
      </c>
      <c r="N19" s="3570" t="s">
        <v>4411</v>
      </c>
      <c r="O19" s="3570" t="s">
        <v>4412</v>
      </c>
      <c r="P19" s="3570">
        <v>32.36</v>
      </c>
      <c r="Q19" s="3574">
        <f ca="1">[3]住宅仓储!$I$7</f>
        <v>37</v>
      </c>
    </row>
    <row r="20" spans="1:17" s="3472" customFormat="1">
      <c r="A20" s="3681"/>
      <c r="B20" s="3668"/>
      <c r="C20" s="3668"/>
      <c r="D20" s="3669"/>
      <c r="E20" s="3507" t="s">
        <v>3539</v>
      </c>
      <c r="F20" s="3524">
        <v>725.7</v>
      </c>
      <c r="G20" s="3471">
        <v>132.1</v>
      </c>
      <c r="H20" s="3483" t="s">
        <v>21</v>
      </c>
      <c r="I20" s="3558">
        <f ca="1">典型户型修正办!S35</f>
        <v>2040</v>
      </c>
      <c r="M20" s="3569">
        <v>6</v>
      </c>
      <c r="N20" s="3570" t="s">
        <v>4413</v>
      </c>
      <c r="O20" s="3570" t="s">
        <v>4414</v>
      </c>
      <c r="P20" s="3570">
        <v>12420.37</v>
      </c>
      <c r="Q20" s="3574">
        <f ca="1">I282</f>
        <v>6550</v>
      </c>
    </row>
    <row r="21" spans="1:17" s="3472" customFormat="1">
      <c r="A21" s="3681"/>
      <c r="B21" s="3668"/>
      <c r="C21" s="3668"/>
      <c r="D21" s="3669"/>
      <c r="E21" s="3507" t="s">
        <v>3540</v>
      </c>
      <c r="F21" s="3524">
        <v>897.24</v>
      </c>
      <c r="G21" s="3471">
        <v>163.32</v>
      </c>
      <c r="H21" s="3483" t="s">
        <v>21</v>
      </c>
      <c r="I21" s="3558">
        <f ca="1">典型户型修正办!S36</f>
        <v>2449</v>
      </c>
      <c r="M21" s="3569">
        <v>7</v>
      </c>
      <c r="N21" s="3570" t="s">
        <v>4415</v>
      </c>
      <c r="O21" s="3570" t="s">
        <v>4416</v>
      </c>
      <c r="P21" s="3570">
        <v>12229.45</v>
      </c>
      <c r="Q21" s="3574">
        <f ca="1">I296</f>
        <v>35208</v>
      </c>
    </row>
    <row r="22" spans="1:17" s="3472" customFormat="1">
      <c r="A22" s="3681"/>
      <c r="B22" s="3668"/>
      <c r="C22" s="3668"/>
      <c r="D22" s="3669"/>
      <c r="E22" s="3507" t="s">
        <v>3541</v>
      </c>
      <c r="F22" s="3524">
        <v>922.92</v>
      </c>
      <c r="G22" s="3471">
        <v>168</v>
      </c>
      <c r="H22" s="3483" t="s">
        <v>21</v>
      </c>
      <c r="I22" s="3558">
        <f ca="1">典型户型修正办!S37</f>
        <v>2519</v>
      </c>
      <c r="M22" s="3569">
        <v>8</v>
      </c>
      <c r="N22" s="3570" t="s">
        <v>4417</v>
      </c>
      <c r="O22" s="3570" t="s">
        <v>4418</v>
      </c>
      <c r="P22" s="3570">
        <v>45459.64</v>
      </c>
      <c r="Q22" s="3574">
        <f ca="1">I331</f>
        <v>131600</v>
      </c>
    </row>
    <row r="23" spans="1:17" s="3472" customFormat="1">
      <c r="A23" s="3681"/>
      <c r="B23" s="3668"/>
      <c r="C23" s="3668"/>
      <c r="D23" s="3669"/>
      <c r="E23" s="3507" t="s">
        <v>3542</v>
      </c>
      <c r="F23" s="3524">
        <v>922.92</v>
      </c>
      <c r="G23" s="3471">
        <v>167.99</v>
      </c>
      <c r="H23" s="3483" t="s">
        <v>21</v>
      </c>
      <c r="I23" s="3558">
        <f ca="1">典型户型修正办!S38</f>
        <v>2519</v>
      </c>
      <c r="M23" s="3569">
        <v>9</v>
      </c>
      <c r="N23" s="3570" t="s">
        <v>4419</v>
      </c>
      <c r="O23" s="3570" t="s">
        <v>4420</v>
      </c>
      <c r="P23" s="3570">
        <v>792.39</v>
      </c>
      <c r="Q23" s="3573">
        <f ca="1">[3]住宅仓储!$I$16</f>
        <v>3382</v>
      </c>
    </row>
    <row r="24" spans="1:17" s="3472" customFormat="1">
      <c r="A24" s="3681"/>
      <c r="B24" s="3668"/>
      <c r="C24" s="3668"/>
      <c r="D24" s="3669"/>
      <c r="E24" s="3507" t="s">
        <v>3543</v>
      </c>
      <c r="F24" s="3524">
        <v>922.92</v>
      </c>
      <c r="G24" s="3471">
        <v>167.99</v>
      </c>
      <c r="H24" s="3483" t="s">
        <v>21</v>
      </c>
      <c r="I24" s="3558">
        <f ca="1">典型户型修正办!S39</f>
        <v>2519</v>
      </c>
      <c r="M24" s="3569">
        <v>10</v>
      </c>
      <c r="N24" s="3570" t="s">
        <v>4421</v>
      </c>
      <c r="O24" s="3570" t="s">
        <v>4422</v>
      </c>
      <c r="P24" s="3570">
        <v>2375.11</v>
      </c>
      <c r="Q24" s="3574">
        <f ca="1">I342</f>
        <v>6616</v>
      </c>
    </row>
    <row r="25" spans="1:17" s="3472" customFormat="1">
      <c r="A25" s="3681"/>
      <c r="B25" s="3668"/>
      <c r="C25" s="3668"/>
      <c r="D25" s="3669"/>
      <c r="E25" s="3507" t="s">
        <v>3544</v>
      </c>
      <c r="F25" s="3524">
        <v>922.92</v>
      </c>
      <c r="G25" s="3471">
        <v>167.99</v>
      </c>
      <c r="H25" s="3483" t="s">
        <v>21</v>
      </c>
      <c r="I25" s="3558">
        <f ca="1">典型户型修正办!S40</f>
        <v>2595</v>
      </c>
      <c r="M25" s="3569">
        <v>11</v>
      </c>
      <c r="N25" s="3570" t="s">
        <v>4423</v>
      </c>
      <c r="O25" s="3570" t="s">
        <v>4424</v>
      </c>
      <c r="P25" s="3570">
        <v>521.41</v>
      </c>
      <c r="Q25" s="3573">
        <f ca="1">[3]住宅仓储!$I$22</f>
        <v>1863</v>
      </c>
    </row>
    <row r="26" spans="1:17" s="3472" customFormat="1">
      <c r="A26" s="3681"/>
      <c r="B26" s="3668"/>
      <c r="C26" s="3668"/>
      <c r="D26" s="3669"/>
      <c r="E26" s="3507" t="s">
        <v>3545</v>
      </c>
      <c r="F26" s="3524">
        <v>922.92</v>
      </c>
      <c r="G26" s="3471">
        <v>167.99</v>
      </c>
      <c r="H26" s="3483" t="s">
        <v>21</v>
      </c>
      <c r="I26" s="3558">
        <f ca="1">典型户型修正办!S41</f>
        <v>2595</v>
      </c>
      <c r="M26" s="3569">
        <v>12</v>
      </c>
      <c r="N26" s="3570" t="s">
        <v>4425</v>
      </c>
      <c r="O26" s="3570" t="s">
        <v>4426</v>
      </c>
      <c r="P26" s="3570">
        <v>26029.73</v>
      </c>
      <c r="Q26" s="3574">
        <f ca="1">I362</f>
        <v>73835</v>
      </c>
    </row>
    <row r="27" spans="1:17" s="3472" customFormat="1">
      <c r="A27" s="3681"/>
      <c r="B27" s="3668"/>
      <c r="C27" s="3668"/>
      <c r="D27" s="3669"/>
      <c r="E27" s="3507" t="s">
        <v>3546</v>
      </c>
      <c r="F27" s="3524">
        <v>922.92</v>
      </c>
      <c r="G27" s="3471">
        <v>167.99</v>
      </c>
      <c r="H27" s="3483" t="s">
        <v>21</v>
      </c>
      <c r="I27" s="3558">
        <f ca="1">典型户型修正办!S42</f>
        <v>2595</v>
      </c>
      <c r="M27" s="3569">
        <v>13</v>
      </c>
      <c r="N27" s="3570" t="s">
        <v>4427</v>
      </c>
      <c r="O27" s="3570" t="s">
        <v>4428</v>
      </c>
      <c r="P27" s="3570">
        <v>28298.639999999999</v>
      </c>
      <c r="Q27" s="3573">
        <f ca="1">I916</f>
        <v>19362</v>
      </c>
    </row>
    <row r="28" spans="1:17" s="3472" customFormat="1" ht="14.25" thickBot="1">
      <c r="A28" s="3681"/>
      <c r="B28" s="3668"/>
      <c r="C28" s="3668"/>
      <c r="D28" s="3669"/>
      <c r="E28" s="3507" t="s">
        <v>3547</v>
      </c>
      <c r="F28" s="3524">
        <v>922.92</v>
      </c>
      <c r="G28" s="3471">
        <v>167.99</v>
      </c>
      <c r="H28" s="3483" t="s">
        <v>21</v>
      </c>
      <c r="I28" s="3558">
        <f ca="1">典型户型修正办!S43</f>
        <v>2595</v>
      </c>
      <c r="M28" s="3664" t="s">
        <v>3526</v>
      </c>
      <c r="N28" s="3665"/>
      <c r="O28" s="3666"/>
      <c r="P28" s="3572">
        <f>SUM(P15:P27)</f>
        <v>152937.31</v>
      </c>
      <c r="Q28" s="3572">
        <f ca="1">SUM(Q15:Q27)</f>
        <v>350849</v>
      </c>
    </row>
    <row r="29" spans="1:17" s="3472" customFormat="1" ht="14.25" thickTop="1">
      <c r="A29" s="3681"/>
      <c r="B29" s="3668"/>
      <c r="C29" s="3668"/>
      <c r="D29" s="3669"/>
      <c r="E29" s="3507" t="s">
        <v>3548</v>
      </c>
      <c r="F29" s="3524">
        <v>922.92</v>
      </c>
      <c r="G29" s="3471">
        <v>167.99</v>
      </c>
      <c r="H29" s="3483" t="s">
        <v>21</v>
      </c>
      <c r="I29" s="3558">
        <f ca="1">典型户型修正办!S44</f>
        <v>2595</v>
      </c>
    </row>
    <row r="30" spans="1:17" s="3472" customFormat="1">
      <c r="A30" s="3681"/>
      <c r="B30" s="3668"/>
      <c r="C30" s="3668"/>
      <c r="D30" s="3669"/>
      <c r="E30" s="3507" t="s">
        <v>3549</v>
      </c>
      <c r="F30" s="3524">
        <v>922.92</v>
      </c>
      <c r="G30" s="3471">
        <v>167.99</v>
      </c>
      <c r="H30" s="3483" t="s">
        <v>21</v>
      </c>
      <c r="I30" s="3558">
        <f ca="1">典型户型修正办!S45</f>
        <v>2670</v>
      </c>
    </row>
    <row r="31" spans="1:17" s="3472" customFormat="1">
      <c r="A31" s="3681"/>
      <c r="B31" s="3668"/>
      <c r="C31" s="3668"/>
      <c r="D31" s="3669"/>
      <c r="E31" s="3507" t="s">
        <v>3550</v>
      </c>
      <c r="F31" s="3524">
        <v>922.92</v>
      </c>
      <c r="G31" s="3471">
        <v>167.99</v>
      </c>
      <c r="H31" s="3483" t="s">
        <v>21</v>
      </c>
      <c r="I31" s="3558">
        <f ca="1">典型户型修正办!S46</f>
        <v>2670</v>
      </c>
    </row>
    <row r="32" spans="1:17" s="3472" customFormat="1">
      <c r="A32" s="3681"/>
      <c r="B32" s="3668"/>
      <c r="C32" s="3668"/>
      <c r="D32" s="3669"/>
      <c r="E32" s="3507" t="s">
        <v>3551</v>
      </c>
      <c r="F32" s="3524">
        <v>922.92</v>
      </c>
      <c r="G32" s="3471">
        <v>167.99</v>
      </c>
      <c r="H32" s="3483" t="s">
        <v>21</v>
      </c>
      <c r="I32" s="3558">
        <f ca="1">典型户型修正办!S47</f>
        <v>2670</v>
      </c>
    </row>
    <row r="33" spans="1:9" s="3472" customFormat="1">
      <c r="A33" s="3681"/>
      <c r="B33" s="3668"/>
      <c r="C33" s="3668"/>
      <c r="D33" s="3669"/>
      <c r="E33" s="3508">
        <v>101</v>
      </c>
      <c r="F33" s="3524">
        <v>250.94</v>
      </c>
      <c r="G33" s="3471">
        <v>45.68</v>
      </c>
      <c r="H33" s="3483" t="s">
        <v>673</v>
      </c>
      <c r="I33" s="3558">
        <f ca="1">典型户型修正!S32</f>
        <v>1170</v>
      </c>
    </row>
    <row r="34" spans="1:9" s="3472" customFormat="1">
      <c r="A34" s="3681"/>
      <c r="B34" s="3668"/>
      <c r="C34" s="3668"/>
      <c r="D34" s="3669"/>
      <c r="E34" s="3508">
        <v>102</v>
      </c>
      <c r="F34" s="3524">
        <v>189.91</v>
      </c>
      <c r="G34" s="3471">
        <v>34.57</v>
      </c>
      <c r="H34" s="3483" t="s">
        <v>673</v>
      </c>
      <c r="I34" s="3558">
        <f ca="1">典型户型修正!S33</f>
        <v>894</v>
      </c>
    </row>
    <row r="35" spans="1:9" s="3472" customFormat="1">
      <c r="A35" s="3681"/>
      <c r="B35" s="3668"/>
      <c r="C35" s="3668"/>
      <c r="D35" s="3669"/>
      <c r="E35" s="3508">
        <v>202</v>
      </c>
      <c r="F35" s="3524">
        <v>434.02</v>
      </c>
      <c r="G35" s="3471">
        <v>79</v>
      </c>
      <c r="H35" s="3483" t="s">
        <v>673</v>
      </c>
      <c r="I35" s="3558">
        <f ca="1">典型户型修正!S34</f>
        <v>1502</v>
      </c>
    </row>
    <row r="36" spans="1:9" s="3472" customFormat="1">
      <c r="A36" s="3682"/>
      <c r="B36" s="3668"/>
      <c r="C36" s="3668"/>
      <c r="D36" s="3669"/>
      <c r="E36" s="3508">
        <v>203</v>
      </c>
      <c r="F36" s="3524">
        <v>763.13</v>
      </c>
      <c r="G36" s="3471">
        <v>138.91</v>
      </c>
      <c r="H36" s="3483" t="s">
        <v>673</v>
      </c>
      <c r="I36" s="3558">
        <f ca="1">典型户型修正!S35</f>
        <v>2614</v>
      </c>
    </row>
    <row r="37" spans="1:9" s="3472" customFormat="1">
      <c r="A37" s="3667" t="s">
        <v>3526</v>
      </c>
      <c r="B37" s="3667"/>
      <c r="C37" s="3667"/>
      <c r="D37" s="3667"/>
      <c r="E37" s="3667"/>
      <c r="F37" s="3523">
        <f>SUM(F14:F36)</f>
        <v>17672.920000000002</v>
      </c>
      <c r="G37" s="3466">
        <f>SUM(G14:G36)</f>
        <v>3216.8999999999987</v>
      </c>
      <c r="H37" s="3506" t="s">
        <v>3552</v>
      </c>
      <c r="I37" s="3559">
        <f ca="1">SUM(I14:I36)</f>
        <v>50898</v>
      </c>
    </row>
    <row r="38" spans="1:9" s="3520" customFormat="1">
      <c r="A38" s="3680">
        <v>6</v>
      </c>
      <c r="B38" s="3676" t="s">
        <v>3553</v>
      </c>
      <c r="C38" s="3668" t="s">
        <v>3554</v>
      </c>
      <c r="D38" s="3688" t="s">
        <v>3555</v>
      </c>
      <c r="E38" s="3509" t="s">
        <v>3556</v>
      </c>
      <c r="F38" s="3519">
        <v>44.95</v>
      </c>
      <c r="G38" s="3469">
        <v>8.19</v>
      </c>
      <c r="H38" s="3470" t="s">
        <v>3557</v>
      </c>
      <c r="I38" s="3558">
        <f ca="1">典型户型修正车!S25</f>
        <v>19</v>
      </c>
    </row>
    <row r="39" spans="1:9" s="3472" customFormat="1">
      <c r="A39" s="3681"/>
      <c r="B39" s="3677"/>
      <c r="C39" s="3668"/>
      <c r="D39" s="3688"/>
      <c r="E39" s="3509" t="s">
        <v>3558</v>
      </c>
      <c r="F39" s="3519">
        <v>44.95</v>
      </c>
      <c r="G39" s="3469">
        <v>8.19</v>
      </c>
      <c r="H39" s="3470" t="s">
        <v>3557</v>
      </c>
      <c r="I39" s="3558">
        <f ca="1">典型户型修正车!S26</f>
        <v>19</v>
      </c>
    </row>
    <row r="40" spans="1:9" s="3472" customFormat="1">
      <c r="A40" s="3681"/>
      <c r="B40" s="3677"/>
      <c r="C40" s="3668"/>
      <c r="D40" s="3688"/>
      <c r="E40" s="3509" t="s">
        <v>3559</v>
      </c>
      <c r="F40" s="3519">
        <v>44.95</v>
      </c>
      <c r="G40" s="3469">
        <v>8.19</v>
      </c>
      <c r="H40" s="3470" t="s">
        <v>3557</v>
      </c>
      <c r="I40" s="3558">
        <f ca="1">典型户型修正车!S27</f>
        <v>19</v>
      </c>
    </row>
    <row r="41" spans="1:9" s="3472" customFormat="1">
      <c r="A41" s="3681"/>
      <c r="B41" s="3677"/>
      <c r="C41" s="3668"/>
      <c r="D41" s="3688"/>
      <c r="E41" s="3509" t="s">
        <v>3560</v>
      </c>
      <c r="F41" s="3519">
        <v>44.95</v>
      </c>
      <c r="G41" s="3469">
        <v>8.19</v>
      </c>
      <c r="H41" s="3470" t="s">
        <v>3557</v>
      </c>
      <c r="I41" s="3558">
        <f ca="1">典型户型修正车!S28</f>
        <v>19</v>
      </c>
    </row>
    <row r="42" spans="1:9" s="3472" customFormat="1">
      <c r="A42" s="3681"/>
      <c r="B42" s="3677"/>
      <c r="C42" s="3668"/>
      <c r="D42" s="3688"/>
      <c r="E42" s="3509" t="s">
        <v>3561</v>
      </c>
      <c r="F42" s="3519">
        <v>44.95</v>
      </c>
      <c r="G42" s="3469">
        <v>8.19</v>
      </c>
      <c r="H42" s="3470" t="s">
        <v>3557</v>
      </c>
      <c r="I42" s="3558">
        <f ca="1">典型户型修正车!S29</f>
        <v>19</v>
      </c>
    </row>
    <row r="43" spans="1:9" s="3472" customFormat="1">
      <c r="A43" s="3681"/>
      <c r="B43" s="3677"/>
      <c r="C43" s="3668"/>
      <c r="D43" s="3688"/>
      <c r="E43" s="3509" t="s">
        <v>3562</v>
      </c>
      <c r="F43" s="3519">
        <v>44.95</v>
      </c>
      <c r="G43" s="3469">
        <v>8.19</v>
      </c>
      <c r="H43" s="3470" t="s">
        <v>3557</v>
      </c>
      <c r="I43" s="3558">
        <f ca="1">典型户型修正车!S30</f>
        <v>19</v>
      </c>
    </row>
    <row r="44" spans="1:9" s="3472" customFormat="1">
      <c r="A44" s="3681"/>
      <c r="B44" s="3677"/>
      <c r="C44" s="3668"/>
      <c r="D44" s="3688"/>
      <c r="E44" s="3509" t="s">
        <v>3563</v>
      </c>
      <c r="F44" s="3519">
        <v>44.95</v>
      </c>
      <c r="G44" s="3469">
        <v>8.19</v>
      </c>
      <c r="H44" s="3470" t="s">
        <v>3557</v>
      </c>
      <c r="I44" s="3558">
        <f ca="1">典型户型修正车!S31</f>
        <v>19</v>
      </c>
    </row>
    <row r="45" spans="1:9" s="3472" customFormat="1">
      <c r="A45" s="3681"/>
      <c r="B45" s="3677"/>
      <c r="C45" s="3668"/>
      <c r="D45" s="3688"/>
      <c r="E45" s="3509" t="s">
        <v>3564</v>
      </c>
      <c r="F45" s="3519">
        <v>44.95</v>
      </c>
      <c r="G45" s="3469">
        <v>8.19</v>
      </c>
      <c r="H45" s="3470" t="s">
        <v>3557</v>
      </c>
      <c r="I45" s="3558">
        <f ca="1">典型户型修正车!S32</f>
        <v>19</v>
      </c>
    </row>
    <row r="46" spans="1:9" s="3472" customFormat="1">
      <c r="A46" s="3681"/>
      <c r="B46" s="3677"/>
      <c r="C46" s="3668"/>
      <c r="D46" s="3688"/>
      <c r="E46" s="3509" t="s">
        <v>3565</v>
      </c>
      <c r="F46" s="3519">
        <v>44.95</v>
      </c>
      <c r="G46" s="3469">
        <v>8.19</v>
      </c>
      <c r="H46" s="3470" t="s">
        <v>3557</v>
      </c>
      <c r="I46" s="3558">
        <f ca="1">典型户型修正车!S33</f>
        <v>19</v>
      </c>
    </row>
    <row r="47" spans="1:9" s="3472" customFormat="1">
      <c r="A47" s="3681"/>
      <c r="B47" s="3677"/>
      <c r="C47" s="3668"/>
      <c r="D47" s="3688"/>
      <c r="E47" s="3509" t="s">
        <v>3566</v>
      </c>
      <c r="F47" s="3519">
        <v>44.95</v>
      </c>
      <c r="G47" s="3469">
        <v>8.19</v>
      </c>
      <c r="H47" s="3470" t="s">
        <v>3557</v>
      </c>
      <c r="I47" s="3558">
        <f ca="1">典型户型修正车!S34</f>
        <v>19</v>
      </c>
    </row>
    <row r="48" spans="1:9" s="3472" customFormat="1">
      <c r="A48" s="3681"/>
      <c r="B48" s="3677"/>
      <c r="C48" s="3668"/>
      <c r="D48" s="3688"/>
      <c r="E48" s="3509" t="s">
        <v>3567</v>
      </c>
      <c r="F48" s="3519">
        <v>49.03</v>
      </c>
      <c r="G48" s="3469">
        <v>8.93</v>
      </c>
      <c r="H48" s="3470" t="s">
        <v>3557</v>
      </c>
      <c r="I48" s="3558">
        <f ca="1">典型户型修正车!S35</f>
        <v>21</v>
      </c>
    </row>
    <row r="49" spans="1:9" s="3472" customFormat="1">
      <c r="A49" s="3681"/>
      <c r="B49" s="3677"/>
      <c r="C49" s="3668"/>
      <c r="D49" s="3688"/>
      <c r="E49" s="3509" t="s">
        <v>3568</v>
      </c>
      <c r="F49" s="3519">
        <v>44.95</v>
      </c>
      <c r="G49" s="3469">
        <v>8.19</v>
      </c>
      <c r="H49" s="3470" t="s">
        <v>3557</v>
      </c>
      <c r="I49" s="3558">
        <f ca="1">典型户型修正车!S36</f>
        <v>19</v>
      </c>
    </row>
    <row r="50" spans="1:9" s="3472" customFormat="1">
      <c r="A50" s="3681"/>
      <c r="B50" s="3677"/>
      <c r="C50" s="3668"/>
      <c r="D50" s="3688"/>
      <c r="E50" s="3509" t="s">
        <v>3569</v>
      </c>
      <c r="F50" s="3519">
        <v>44.95</v>
      </c>
      <c r="G50" s="3469">
        <v>8.19</v>
      </c>
      <c r="H50" s="3470" t="s">
        <v>3557</v>
      </c>
      <c r="I50" s="3558">
        <f ca="1">典型户型修正车!S37</f>
        <v>19</v>
      </c>
    </row>
    <row r="51" spans="1:9" s="3472" customFormat="1">
      <c r="A51" s="3681"/>
      <c r="B51" s="3677"/>
      <c r="C51" s="3668"/>
      <c r="D51" s="3688"/>
      <c r="E51" s="3509" t="s">
        <v>3570</v>
      </c>
      <c r="F51" s="3519">
        <v>44.95</v>
      </c>
      <c r="G51" s="3469">
        <v>8.19</v>
      </c>
      <c r="H51" s="3470" t="s">
        <v>3557</v>
      </c>
      <c r="I51" s="3558">
        <f ca="1">典型户型修正车!S38</f>
        <v>19</v>
      </c>
    </row>
    <row r="52" spans="1:9" s="3472" customFormat="1">
      <c r="A52" s="3681"/>
      <c r="B52" s="3677"/>
      <c r="C52" s="3668"/>
      <c r="D52" s="3688"/>
      <c r="E52" s="3509" t="s">
        <v>3571</v>
      </c>
      <c r="F52" s="3519">
        <v>44.95</v>
      </c>
      <c r="G52" s="3469">
        <v>8.18</v>
      </c>
      <c r="H52" s="3470" t="s">
        <v>3557</v>
      </c>
      <c r="I52" s="3558">
        <f ca="1">典型户型修正车!S39</f>
        <v>19</v>
      </c>
    </row>
    <row r="53" spans="1:9" s="3472" customFormat="1">
      <c r="A53" s="3681"/>
      <c r="B53" s="3677"/>
      <c r="C53" s="3668"/>
      <c r="D53" s="3688"/>
      <c r="E53" s="3509" t="s">
        <v>3572</v>
      </c>
      <c r="F53" s="3519">
        <v>44.95</v>
      </c>
      <c r="G53" s="3469">
        <v>8.18</v>
      </c>
      <c r="H53" s="3470" t="s">
        <v>3557</v>
      </c>
      <c r="I53" s="3558">
        <f ca="1">典型户型修正车!S40</f>
        <v>19</v>
      </c>
    </row>
    <row r="54" spans="1:9" s="3472" customFormat="1">
      <c r="A54" s="3681"/>
      <c r="B54" s="3677"/>
      <c r="C54" s="3668"/>
      <c r="D54" s="3688"/>
      <c r="E54" s="3509" t="s">
        <v>3573</v>
      </c>
      <c r="F54" s="3519">
        <v>89.9</v>
      </c>
      <c r="G54" s="3469">
        <v>16.37</v>
      </c>
      <c r="H54" s="3470" t="s">
        <v>3557</v>
      </c>
      <c r="I54" s="3558">
        <f ca="1">典型户型修正车!S41</f>
        <v>38</v>
      </c>
    </row>
    <row r="55" spans="1:9" s="3472" customFormat="1">
      <c r="A55" s="3681"/>
      <c r="B55" s="3677"/>
      <c r="C55" s="3668"/>
      <c r="D55" s="3688"/>
      <c r="E55" s="3509" t="s">
        <v>3574</v>
      </c>
      <c r="F55" s="3519">
        <v>89.9</v>
      </c>
      <c r="G55" s="3469">
        <v>16.37</v>
      </c>
      <c r="H55" s="3470" t="s">
        <v>3557</v>
      </c>
      <c r="I55" s="3558">
        <f ca="1">典型户型修正车!S42</f>
        <v>38</v>
      </c>
    </row>
    <row r="56" spans="1:9" s="3472" customFormat="1">
      <c r="A56" s="3681"/>
      <c r="B56" s="3677"/>
      <c r="C56" s="3668"/>
      <c r="D56" s="3688"/>
      <c r="E56" s="3509" t="s">
        <v>3575</v>
      </c>
      <c r="F56" s="3519">
        <v>49.03</v>
      </c>
      <c r="G56" s="3469">
        <v>8.93</v>
      </c>
      <c r="H56" s="3470" t="s">
        <v>3557</v>
      </c>
      <c r="I56" s="3558">
        <f ca="1">典型户型修正车!S43</f>
        <v>21</v>
      </c>
    </row>
    <row r="57" spans="1:9" s="3472" customFormat="1">
      <c r="A57" s="3681"/>
      <c r="B57" s="3677"/>
      <c r="C57" s="3668"/>
      <c r="D57" s="3688"/>
      <c r="E57" s="3509" t="s">
        <v>3576</v>
      </c>
      <c r="F57" s="3519">
        <v>49.03</v>
      </c>
      <c r="G57" s="3469">
        <v>8.93</v>
      </c>
      <c r="H57" s="3470" t="s">
        <v>3557</v>
      </c>
      <c r="I57" s="3558">
        <f ca="1">典型户型修正车!S44</f>
        <v>21</v>
      </c>
    </row>
    <row r="58" spans="1:9" s="3472" customFormat="1">
      <c r="A58" s="3681"/>
      <c r="B58" s="3677"/>
      <c r="C58" s="3668"/>
      <c r="D58" s="3688"/>
      <c r="E58" s="3509" t="s">
        <v>3577</v>
      </c>
      <c r="F58" s="3519">
        <v>44.95</v>
      </c>
      <c r="G58" s="3469">
        <v>8.18</v>
      </c>
      <c r="H58" s="3470" t="s">
        <v>3557</v>
      </c>
      <c r="I58" s="3558">
        <f ca="1">典型户型修正车!S45</f>
        <v>19</v>
      </c>
    </row>
    <row r="59" spans="1:9" s="3472" customFormat="1">
      <c r="A59" s="3681"/>
      <c r="B59" s="3677"/>
      <c r="C59" s="3668"/>
      <c r="D59" s="3688"/>
      <c r="E59" s="3509" t="s">
        <v>3578</v>
      </c>
      <c r="F59" s="3519">
        <v>44.95</v>
      </c>
      <c r="G59" s="3469">
        <v>8.18</v>
      </c>
      <c r="H59" s="3470" t="s">
        <v>3557</v>
      </c>
      <c r="I59" s="3558">
        <f ca="1">典型户型修正车!S46</f>
        <v>19</v>
      </c>
    </row>
    <row r="60" spans="1:9" s="3472" customFormat="1">
      <c r="A60" s="3681"/>
      <c r="B60" s="3677"/>
      <c r="C60" s="3668"/>
      <c r="D60" s="3688"/>
      <c r="E60" s="3509" t="s">
        <v>3579</v>
      </c>
      <c r="F60" s="3519">
        <v>44.95</v>
      </c>
      <c r="G60" s="3469">
        <v>8.18</v>
      </c>
      <c r="H60" s="3470" t="s">
        <v>3557</v>
      </c>
      <c r="I60" s="3558">
        <f ca="1">典型户型修正车!S47</f>
        <v>19</v>
      </c>
    </row>
    <row r="61" spans="1:9" s="3472" customFormat="1">
      <c r="A61" s="3681"/>
      <c r="B61" s="3677"/>
      <c r="C61" s="3668"/>
      <c r="D61" s="3688"/>
      <c r="E61" s="3509" t="s">
        <v>3580</v>
      </c>
      <c r="F61" s="3519">
        <v>44.95</v>
      </c>
      <c r="G61" s="3469">
        <v>8.18</v>
      </c>
      <c r="H61" s="3470" t="s">
        <v>3557</v>
      </c>
      <c r="I61" s="3558">
        <f ca="1">典型户型修正车!S48</f>
        <v>19</v>
      </c>
    </row>
    <row r="62" spans="1:9" s="3472" customFormat="1">
      <c r="A62" s="3681"/>
      <c r="B62" s="3677"/>
      <c r="C62" s="3668"/>
      <c r="D62" s="3688"/>
      <c r="E62" s="3509" t="s">
        <v>3581</v>
      </c>
      <c r="F62" s="3519">
        <v>44.95</v>
      </c>
      <c r="G62" s="3469">
        <v>8.18</v>
      </c>
      <c r="H62" s="3470" t="s">
        <v>3557</v>
      </c>
      <c r="I62" s="3558">
        <f ca="1">典型户型修正车!S49</f>
        <v>19</v>
      </c>
    </row>
    <row r="63" spans="1:9" s="3472" customFormat="1">
      <c r="A63" s="3681"/>
      <c r="B63" s="3677"/>
      <c r="C63" s="3668"/>
      <c r="D63" s="3688"/>
      <c r="E63" s="3509" t="s">
        <v>3582</v>
      </c>
      <c r="F63" s="3519">
        <v>44.95</v>
      </c>
      <c r="G63" s="3469">
        <v>8.18</v>
      </c>
      <c r="H63" s="3470" t="s">
        <v>3557</v>
      </c>
      <c r="I63" s="3558">
        <f ca="1">典型户型修正车!S50</f>
        <v>19</v>
      </c>
    </row>
    <row r="64" spans="1:9" s="3472" customFormat="1">
      <c r="A64" s="3681"/>
      <c r="B64" s="3677"/>
      <c r="C64" s="3668"/>
      <c r="D64" s="3688"/>
      <c r="E64" s="3509" t="s">
        <v>3583</v>
      </c>
      <c r="F64" s="3519">
        <v>44.95</v>
      </c>
      <c r="G64" s="3469">
        <v>8.18</v>
      </c>
      <c r="H64" s="3470" t="s">
        <v>3557</v>
      </c>
      <c r="I64" s="3558">
        <f ca="1">典型户型修正车!S51</f>
        <v>19</v>
      </c>
    </row>
    <row r="65" spans="1:9" s="3472" customFormat="1">
      <c r="A65" s="3681"/>
      <c r="B65" s="3677"/>
      <c r="C65" s="3668"/>
      <c r="D65" s="3688"/>
      <c r="E65" s="3509" t="s">
        <v>3584</v>
      </c>
      <c r="F65" s="3519">
        <v>44.95</v>
      </c>
      <c r="G65" s="3469">
        <v>8.18</v>
      </c>
      <c r="H65" s="3470" t="s">
        <v>3557</v>
      </c>
      <c r="I65" s="3558">
        <f ca="1">典型户型修正车!S52</f>
        <v>19</v>
      </c>
    </row>
    <row r="66" spans="1:9" s="3472" customFormat="1">
      <c r="A66" s="3681"/>
      <c r="B66" s="3677"/>
      <c r="C66" s="3668"/>
      <c r="D66" s="3688"/>
      <c r="E66" s="3509" t="s">
        <v>3585</v>
      </c>
      <c r="F66" s="3519">
        <v>44.95</v>
      </c>
      <c r="G66" s="3469">
        <v>8.18</v>
      </c>
      <c r="H66" s="3470" t="s">
        <v>3557</v>
      </c>
      <c r="I66" s="3558">
        <f ca="1">典型户型修正车!S53</f>
        <v>19</v>
      </c>
    </row>
    <row r="67" spans="1:9" s="3472" customFormat="1">
      <c r="A67" s="3681"/>
      <c r="B67" s="3677"/>
      <c r="C67" s="3668"/>
      <c r="D67" s="3688"/>
      <c r="E67" s="3509" t="s">
        <v>3586</v>
      </c>
      <c r="F67" s="3519">
        <v>49.03</v>
      </c>
      <c r="G67" s="3469">
        <v>8.93</v>
      </c>
      <c r="H67" s="3470" t="s">
        <v>3557</v>
      </c>
      <c r="I67" s="3558">
        <f ca="1">典型户型修正车!S54</f>
        <v>21</v>
      </c>
    </row>
    <row r="68" spans="1:9" s="3472" customFormat="1">
      <c r="A68" s="3681"/>
      <c r="B68" s="3677"/>
      <c r="C68" s="3668"/>
      <c r="D68" s="3688"/>
      <c r="E68" s="3509" t="s">
        <v>3587</v>
      </c>
      <c r="F68" s="3519">
        <v>49.03</v>
      </c>
      <c r="G68" s="3469">
        <v>8.93</v>
      </c>
      <c r="H68" s="3470" t="s">
        <v>3557</v>
      </c>
      <c r="I68" s="3558">
        <f ca="1">典型户型修正车!S55</f>
        <v>21</v>
      </c>
    </row>
    <row r="69" spans="1:9" s="3472" customFormat="1">
      <c r="A69" s="3681"/>
      <c r="B69" s="3677"/>
      <c r="C69" s="3668"/>
      <c r="D69" s="3688"/>
      <c r="E69" s="3509" t="s">
        <v>3588</v>
      </c>
      <c r="F69" s="3519">
        <v>49.03</v>
      </c>
      <c r="G69" s="3469">
        <v>8.93</v>
      </c>
      <c r="H69" s="3470" t="s">
        <v>3557</v>
      </c>
      <c r="I69" s="3558">
        <f ca="1">典型户型修正车!S56</f>
        <v>21</v>
      </c>
    </row>
    <row r="70" spans="1:9" s="3472" customFormat="1">
      <c r="A70" s="3681"/>
      <c r="B70" s="3677"/>
      <c r="C70" s="3668"/>
      <c r="D70" s="3688"/>
      <c r="E70" s="3509" t="s">
        <v>3589</v>
      </c>
      <c r="F70" s="3519">
        <v>44.95</v>
      </c>
      <c r="G70" s="3469">
        <v>8.18</v>
      </c>
      <c r="H70" s="3470" t="s">
        <v>3557</v>
      </c>
      <c r="I70" s="3558">
        <f ca="1">典型户型修正车!S57</f>
        <v>19</v>
      </c>
    </row>
    <row r="71" spans="1:9" s="3472" customFormat="1">
      <c r="A71" s="3681"/>
      <c r="B71" s="3677"/>
      <c r="C71" s="3668"/>
      <c r="D71" s="3688"/>
      <c r="E71" s="3509" t="s">
        <v>3590</v>
      </c>
      <c r="F71" s="3519">
        <v>44.95</v>
      </c>
      <c r="G71" s="3469">
        <v>8.18</v>
      </c>
      <c r="H71" s="3470" t="s">
        <v>3557</v>
      </c>
      <c r="I71" s="3558">
        <f ca="1">典型户型修正车!S58</f>
        <v>19</v>
      </c>
    </row>
    <row r="72" spans="1:9" s="3472" customFormat="1">
      <c r="A72" s="3681"/>
      <c r="B72" s="3677"/>
      <c r="C72" s="3668"/>
      <c r="D72" s="3688"/>
      <c r="E72" s="3509" t="s">
        <v>3591</v>
      </c>
      <c r="F72" s="3519">
        <v>44.95</v>
      </c>
      <c r="G72" s="3469">
        <v>8.18</v>
      </c>
      <c r="H72" s="3470" t="s">
        <v>3557</v>
      </c>
      <c r="I72" s="3558">
        <f ca="1">典型户型修正车!S59</f>
        <v>19</v>
      </c>
    </row>
    <row r="73" spans="1:9" s="3472" customFormat="1">
      <c r="A73" s="3681"/>
      <c r="B73" s="3677"/>
      <c r="C73" s="3668"/>
      <c r="D73" s="3688"/>
      <c r="E73" s="3468" t="s">
        <v>3592</v>
      </c>
      <c r="F73" s="3519">
        <v>44.95</v>
      </c>
      <c r="G73" s="3469">
        <v>8.18</v>
      </c>
      <c r="H73" s="3470" t="s">
        <v>3557</v>
      </c>
      <c r="I73" s="3558">
        <f ca="1">典型户型修正车!S60</f>
        <v>19</v>
      </c>
    </row>
    <row r="74" spans="1:9" s="3472" customFormat="1">
      <c r="A74" s="3681"/>
      <c r="B74" s="3683"/>
      <c r="C74" s="3668"/>
      <c r="D74" s="3688"/>
      <c r="E74" s="3468" t="s">
        <v>3593</v>
      </c>
      <c r="F74" s="3519">
        <v>44.95</v>
      </c>
      <c r="G74" s="3469">
        <v>8.18</v>
      </c>
      <c r="H74" s="3470" t="s">
        <v>3557</v>
      </c>
      <c r="I74" s="3558">
        <f ca="1">典型户型修正车!S61</f>
        <v>19</v>
      </c>
    </row>
    <row r="75" spans="1:9" s="3472" customFormat="1">
      <c r="A75" s="3681"/>
      <c r="B75" s="3676" t="s">
        <v>3553</v>
      </c>
      <c r="C75" s="3668" t="s">
        <v>3554</v>
      </c>
      <c r="D75" s="3688" t="s">
        <v>3555</v>
      </c>
      <c r="E75" s="3468" t="s">
        <v>3594</v>
      </c>
      <c r="F75" s="3519">
        <v>44.95</v>
      </c>
      <c r="G75" s="3469">
        <v>8.18</v>
      </c>
      <c r="H75" s="3470" t="s">
        <v>3557</v>
      </c>
      <c r="I75" s="3558">
        <f ca="1">典型户型修正车!S62</f>
        <v>19</v>
      </c>
    </row>
    <row r="76" spans="1:9" s="3472" customFormat="1">
      <c r="A76" s="3681"/>
      <c r="B76" s="3677"/>
      <c r="C76" s="3668"/>
      <c r="D76" s="3688"/>
      <c r="E76" s="3468" t="s">
        <v>3595</v>
      </c>
      <c r="F76" s="3519">
        <v>44.95</v>
      </c>
      <c r="G76" s="3469">
        <v>8.18</v>
      </c>
      <c r="H76" s="3470" t="s">
        <v>3557</v>
      </c>
      <c r="I76" s="3558">
        <f ca="1">典型户型修正车!S63</f>
        <v>19</v>
      </c>
    </row>
    <row r="77" spans="1:9" s="3472" customFormat="1">
      <c r="A77" s="3681"/>
      <c r="B77" s="3677"/>
      <c r="C77" s="3668"/>
      <c r="D77" s="3688"/>
      <c r="E77" s="3468" t="s">
        <v>3596</v>
      </c>
      <c r="F77" s="3519">
        <v>44.95</v>
      </c>
      <c r="G77" s="3469">
        <v>8.18</v>
      </c>
      <c r="H77" s="3470" t="s">
        <v>3557</v>
      </c>
      <c r="I77" s="3558">
        <f ca="1">典型户型修正车!S64</f>
        <v>19</v>
      </c>
    </row>
    <row r="78" spans="1:9" s="3472" customFormat="1">
      <c r="A78" s="3681"/>
      <c r="B78" s="3677"/>
      <c r="C78" s="3668"/>
      <c r="D78" s="3688"/>
      <c r="E78" s="3468" t="s">
        <v>3597</v>
      </c>
      <c r="F78" s="3519">
        <v>44.95</v>
      </c>
      <c r="G78" s="3469">
        <v>8.18</v>
      </c>
      <c r="H78" s="3470" t="s">
        <v>3557</v>
      </c>
      <c r="I78" s="3558">
        <f ca="1">典型户型修正车!S65</f>
        <v>19</v>
      </c>
    </row>
    <row r="79" spans="1:9" s="3472" customFormat="1">
      <c r="A79" s="3681"/>
      <c r="B79" s="3677"/>
      <c r="C79" s="3668"/>
      <c r="D79" s="3688"/>
      <c r="E79" s="3468" t="s">
        <v>3598</v>
      </c>
      <c r="F79" s="3519">
        <v>44.95</v>
      </c>
      <c r="G79" s="3469">
        <v>8.18</v>
      </c>
      <c r="H79" s="3470" t="s">
        <v>3557</v>
      </c>
      <c r="I79" s="3558">
        <f ca="1">典型户型修正车!S66</f>
        <v>19</v>
      </c>
    </row>
    <row r="80" spans="1:9" s="3472" customFormat="1">
      <c r="A80" s="3681"/>
      <c r="B80" s="3677"/>
      <c r="C80" s="3668"/>
      <c r="D80" s="3688"/>
      <c r="E80" s="3468" t="s">
        <v>3599</v>
      </c>
      <c r="F80" s="3519">
        <v>44.95</v>
      </c>
      <c r="G80" s="3469">
        <v>8.18</v>
      </c>
      <c r="H80" s="3470" t="s">
        <v>3557</v>
      </c>
      <c r="I80" s="3558">
        <f ca="1">典型户型修正车!S67</f>
        <v>19</v>
      </c>
    </row>
    <row r="81" spans="1:9" s="3472" customFormat="1">
      <c r="A81" s="3681"/>
      <c r="B81" s="3677"/>
      <c r="C81" s="3668"/>
      <c r="D81" s="3688"/>
      <c r="E81" s="3468" t="s">
        <v>3600</v>
      </c>
      <c r="F81" s="3519">
        <v>44.95</v>
      </c>
      <c r="G81" s="3469">
        <v>8.18</v>
      </c>
      <c r="H81" s="3470" t="s">
        <v>3557</v>
      </c>
      <c r="I81" s="3558">
        <f ca="1">典型户型修正车!S68</f>
        <v>19</v>
      </c>
    </row>
    <row r="82" spans="1:9" s="3472" customFormat="1">
      <c r="A82" s="3681"/>
      <c r="B82" s="3677"/>
      <c r="C82" s="3668"/>
      <c r="D82" s="3688"/>
      <c r="E82" s="3468" t="s">
        <v>3601</v>
      </c>
      <c r="F82" s="3519">
        <v>44.95</v>
      </c>
      <c r="G82" s="3469">
        <v>8.18</v>
      </c>
      <c r="H82" s="3470" t="s">
        <v>3557</v>
      </c>
      <c r="I82" s="3558">
        <f ca="1">典型户型修正车!S69</f>
        <v>19</v>
      </c>
    </row>
    <row r="83" spans="1:9" s="3472" customFormat="1">
      <c r="A83" s="3681"/>
      <c r="B83" s="3677"/>
      <c r="C83" s="3668"/>
      <c r="D83" s="3688"/>
      <c r="E83" s="3468" t="s">
        <v>3602</v>
      </c>
      <c r="F83" s="3519">
        <v>44.95</v>
      </c>
      <c r="G83" s="3469">
        <v>8.18</v>
      </c>
      <c r="H83" s="3470" t="s">
        <v>3557</v>
      </c>
      <c r="I83" s="3558">
        <f ca="1">典型户型修正车!S70</f>
        <v>19</v>
      </c>
    </row>
    <row r="84" spans="1:9" s="3472" customFormat="1">
      <c r="A84" s="3681"/>
      <c r="B84" s="3677"/>
      <c r="C84" s="3668"/>
      <c r="D84" s="3688"/>
      <c r="E84" s="3468" t="s">
        <v>3603</v>
      </c>
      <c r="F84" s="3519">
        <v>44.95</v>
      </c>
      <c r="G84" s="3469">
        <v>8.18</v>
      </c>
      <c r="H84" s="3470" t="s">
        <v>3557</v>
      </c>
      <c r="I84" s="3558">
        <f ca="1">典型户型修正车!S71</f>
        <v>19</v>
      </c>
    </row>
    <row r="85" spans="1:9" s="3472" customFormat="1">
      <c r="A85" s="3681"/>
      <c r="B85" s="3677"/>
      <c r="C85" s="3668"/>
      <c r="D85" s="3688"/>
      <c r="E85" s="3509" t="s">
        <v>3604</v>
      </c>
      <c r="F85" s="3519">
        <v>44.95</v>
      </c>
      <c r="G85" s="3469">
        <v>8.18</v>
      </c>
      <c r="H85" s="3470" t="s">
        <v>3557</v>
      </c>
      <c r="I85" s="3558">
        <f ca="1">典型户型修正车!S72</f>
        <v>19</v>
      </c>
    </row>
    <row r="86" spans="1:9" s="3472" customFormat="1">
      <c r="A86" s="3681"/>
      <c r="B86" s="3677"/>
      <c r="C86" s="3668"/>
      <c r="D86" s="3688"/>
      <c r="E86" s="3509" t="s">
        <v>3605</v>
      </c>
      <c r="F86" s="3519">
        <v>44.95</v>
      </c>
      <c r="G86" s="3469">
        <v>8.18</v>
      </c>
      <c r="H86" s="3470" t="s">
        <v>3557</v>
      </c>
      <c r="I86" s="3558">
        <f ca="1">典型户型修正车!S73</f>
        <v>19</v>
      </c>
    </row>
    <row r="87" spans="1:9" s="3472" customFormat="1">
      <c r="A87" s="3681"/>
      <c r="B87" s="3677"/>
      <c r="C87" s="3668"/>
      <c r="D87" s="3688"/>
      <c r="E87" s="3468" t="s">
        <v>3606</v>
      </c>
      <c r="F87" s="3519">
        <v>44.95</v>
      </c>
      <c r="G87" s="3469">
        <v>8.18</v>
      </c>
      <c r="H87" s="3470" t="s">
        <v>3557</v>
      </c>
      <c r="I87" s="3558">
        <f ca="1">典型户型修正车!S74</f>
        <v>19</v>
      </c>
    </row>
    <row r="88" spans="1:9" s="3472" customFormat="1">
      <c r="A88" s="3681"/>
      <c r="B88" s="3677"/>
      <c r="C88" s="3668"/>
      <c r="D88" s="3688"/>
      <c r="E88" s="3468" t="s">
        <v>3607</v>
      </c>
      <c r="F88" s="3519">
        <v>49.03</v>
      </c>
      <c r="G88" s="3469">
        <v>8.93</v>
      </c>
      <c r="H88" s="3470" t="s">
        <v>3557</v>
      </c>
      <c r="I88" s="3558">
        <f ca="1">典型户型修正车!S75</f>
        <v>21</v>
      </c>
    </row>
    <row r="89" spans="1:9" s="3472" customFormat="1">
      <c r="A89" s="3681"/>
      <c r="B89" s="3677"/>
      <c r="C89" s="3668"/>
      <c r="D89" s="3688"/>
      <c r="E89" s="3468" t="s">
        <v>3608</v>
      </c>
      <c r="F89" s="3519">
        <v>44.95</v>
      </c>
      <c r="G89" s="3469">
        <v>8.18</v>
      </c>
      <c r="H89" s="3470" t="s">
        <v>3557</v>
      </c>
      <c r="I89" s="3558">
        <f ca="1">典型户型修正车!S76</f>
        <v>19</v>
      </c>
    </row>
    <row r="90" spans="1:9" s="3472" customFormat="1">
      <c r="A90" s="3681"/>
      <c r="B90" s="3677"/>
      <c r="C90" s="3668"/>
      <c r="D90" s="3688"/>
      <c r="E90" s="3509" t="s">
        <v>3609</v>
      </c>
      <c r="F90" s="3519">
        <v>44.95</v>
      </c>
      <c r="G90" s="3469">
        <v>8.18</v>
      </c>
      <c r="H90" s="3470" t="s">
        <v>3557</v>
      </c>
      <c r="I90" s="3558">
        <f ca="1">典型户型修正车!S77</f>
        <v>19</v>
      </c>
    </row>
    <row r="91" spans="1:9" s="3472" customFormat="1">
      <c r="A91" s="3681"/>
      <c r="B91" s="3677"/>
      <c r="C91" s="3668"/>
      <c r="D91" s="3688"/>
      <c r="E91" s="3468" t="s">
        <v>3610</v>
      </c>
      <c r="F91" s="3519">
        <v>44.95</v>
      </c>
      <c r="G91" s="3469">
        <v>8.18</v>
      </c>
      <c r="H91" s="3470" t="s">
        <v>3557</v>
      </c>
      <c r="I91" s="3558">
        <f ca="1">典型户型修正车!S78</f>
        <v>19</v>
      </c>
    </row>
    <row r="92" spans="1:9" s="3472" customFormat="1">
      <c r="A92" s="3681"/>
      <c r="B92" s="3677"/>
      <c r="C92" s="3668"/>
      <c r="D92" s="3688"/>
      <c r="E92" s="3468" t="s">
        <v>3611</v>
      </c>
      <c r="F92" s="3519">
        <v>44.95</v>
      </c>
      <c r="G92" s="3469">
        <v>8.18</v>
      </c>
      <c r="H92" s="3470" t="s">
        <v>3557</v>
      </c>
      <c r="I92" s="3558">
        <f ca="1">典型户型修正车!S79</f>
        <v>19</v>
      </c>
    </row>
    <row r="93" spans="1:9" s="3472" customFormat="1">
      <c r="A93" s="3681"/>
      <c r="B93" s="3677"/>
      <c r="C93" s="3668"/>
      <c r="D93" s="3688"/>
      <c r="E93" s="3468" t="s">
        <v>3612</v>
      </c>
      <c r="F93" s="3519">
        <v>44.95</v>
      </c>
      <c r="G93" s="3469">
        <v>8.18</v>
      </c>
      <c r="H93" s="3470" t="s">
        <v>3557</v>
      </c>
      <c r="I93" s="3558">
        <f ca="1">典型户型修正车!S80</f>
        <v>19</v>
      </c>
    </row>
    <row r="94" spans="1:9" s="3472" customFormat="1">
      <c r="A94" s="3681"/>
      <c r="B94" s="3677"/>
      <c r="C94" s="3668"/>
      <c r="D94" s="3688"/>
      <c r="E94" s="3468" t="s">
        <v>3613</v>
      </c>
      <c r="F94" s="3519">
        <v>44.95</v>
      </c>
      <c r="G94" s="3469">
        <v>8.18</v>
      </c>
      <c r="H94" s="3470" t="s">
        <v>3557</v>
      </c>
      <c r="I94" s="3558">
        <f ca="1">典型户型修正车!S81</f>
        <v>19</v>
      </c>
    </row>
    <row r="95" spans="1:9" s="3472" customFormat="1">
      <c r="A95" s="3681"/>
      <c r="B95" s="3677"/>
      <c r="C95" s="3668"/>
      <c r="D95" s="3688"/>
      <c r="E95" s="3468" t="s">
        <v>3614</v>
      </c>
      <c r="F95" s="3519">
        <v>44.95</v>
      </c>
      <c r="G95" s="3469">
        <v>8.18</v>
      </c>
      <c r="H95" s="3470" t="s">
        <v>3557</v>
      </c>
      <c r="I95" s="3558">
        <f ca="1">典型户型修正车!S82</f>
        <v>19</v>
      </c>
    </row>
    <row r="96" spans="1:9" s="3472" customFormat="1">
      <c r="A96" s="3681"/>
      <c r="B96" s="3677"/>
      <c r="C96" s="3668"/>
      <c r="D96" s="3688"/>
      <c r="E96" s="3468" t="s">
        <v>3615</v>
      </c>
      <c r="F96" s="3519">
        <v>44.95</v>
      </c>
      <c r="G96" s="3469">
        <v>8.18</v>
      </c>
      <c r="H96" s="3470" t="s">
        <v>3557</v>
      </c>
      <c r="I96" s="3558">
        <f ca="1">典型户型修正车!S83</f>
        <v>19</v>
      </c>
    </row>
    <row r="97" spans="1:9" s="3472" customFormat="1">
      <c r="A97" s="3681"/>
      <c r="B97" s="3677"/>
      <c r="C97" s="3668"/>
      <c r="D97" s="3688"/>
      <c r="E97" s="3468" t="s">
        <v>3616</v>
      </c>
      <c r="F97" s="3519">
        <v>44.95</v>
      </c>
      <c r="G97" s="3469">
        <v>8.18</v>
      </c>
      <c r="H97" s="3470" t="s">
        <v>3557</v>
      </c>
      <c r="I97" s="3558">
        <f ca="1">典型户型修正车!S84</f>
        <v>19</v>
      </c>
    </row>
    <row r="98" spans="1:9" s="3472" customFormat="1">
      <c r="A98" s="3681"/>
      <c r="B98" s="3677"/>
      <c r="C98" s="3668"/>
      <c r="D98" s="3688"/>
      <c r="E98" s="3468" t="s">
        <v>3617</v>
      </c>
      <c r="F98" s="3519">
        <v>44.95</v>
      </c>
      <c r="G98" s="3469">
        <v>8.18</v>
      </c>
      <c r="H98" s="3470" t="s">
        <v>3557</v>
      </c>
      <c r="I98" s="3558">
        <f ca="1">典型户型修正车!S85</f>
        <v>19</v>
      </c>
    </row>
    <row r="99" spans="1:9" s="3472" customFormat="1">
      <c r="A99" s="3681"/>
      <c r="B99" s="3677"/>
      <c r="C99" s="3668"/>
      <c r="D99" s="3688"/>
      <c r="E99" s="3468" t="s">
        <v>3618</v>
      </c>
      <c r="F99" s="3519">
        <v>44.95</v>
      </c>
      <c r="G99" s="3469">
        <v>8.18</v>
      </c>
      <c r="H99" s="3470" t="s">
        <v>3557</v>
      </c>
      <c r="I99" s="3558">
        <f ca="1">典型户型修正车!S86</f>
        <v>19</v>
      </c>
    </row>
    <row r="100" spans="1:9" s="3472" customFormat="1">
      <c r="A100" s="3681"/>
      <c r="B100" s="3677"/>
      <c r="C100" s="3668"/>
      <c r="D100" s="3688"/>
      <c r="E100" s="3468" t="s">
        <v>3619</v>
      </c>
      <c r="F100" s="3519">
        <v>44.95</v>
      </c>
      <c r="G100" s="3469">
        <v>8.18</v>
      </c>
      <c r="H100" s="3470" t="s">
        <v>3557</v>
      </c>
      <c r="I100" s="3558">
        <f ca="1">典型户型修正车!S87</f>
        <v>19</v>
      </c>
    </row>
    <row r="101" spans="1:9" s="3472" customFormat="1">
      <c r="A101" s="3681"/>
      <c r="B101" s="3677"/>
      <c r="C101" s="3668"/>
      <c r="D101" s="3688"/>
      <c r="E101" s="3468" t="s">
        <v>3620</v>
      </c>
      <c r="F101" s="3519">
        <v>44.95</v>
      </c>
      <c r="G101" s="3469">
        <v>8.18</v>
      </c>
      <c r="H101" s="3470" t="s">
        <v>3557</v>
      </c>
      <c r="I101" s="3558">
        <f ca="1">典型户型修正车!S88</f>
        <v>19</v>
      </c>
    </row>
    <row r="102" spans="1:9" s="3472" customFormat="1">
      <c r="A102" s="3681"/>
      <c r="B102" s="3677"/>
      <c r="C102" s="3668"/>
      <c r="D102" s="3688"/>
      <c r="E102" s="3468" t="s">
        <v>3621</v>
      </c>
      <c r="F102" s="3519">
        <v>44.95</v>
      </c>
      <c r="G102" s="3469">
        <v>8.18</v>
      </c>
      <c r="H102" s="3470" t="s">
        <v>3557</v>
      </c>
      <c r="I102" s="3558">
        <f ca="1">典型户型修正车!S89</f>
        <v>19</v>
      </c>
    </row>
    <row r="103" spans="1:9" s="3472" customFormat="1">
      <c r="A103" s="3681"/>
      <c r="B103" s="3677"/>
      <c r="C103" s="3668"/>
      <c r="D103" s="3688"/>
      <c r="E103" s="3468" t="s">
        <v>3622</v>
      </c>
      <c r="F103" s="3519">
        <v>44.95</v>
      </c>
      <c r="G103" s="3469">
        <v>8.18</v>
      </c>
      <c r="H103" s="3470" t="s">
        <v>3557</v>
      </c>
      <c r="I103" s="3558">
        <f ca="1">典型户型修正车!S90</f>
        <v>19</v>
      </c>
    </row>
    <row r="104" spans="1:9" s="3472" customFormat="1">
      <c r="A104" s="3681"/>
      <c r="B104" s="3677"/>
      <c r="C104" s="3668"/>
      <c r="D104" s="3688"/>
      <c r="E104" s="3468" t="s">
        <v>3623</v>
      </c>
      <c r="F104" s="3519">
        <v>44.95</v>
      </c>
      <c r="G104" s="3469">
        <v>8.18</v>
      </c>
      <c r="H104" s="3470" t="s">
        <v>3557</v>
      </c>
      <c r="I104" s="3558">
        <f ca="1">典型户型修正车!S91</f>
        <v>19</v>
      </c>
    </row>
    <row r="105" spans="1:9" s="3472" customFormat="1">
      <c r="A105" s="3681"/>
      <c r="B105" s="3677"/>
      <c r="C105" s="3668"/>
      <c r="D105" s="3688"/>
      <c r="E105" s="3468" t="s">
        <v>3624</v>
      </c>
      <c r="F105" s="3519">
        <v>44.95</v>
      </c>
      <c r="G105" s="3469">
        <v>8.18</v>
      </c>
      <c r="H105" s="3470" t="s">
        <v>3557</v>
      </c>
      <c r="I105" s="3558">
        <f ca="1">典型户型修正车!S92</f>
        <v>19</v>
      </c>
    </row>
    <row r="106" spans="1:9" s="3472" customFormat="1">
      <c r="A106" s="3681"/>
      <c r="B106" s="3677"/>
      <c r="C106" s="3668"/>
      <c r="D106" s="3688"/>
      <c r="E106" s="3468" t="s">
        <v>3625</v>
      </c>
      <c r="F106" s="3519">
        <v>44.95</v>
      </c>
      <c r="G106" s="3469">
        <v>8.18</v>
      </c>
      <c r="H106" s="3470" t="s">
        <v>3557</v>
      </c>
      <c r="I106" s="3558">
        <f ca="1">典型户型修正车!S93</f>
        <v>19</v>
      </c>
    </row>
    <row r="107" spans="1:9" s="3472" customFormat="1">
      <c r="A107" s="3681"/>
      <c r="B107" s="3677"/>
      <c r="C107" s="3668"/>
      <c r="D107" s="3688"/>
      <c r="E107" s="3468" t="s">
        <v>3626</v>
      </c>
      <c r="F107" s="3519">
        <v>49.03</v>
      </c>
      <c r="G107" s="3469">
        <v>8.93</v>
      </c>
      <c r="H107" s="3470" t="s">
        <v>3557</v>
      </c>
      <c r="I107" s="3558">
        <f ca="1">典型户型修正车!S94</f>
        <v>21</v>
      </c>
    </row>
    <row r="108" spans="1:9" s="3472" customFormat="1">
      <c r="A108" s="3681"/>
      <c r="B108" s="3677"/>
      <c r="C108" s="3668"/>
      <c r="D108" s="3688"/>
      <c r="E108" s="3468" t="s">
        <v>3627</v>
      </c>
      <c r="F108" s="3519">
        <v>44.95</v>
      </c>
      <c r="G108" s="3469">
        <v>8.18</v>
      </c>
      <c r="H108" s="3470" t="s">
        <v>3557</v>
      </c>
      <c r="I108" s="3558">
        <f ca="1">典型户型修正车!S95</f>
        <v>19</v>
      </c>
    </row>
    <row r="109" spans="1:9" s="3472" customFormat="1">
      <c r="A109" s="3681"/>
      <c r="B109" s="3677"/>
      <c r="C109" s="3668"/>
      <c r="D109" s="3688"/>
      <c r="E109" s="3468" t="s">
        <v>3628</v>
      </c>
      <c r="F109" s="3519">
        <v>44.95</v>
      </c>
      <c r="G109" s="3469">
        <v>8.18</v>
      </c>
      <c r="H109" s="3470" t="s">
        <v>3557</v>
      </c>
      <c r="I109" s="3558">
        <f ca="1">典型户型修正车!S96</f>
        <v>19</v>
      </c>
    </row>
    <row r="110" spans="1:9" s="3472" customFormat="1">
      <c r="A110" s="3681"/>
      <c r="B110" s="3677"/>
      <c r="C110" s="3668"/>
      <c r="D110" s="3688"/>
      <c r="E110" s="3468" t="s">
        <v>3629</v>
      </c>
      <c r="F110" s="3519">
        <v>44.95</v>
      </c>
      <c r="G110" s="3469">
        <v>8.18</v>
      </c>
      <c r="H110" s="3470" t="s">
        <v>3557</v>
      </c>
      <c r="I110" s="3558">
        <f ca="1">典型户型修正车!S97</f>
        <v>19</v>
      </c>
    </row>
    <row r="111" spans="1:9" s="3472" customFormat="1">
      <c r="A111" s="3681"/>
      <c r="B111" s="3683"/>
      <c r="C111" s="3668"/>
      <c r="D111" s="3688"/>
      <c r="E111" s="3468" t="s">
        <v>3630</v>
      </c>
      <c r="F111" s="3519">
        <v>44.95</v>
      </c>
      <c r="G111" s="3469">
        <v>8.18</v>
      </c>
      <c r="H111" s="3470" t="s">
        <v>3557</v>
      </c>
      <c r="I111" s="3558">
        <f ca="1">典型户型修正车!S98</f>
        <v>19</v>
      </c>
    </row>
    <row r="112" spans="1:9" s="3472" customFormat="1">
      <c r="A112" s="3681"/>
      <c r="B112" s="3676" t="s">
        <v>3553</v>
      </c>
      <c r="C112" s="3668" t="s">
        <v>3554</v>
      </c>
      <c r="D112" s="3688" t="s">
        <v>3555</v>
      </c>
      <c r="E112" s="3468" t="s">
        <v>3631</v>
      </c>
      <c r="F112" s="3519">
        <v>44.95</v>
      </c>
      <c r="G112" s="3469">
        <v>8.18</v>
      </c>
      <c r="H112" s="3470" t="s">
        <v>3557</v>
      </c>
      <c r="I112" s="3558">
        <f ca="1">典型户型修正车!S99</f>
        <v>19</v>
      </c>
    </row>
    <row r="113" spans="1:9" s="3472" customFormat="1">
      <c r="A113" s="3681"/>
      <c r="B113" s="3677"/>
      <c r="C113" s="3668"/>
      <c r="D113" s="3688"/>
      <c r="E113" s="3468" t="s">
        <v>3632</v>
      </c>
      <c r="F113" s="3519">
        <v>73.14</v>
      </c>
      <c r="G113" s="3469">
        <v>13.32</v>
      </c>
      <c r="H113" s="3470" t="s">
        <v>3557</v>
      </c>
      <c r="I113" s="3558">
        <f ca="1">典型户型修正车!S100</f>
        <v>31</v>
      </c>
    </row>
    <row r="114" spans="1:9" s="3472" customFormat="1">
      <c r="A114" s="3681"/>
      <c r="B114" s="3677"/>
      <c r="C114" s="3668"/>
      <c r="D114" s="3688"/>
      <c r="E114" s="3468" t="s">
        <v>3633</v>
      </c>
      <c r="F114" s="3519">
        <v>44.95</v>
      </c>
      <c r="G114" s="3469">
        <v>8.18</v>
      </c>
      <c r="H114" s="3470" t="s">
        <v>3557</v>
      </c>
      <c r="I114" s="3558">
        <f ca="1">典型户型修正车!S101</f>
        <v>19</v>
      </c>
    </row>
    <row r="115" spans="1:9" s="3472" customFormat="1">
      <c r="A115" s="3681"/>
      <c r="B115" s="3677"/>
      <c r="C115" s="3668"/>
      <c r="D115" s="3688"/>
      <c r="E115" s="3468" t="s">
        <v>3634</v>
      </c>
      <c r="F115" s="3519">
        <v>44.95</v>
      </c>
      <c r="G115" s="3469">
        <v>8.18</v>
      </c>
      <c r="H115" s="3470" t="s">
        <v>3557</v>
      </c>
      <c r="I115" s="3558">
        <f ca="1">典型户型修正车!S102</f>
        <v>19</v>
      </c>
    </row>
    <row r="116" spans="1:9" s="3472" customFormat="1">
      <c r="A116" s="3681"/>
      <c r="B116" s="3677"/>
      <c r="C116" s="3668"/>
      <c r="D116" s="3688"/>
      <c r="E116" s="3468" t="s">
        <v>3635</v>
      </c>
      <c r="F116" s="3519">
        <v>44.95</v>
      </c>
      <c r="G116" s="3469">
        <v>8.18</v>
      </c>
      <c r="H116" s="3470" t="s">
        <v>3557</v>
      </c>
      <c r="I116" s="3558">
        <f ca="1">典型户型修正车!S103</f>
        <v>19</v>
      </c>
    </row>
    <row r="117" spans="1:9" s="3472" customFormat="1">
      <c r="A117" s="3681"/>
      <c r="B117" s="3677"/>
      <c r="C117" s="3668"/>
      <c r="D117" s="3688"/>
      <c r="E117" s="3468" t="s">
        <v>3636</v>
      </c>
      <c r="F117" s="3519">
        <v>44.95</v>
      </c>
      <c r="G117" s="3469">
        <v>8.18</v>
      </c>
      <c r="H117" s="3470" t="s">
        <v>3557</v>
      </c>
      <c r="I117" s="3558">
        <f ca="1">典型户型修正车!S104</f>
        <v>19</v>
      </c>
    </row>
    <row r="118" spans="1:9" s="3472" customFormat="1">
      <c r="A118" s="3681"/>
      <c r="B118" s="3677"/>
      <c r="C118" s="3668"/>
      <c r="D118" s="3688"/>
      <c r="E118" s="3468" t="s">
        <v>3637</v>
      </c>
      <c r="F118" s="3519">
        <v>44.95</v>
      </c>
      <c r="G118" s="3469">
        <v>8.18</v>
      </c>
      <c r="H118" s="3470" t="s">
        <v>3557</v>
      </c>
      <c r="I118" s="3558">
        <f ca="1">典型户型修正车!S105</f>
        <v>19</v>
      </c>
    </row>
    <row r="119" spans="1:9" s="3472" customFormat="1">
      <c r="A119" s="3681"/>
      <c r="B119" s="3677"/>
      <c r="C119" s="3668"/>
      <c r="D119" s="3688"/>
      <c r="E119" s="3468" t="s">
        <v>3638</v>
      </c>
      <c r="F119" s="3519">
        <v>73.14</v>
      </c>
      <c r="G119" s="3469">
        <v>13.32</v>
      </c>
      <c r="H119" s="3470" t="s">
        <v>3557</v>
      </c>
      <c r="I119" s="3558">
        <f ca="1">典型户型修正车!S106</f>
        <v>31</v>
      </c>
    </row>
    <row r="120" spans="1:9" s="3472" customFormat="1">
      <c r="A120" s="3681"/>
      <c r="B120" s="3677"/>
      <c r="C120" s="3668"/>
      <c r="D120" s="3688"/>
      <c r="E120" s="3468" t="s">
        <v>3639</v>
      </c>
      <c r="F120" s="3519">
        <v>44.95</v>
      </c>
      <c r="G120" s="3469">
        <v>8.18</v>
      </c>
      <c r="H120" s="3470" t="s">
        <v>3557</v>
      </c>
      <c r="I120" s="3558">
        <f ca="1">典型户型修正车!S107</f>
        <v>19</v>
      </c>
    </row>
    <row r="121" spans="1:9" s="3472" customFormat="1">
      <c r="A121" s="3681"/>
      <c r="B121" s="3677"/>
      <c r="C121" s="3668"/>
      <c r="D121" s="3688"/>
      <c r="E121" s="3468" t="s">
        <v>3640</v>
      </c>
      <c r="F121" s="3519">
        <v>44.95</v>
      </c>
      <c r="G121" s="3469">
        <v>8.18</v>
      </c>
      <c r="H121" s="3470" t="s">
        <v>3557</v>
      </c>
      <c r="I121" s="3558">
        <f ca="1">典型户型修正车!S108</f>
        <v>19</v>
      </c>
    </row>
    <row r="122" spans="1:9" s="3472" customFormat="1">
      <c r="A122" s="3681"/>
      <c r="B122" s="3677"/>
      <c r="C122" s="3668"/>
      <c r="D122" s="3688"/>
      <c r="E122" s="3468" t="s">
        <v>3641</v>
      </c>
      <c r="F122" s="3519">
        <v>44.95</v>
      </c>
      <c r="G122" s="3469">
        <v>8.18</v>
      </c>
      <c r="H122" s="3470" t="s">
        <v>3557</v>
      </c>
      <c r="I122" s="3558">
        <f ca="1">典型户型修正车!S109</f>
        <v>19</v>
      </c>
    </row>
    <row r="123" spans="1:9" s="3472" customFormat="1">
      <c r="A123" s="3681"/>
      <c r="B123" s="3677"/>
      <c r="C123" s="3668"/>
      <c r="D123" s="3688"/>
      <c r="E123" s="3468" t="s">
        <v>3642</v>
      </c>
      <c r="F123" s="3519">
        <v>44.95</v>
      </c>
      <c r="G123" s="3469">
        <v>8.18</v>
      </c>
      <c r="H123" s="3470" t="s">
        <v>3557</v>
      </c>
      <c r="I123" s="3558">
        <f ca="1">典型户型修正车!S110</f>
        <v>19</v>
      </c>
    </row>
    <row r="124" spans="1:9" s="3472" customFormat="1">
      <c r="A124" s="3681"/>
      <c r="B124" s="3677"/>
      <c r="C124" s="3668"/>
      <c r="D124" s="3688"/>
      <c r="E124" s="3468" t="s">
        <v>3643</v>
      </c>
      <c r="F124" s="3519">
        <v>89.9</v>
      </c>
      <c r="G124" s="3469">
        <v>16.37</v>
      </c>
      <c r="H124" s="3470" t="s">
        <v>3557</v>
      </c>
      <c r="I124" s="3558">
        <f ca="1">典型户型修正车!S111</f>
        <v>38</v>
      </c>
    </row>
    <row r="125" spans="1:9" s="3472" customFormat="1">
      <c r="A125" s="3681"/>
      <c r="B125" s="3677"/>
      <c r="C125" s="3668"/>
      <c r="D125" s="3688"/>
      <c r="E125" s="3468" t="s">
        <v>3644</v>
      </c>
      <c r="F125" s="3519">
        <v>89.9</v>
      </c>
      <c r="G125" s="3469">
        <v>16.37</v>
      </c>
      <c r="H125" s="3470" t="s">
        <v>3557</v>
      </c>
      <c r="I125" s="3558">
        <f ca="1">典型户型修正车!S112</f>
        <v>38</v>
      </c>
    </row>
    <row r="126" spans="1:9" s="3472" customFormat="1">
      <c r="A126" s="3681"/>
      <c r="B126" s="3677"/>
      <c r="C126" s="3668"/>
      <c r="D126" s="3688"/>
      <c r="E126" s="3468" t="s">
        <v>3645</v>
      </c>
      <c r="F126" s="3519">
        <v>89.9</v>
      </c>
      <c r="G126" s="3469">
        <v>16.37</v>
      </c>
      <c r="H126" s="3470" t="s">
        <v>3557</v>
      </c>
      <c r="I126" s="3558">
        <f ca="1">典型户型修正车!S113</f>
        <v>38</v>
      </c>
    </row>
    <row r="127" spans="1:9" s="3472" customFormat="1">
      <c r="A127" s="3681"/>
      <c r="B127" s="3677"/>
      <c r="C127" s="3668"/>
      <c r="D127" s="3688"/>
      <c r="E127" s="3468" t="s">
        <v>3646</v>
      </c>
      <c r="F127" s="3519">
        <v>49.03</v>
      </c>
      <c r="G127" s="3469">
        <v>8.93</v>
      </c>
      <c r="H127" s="3470" t="s">
        <v>3557</v>
      </c>
      <c r="I127" s="3558">
        <f ca="1">典型户型修正车!S114</f>
        <v>21</v>
      </c>
    </row>
    <row r="128" spans="1:9" s="3472" customFormat="1">
      <c r="A128" s="3681"/>
      <c r="B128" s="3677"/>
      <c r="C128" s="3668"/>
      <c r="D128" s="3688"/>
      <c r="E128" s="3468" t="s">
        <v>3647</v>
      </c>
      <c r="F128" s="3519">
        <v>89.9</v>
      </c>
      <c r="G128" s="3469">
        <v>16.37</v>
      </c>
      <c r="H128" s="3470" t="s">
        <v>3557</v>
      </c>
      <c r="I128" s="3558">
        <f ca="1">典型户型修正车!S115</f>
        <v>38</v>
      </c>
    </row>
    <row r="129" spans="1:9" s="3472" customFormat="1">
      <c r="A129" s="3681"/>
      <c r="B129" s="3677"/>
      <c r="C129" s="3668"/>
      <c r="D129" s="3688"/>
      <c r="E129" s="3468" t="s">
        <v>3648</v>
      </c>
      <c r="F129" s="3519">
        <v>89.9</v>
      </c>
      <c r="G129" s="3469">
        <v>16.37</v>
      </c>
      <c r="H129" s="3470" t="s">
        <v>3557</v>
      </c>
      <c r="I129" s="3558">
        <f ca="1">典型户型修正车!S116</f>
        <v>38</v>
      </c>
    </row>
    <row r="130" spans="1:9" s="3472" customFormat="1">
      <c r="A130" s="3681"/>
      <c r="B130" s="3677"/>
      <c r="C130" s="3668"/>
      <c r="D130" s="3688"/>
      <c r="E130" s="3468" t="s">
        <v>3649</v>
      </c>
      <c r="F130" s="3519">
        <v>89.9</v>
      </c>
      <c r="G130" s="3469">
        <v>16.37</v>
      </c>
      <c r="H130" s="3470" t="s">
        <v>3557</v>
      </c>
      <c r="I130" s="3558">
        <f ca="1">典型户型修正车!S117</f>
        <v>38</v>
      </c>
    </row>
    <row r="131" spans="1:9" s="3472" customFormat="1">
      <c r="A131" s="3681"/>
      <c r="B131" s="3677"/>
      <c r="C131" s="3668"/>
      <c r="D131" s="3688"/>
      <c r="E131" s="3468" t="s">
        <v>3650</v>
      </c>
      <c r="F131" s="3519">
        <v>44.95</v>
      </c>
      <c r="G131" s="3469">
        <v>8.18</v>
      </c>
      <c r="H131" s="3470" t="s">
        <v>3557</v>
      </c>
      <c r="I131" s="3558">
        <f ca="1">典型户型修正车!S118</f>
        <v>19</v>
      </c>
    </row>
    <row r="132" spans="1:9" s="3472" customFormat="1">
      <c r="A132" s="3681"/>
      <c r="B132" s="3677"/>
      <c r="C132" s="3668"/>
      <c r="D132" s="3688"/>
      <c r="E132" s="3468" t="s">
        <v>3651</v>
      </c>
      <c r="F132" s="3519">
        <v>44.95</v>
      </c>
      <c r="G132" s="3469">
        <v>8.18</v>
      </c>
      <c r="H132" s="3470" t="s">
        <v>3557</v>
      </c>
      <c r="I132" s="3558">
        <f ca="1">典型户型修正车!S119</f>
        <v>20</v>
      </c>
    </row>
    <row r="133" spans="1:9" s="3472" customFormat="1">
      <c r="A133" s="3681"/>
      <c r="B133" s="3677"/>
      <c r="C133" s="3668"/>
      <c r="D133" s="3688"/>
      <c r="E133" s="3468" t="s">
        <v>3652</v>
      </c>
      <c r="F133" s="3519">
        <v>44.95</v>
      </c>
      <c r="G133" s="3469">
        <v>8.18</v>
      </c>
      <c r="H133" s="3470" t="s">
        <v>3557</v>
      </c>
      <c r="I133" s="3558">
        <f ca="1">典型户型修正车!S120</f>
        <v>20</v>
      </c>
    </row>
    <row r="134" spans="1:9" s="3472" customFormat="1">
      <c r="A134" s="3681"/>
      <c r="B134" s="3677"/>
      <c r="C134" s="3668"/>
      <c r="D134" s="3688"/>
      <c r="E134" s="3468" t="s">
        <v>3653</v>
      </c>
      <c r="F134" s="3519">
        <v>44.95</v>
      </c>
      <c r="G134" s="3469">
        <v>8.18</v>
      </c>
      <c r="H134" s="3470" t="s">
        <v>3557</v>
      </c>
      <c r="I134" s="3558">
        <f ca="1">典型户型修正车!S121</f>
        <v>20</v>
      </c>
    </row>
    <row r="135" spans="1:9" s="3472" customFormat="1">
      <c r="A135" s="3681"/>
      <c r="B135" s="3677"/>
      <c r="C135" s="3668"/>
      <c r="D135" s="3688"/>
      <c r="E135" s="3468" t="s">
        <v>3654</v>
      </c>
      <c r="F135" s="3519">
        <v>44.95</v>
      </c>
      <c r="G135" s="3469">
        <v>8.18</v>
      </c>
      <c r="H135" s="3470" t="s">
        <v>3557</v>
      </c>
      <c r="I135" s="3558">
        <f ca="1">典型户型修正车!S122</f>
        <v>20</v>
      </c>
    </row>
    <row r="136" spans="1:9" s="3472" customFormat="1">
      <c r="A136" s="3681"/>
      <c r="B136" s="3677"/>
      <c r="C136" s="3668"/>
      <c r="D136" s="3688"/>
      <c r="E136" s="3468" t="s">
        <v>3655</v>
      </c>
      <c r="F136" s="3519">
        <v>44.95</v>
      </c>
      <c r="G136" s="3469">
        <v>8.18</v>
      </c>
      <c r="H136" s="3470" t="s">
        <v>3557</v>
      </c>
      <c r="I136" s="3558">
        <f ca="1">典型户型修正车!S123</f>
        <v>20</v>
      </c>
    </row>
    <row r="137" spans="1:9" s="3472" customFormat="1">
      <c r="A137" s="3681"/>
      <c r="B137" s="3677"/>
      <c r="C137" s="3668"/>
      <c r="D137" s="3688"/>
      <c r="E137" s="3468" t="s">
        <v>3656</v>
      </c>
      <c r="F137" s="3519">
        <v>44.95</v>
      </c>
      <c r="G137" s="3469">
        <v>8.18</v>
      </c>
      <c r="H137" s="3470" t="s">
        <v>3557</v>
      </c>
      <c r="I137" s="3558">
        <f ca="1">典型户型修正车!S124</f>
        <v>20</v>
      </c>
    </row>
    <row r="138" spans="1:9" s="3472" customFormat="1">
      <c r="A138" s="3681"/>
      <c r="B138" s="3677"/>
      <c r="C138" s="3668"/>
      <c r="D138" s="3688"/>
      <c r="E138" s="3468" t="s">
        <v>3657</v>
      </c>
      <c r="F138" s="3519">
        <v>44.95</v>
      </c>
      <c r="G138" s="3469">
        <v>8.18</v>
      </c>
      <c r="H138" s="3470" t="s">
        <v>3557</v>
      </c>
      <c r="I138" s="3558">
        <f ca="1">典型户型修正车!S125</f>
        <v>20</v>
      </c>
    </row>
    <row r="139" spans="1:9" s="3472" customFormat="1">
      <c r="A139" s="3681"/>
      <c r="B139" s="3677"/>
      <c r="C139" s="3668"/>
      <c r="D139" s="3688"/>
      <c r="E139" s="3468" t="s">
        <v>3658</v>
      </c>
      <c r="F139" s="3519">
        <v>44.95</v>
      </c>
      <c r="G139" s="3469">
        <v>8.18</v>
      </c>
      <c r="H139" s="3470" t="s">
        <v>3557</v>
      </c>
      <c r="I139" s="3558">
        <f ca="1">典型户型修正车!S126</f>
        <v>20</v>
      </c>
    </row>
    <row r="140" spans="1:9" s="3472" customFormat="1">
      <c r="A140" s="3681"/>
      <c r="B140" s="3677"/>
      <c r="C140" s="3668"/>
      <c r="D140" s="3688"/>
      <c r="E140" s="3468" t="s">
        <v>3659</v>
      </c>
      <c r="F140" s="3519">
        <v>44.95</v>
      </c>
      <c r="G140" s="3469">
        <v>8.18</v>
      </c>
      <c r="H140" s="3470" t="s">
        <v>3557</v>
      </c>
      <c r="I140" s="3558">
        <f ca="1">典型户型修正车!S127</f>
        <v>20</v>
      </c>
    </row>
    <row r="141" spans="1:9" s="3472" customFormat="1">
      <c r="A141" s="3681"/>
      <c r="B141" s="3677"/>
      <c r="C141" s="3668"/>
      <c r="D141" s="3688"/>
      <c r="E141" s="3468" t="s">
        <v>3660</v>
      </c>
      <c r="F141" s="3519">
        <v>49.03</v>
      </c>
      <c r="G141" s="3469">
        <v>8.93</v>
      </c>
      <c r="H141" s="3470" t="s">
        <v>3557</v>
      </c>
      <c r="I141" s="3558">
        <f ca="1">典型户型修正车!S128</f>
        <v>22</v>
      </c>
    </row>
    <row r="142" spans="1:9" s="3472" customFormat="1">
      <c r="A142" s="3681"/>
      <c r="B142" s="3677"/>
      <c r="C142" s="3668"/>
      <c r="D142" s="3688"/>
      <c r="E142" s="3468" t="s">
        <v>3661</v>
      </c>
      <c r="F142" s="3519">
        <v>43.89</v>
      </c>
      <c r="G142" s="3469">
        <v>7.99</v>
      </c>
      <c r="H142" s="3470" t="s">
        <v>3557</v>
      </c>
      <c r="I142" s="3558">
        <f ca="1">典型户型修正车!S129</f>
        <v>19</v>
      </c>
    </row>
    <row r="143" spans="1:9" s="3472" customFormat="1">
      <c r="A143" s="3681"/>
      <c r="B143" s="3677"/>
      <c r="C143" s="3668"/>
      <c r="D143" s="3688"/>
      <c r="E143" s="3468" t="s">
        <v>3662</v>
      </c>
      <c r="F143" s="3519">
        <v>43.89</v>
      </c>
      <c r="G143" s="3469">
        <v>7.99</v>
      </c>
      <c r="H143" s="3470" t="s">
        <v>3557</v>
      </c>
      <c r="I143" s="3558">
        <f ca="1">典型户型修正车!S130</f>
        <v>19</v>
      </c>
    </row>
    <row r="144" spans="1:9" s="3472" customFormat="1">
      <c r="A144" s="3681"/>
      <c r="B144" s="3677"/>
      <c r="C144" s="3668"/>
      <c r="D144" s="3688"/>
      <c r="E144" s="3468" t="s">
        <v>3663</v>
      </c>
      <c r="F144" s="3519">
        <v>43.89</v>
      </c>
      <c r="G144" s="3469">
        <v>7.99</v>
      </c>
      <c r="H144" s="3470" t="s">
        <v>3557</v>
      </c>
      <c r="I144" s="3558">
        <f ca="1">典型户型修正车!S131</f>
        <v>19</v>
      </c>
    </row>
    <row r="145" spans="1:9" s="3472" customFormat="1">
      <c r="A145" s="3681"/>
      <c r="B145" s="3677"/>
      <c r="C145" s="3668"/>
      <c r="D145" s="3688"/>
      <c r="E145" s="3468" t="s">
        <v>3664</v>
      </c>
      <c r="F145" s="3519">
        <v>43.89</v>
      </c>
      <c r="G145" s="3469">
        <v>7.99</v>
      </c>
      <c r="H145" s="3470" t="s">
        <v>3557</v>
      </c>
      <c r="I145" s="3558">
        <f ca="1">典型户型修正车!S132</f>
        <v>19</v>
      </c>
    </row>
    <row r="146" spans="1:9" s="3472" customFormat="1">
      <c r="A146" s="3681"/>
      <c r="B146" s="3677"/>
      <c r="C146" s="3668"/>
      <c r="D146" s="3688"/>
      <c r="E146" s="3468" t="s">
        <v>3665</v>
      </c>
      <c r="F146" s="3519">
        <v>43.89</v>
      </c>
      <c r="G146" s="3469">
        <v>7.99</v>
      </c>
      <c r="H146" s="3470" t="s">
        <v>3557</v>
      </c>
      <c r="I146" s="3558">
        <f ca="1">典型户型修正车!S133</f>
        <v>19</v>
      </c>
    </row>
    <row r="147" spans="1:9" s="3472" customFormat="1">
      <c r="A147" s="3681"/>
      <c r="B147" s="3677"/>
      <c r="C147" s="3668"/>
      <c r="D147" s="3688"/>
      <c r="E147" s="3468" t="s">
        <v>3666</v>
      </c>
      <c r="F147" s="3519">
        <v>89.9</v>
      </c>
      <c r="G147" s="3469">
        <v>16.37</v>
      </c>
      <c r="H147" s="3470" t="s">
        <v>3557</v>
      </c>
      <c r="I147" s="3558">
        <f ca="1">典型户型修正车!S134</f>
        <v>40</v>
      </c>
    </row>
    <row r="148" spans="1:9" s="3472" customFormat="1">
      <c r="A148" s="3681"/>
      <c r="B148" s="3683"/>
      <c r="C148" s="3668"/>
      <c r="D148" s="3688"/>
      <c r="E148" s="3468" t="s">
        <v>3667</v>
      </c>
      <c r="F148" s="3519">
        <v>89.9</v>
      </c>
      <c r="G148" s="3469">
        <v>16.37</v>
      </c>
      <c r="H148" s="3470" t="s">
        <v>3557</v>
      </c>
      <c r="I148" s="3558">
        <f ca="1">典型户型修正车!S135</f>
        <v>40</v>
      </c>
    </row>
    <row r="149" spans="1:9" s="3472" customFormat="1">
      <c r="A149" s="3681"/>
      <c r="B149" s="3676" t="s">
        <v>3553</v>
      </c>
      <c r="C149" s="3668" t="s">
        <v>3554</v>
      </c>
      <c r="D149" s="3688" t="s">
        <v>3555</v>
      </c>
      <c r="E149" s="3468" t="s">
        <v>3668</v>
      </c>
      <c r="F149" s="3519">
        <v>49.03</v>
      </c>
      <c r="G149" s="3469">
        <v>8.93</v>
      </c>
      <c r="H149" s="3470" t="s">
        <v>3557</v>
      </c>
      <c r="I149" s="3558">
        <f ca="1">典型户型修正车!S136</f>
        <v>22</v>
      </c>
    </row>
    <row r="150" spans="1:9" s="3472" customFormat="1">
      <c r="A150" s="3681"/>
      <c r="B150" s="3677"/>
      <c r="C150" s="3668"/>
      <c r="D150" s="3688"/>
      <c r="E150" s="3468" t="s">
        <v>3669</v>
      </c>
      <c r="F150" s="3519">
        <v>49.03</v>
      </c>
      <c r="G150" s="3469">
        <v>8.93</v>
      </c>
      <c r="H150" s="3470" t="s">
        <v>3557</v>
      </c>
      <c r="I150" s="3558">
        <f ca="1">典型户型修正车!S137</f>
        <v>22</v>
      </c>
    </row>
    <row r="151" spans="1:9" s="3472" customFormat="1">
      <c r="A151" s="3681"/>
      <c r="B151" s="3677"/>
      <c r="C151" s="3668"/>
      <c r="D151" s="3688"/>
      <c r="E151" s="3468" t="s">
        <v>3670</v>
      </c>
      <c r="F151" s="3519">
        <v>49.03</v>
      </c>
      <c r="G151" s="3469">
        <v>8.93</v>
      </c>
      <c r="H151" s="3470" t="s">
        <v>3557</v>
      </c>
      <c r="I151" s="3558">
        <f ca="1">典型户型修正车!S138</f>
        <v>22</v>
      </c>
    </row>
    <row r="152" spans="1:9" s="3472" customFormat="1">
      <c r="A152" s="3681"/>
      <c r="B152" s="3677"/>
      <c r="C152" s="3668"/>
      <c r="D152" s="3688"/>
      <c r="E152" s="3468" t="s">
        <v>3671</v>
      </c>
      <c r="F152" s="3519">
        <v>44.95</v>
      </c>
      <c r="G152" s="3469">
        <v>8.18</v>
      </c>
      <c r="H152" s="3470" t="s">
        <v>3557</v>
      </c>
      <c r="I152" s="3558">
        <f ca="1">典型户型修正车!S139</f>
        <v>20</v>
      </c>
    </row>
    <row r="153" spans="1:9" s="3472" customFormat="1">
      <c r="A153" s="3681"/>
      <c r="B153" s="3677"/>
      <c r="C153" s="3668"/>
      <c r="D153" s="3688"/>
      <c r="E153" s="3468" t="s">
        <v>3672</v>
      </c>
      <c r="F153" s="3519">
        <v>44.95</v>
      </c>
      <c r="G153" s="3469">
        <v>8.18</v>
      </c>
      <c r="H153" s="3470" t="s">
        <v>3557</v>
      </c>
      <c r="I153" s="3558">
        <f ca="1">典型户型修正车!S140</f>
        <v>20</v>
      </c>
    </row>
    <row r="154" spans="1:9" s="3472" customFormat="1">
      <c r="A154" s="3681"/>
      <c r="B154" s="3677"/>
      <c r="C154" s="3668"/>
      <c r="D154" s="3688"/>
      <c r="E154" s="3468" t="s">
        <v>3673</v>
      </c>
      <c r="F154" s="3519">
        <v>44.95</v>
      </c>
      <c r="G154" s="3469">
        <v>8.18</v>
      </c>
      <c r="H154" s="3470" t="s">
        <v>3557</v>
      </c>
      <c r="I154" s="3558">
        <f ca="1">典型户型修正车!S141</f>
        <v>20</v>
      </c>
    </row>
    <row r="155" spans="1:9" s="3472" customFormat="1">
      <c r="A155" s="3681"/>
      <c r="B155" s="3677"/>
      <c r="C155" s="3668"/>
      <c r="D155" s="3688"/>
      <c r="E155" s="3468" t="s">
        <v>3674</v>
      </c>
      <c r="F155" s="3519">
        <v>44.95</v>
      </c>
      <c r="G155" s="3469">
        <v>8.18</v>
      </c>
      <c r="H155" s="3470" t="s">
        <v>3557</v>
      </c>
      <c r="I155" s="3558">
        <f ca="1">典型户型修正车!S142</f>
        <v>20</v>
      </c>
    </row>
    <row r="156" spans="1:9" s="3472" customFormat="1">
      <c r="A156" s="3681"/>
      <c r="B156" s="3677"/>
      <c r="C156" s="3668"/>
      <c r="D156" s="3688"/>
      <c r="E156" s="3468" t="s">
        <v>3675</v>
      </c>
      <c r="F156" s="3519">
        <v>44.95</v>
      </c>
      <c r="G156" s="3469">
        <v>8.18</v>
      </c>
      <c r="H156" s="3470" t="s">
        <v>3557</v>
      </c>
      <c r="I156" s="3558">
        <f ca="1">典型户型修正车!S143</f>
        <v>20</v>
      </c>
    </row>
    <row r="157" spans="1:9" s="3472" customFormat="1">
      <c r="A157" s="3681"/>
      <c r="B157" s="3677"/>
      <c r="C157" s="3668"/>
      <c r="D157" s="3688"/>
      <c r="E157" s="3468" t="s">
        <v>3676</v>
      </c>
      <c r="F157" s="3519">
        <v>44.95</v>
      </c>
      <c r="G157" s="3469">
        <v>8.18</v>
      </c>
      <c r="H157" s="3470" t="s">
        <v>3557</v>
      </c>
      <c r="I157" s="3558">
        <f ca="1">典型户型修正车!S144</f>
        <v>20</v>
      </c>
    </row>
    <row r="158" spans="1:9" s="3472" customFormat="1">
      <c r="A158" s="3681"/>
      <c r="B158" s="3677"/>
      <c r="C158" s="3668"/>
      <c r="D158" s="3688"/>
      <c r="E158" s="3468" t="s">
        <v>3677</v>
      </c>
      <c r="F158" s="3519">
        <v>44.95</v>
      </c>
      <c r="G158" s="3469">
        <v>8.18</v>
      </c>
      <c r="H158" s="3470" t="s">
        <v>3557</v>
      </c>
      <c r="I158" s="3558">
        <f ca="1">典型户型修正车!S145</f>
        <v>20</v>
      </c>
    </row>
    <row r="159" spans="1:9" s="3472" customFormat="1">
      <c r="A159" s="3681"/>
      <c r="B159" s="3677"/>
      <c r="C159" s="3668"/>
      <c r="D159" s="3688"/>
      <c r="E159" s="3468" t="s">
        <v>3678</v>
      </c>
      <c r="F159" s="3519">
        <v>44.95</v>
      </c>
      <c r="G159" s="3469">
        <v>8.18</v>
      </c>
      <c r="H159" s="3470" t="s">
        <v>3557</v>
      </c>
      <c r="I159" s="3558">
        <f ca="1">典型户型修正车!S146</f>
        <v>20</v>
      </c>
    </row>
    <row r="160" spans="1:9" s="3472" customFormat="1">
      <c r="A160" s="3681"/>
      <c r="B160" s="3677"/>
      <c r="C160" s="3668"/>
      <c r="D160" s="3688"/>
      <c r="E160" s="3510" t="s">
        <v>3679</v>
      </c>
      <c r="F160" s="3525">
        <v>44.95</v>
      </c>
      <c r="G160" s="3469">
        <v>8.18</v>
      </c>
      <c r="H160" s="3470" t="s">
        <v>3557</v>
      </c>
      <c r="I160" s="3558">
        <f ca="1">典型户型修正车!S147</f>
        <v>20</v>
      </c>
    </row>
    <row r="161" spans="1:9" s="3472" customFormat="1">
      <c r="A161" s="3681"/>
      <c r="B161" s="3677"/>
      <c r="C161" s="3668"/>
      <c r="D161" s="3688"/>
      <c r="E161" s="3509" t="s">
        <v>3680</v>
      </c>
      <c r="F161" s="3519">
        <v>49.03</v>
      </c>
      <c r="G161" s="3469">
        <v>8.93</v>
      </c>
      <c r="H161" s="3470" t="s">
        <v>3557</v>
      </c>
      <c r="I161" s="3558">
        <f ca="1">典型户型修正车!S148</f>
        <v>22</v>
      </c>
    </row>
    <row r="162" spans="1:9" s="3472" customFormat="1">
      <c r="A162" s="3681"/>
      <c r="B162" s="3677"/>
      <c r="C162" s="3668"/>
      <c r="D162" s="3688"/>
      <c r="E162" s="3509" t="s">
        <v>3681</v>
      </c>
      <c r="F162" s="3525">
        <v>44.95</v>
      </c>
      <c r="G162" s="3469">
        <v>8.18</v>
      </c>
      <c r="H162" s="3470" t="s">
        <v>3557</v>
      </c>
      <c r="I162" s="3558">
        <f ca="1">典型户型修正车!S149</f>
        <v>20</v>
      </c>
    </row>
    <row r="163" spans="1:9" s="3472" customFormat="1">
      <c r="A163" s="3681"/>
      <c r="B163" s="3677"/>
      <c r="C163" s="3668"/>
      <c r="D163" s="3688"/>
      <c r="E163" s="3509" t="s">
        <v>3682</v>
      </c>
      <c r="F163" s="3519">
        <v>44.95</v>
      </c>
      <c r="G163" s="3469">
        <v>8.18</v>
      </c>
      <c r="H163" s="3470" t="s">
        <v>3557</v>
      </c>
      <c r="I163" s="3558">
        <f ca="1">典型户型修正车!S150</f>
        <v>20</v>
      </c>
    </row>
    <row r="164" spans="1:9" s="3472" customFormat="1">
      <c r="A164" s="3681"/>
      <c r="B164" s="3677"/>
      <c r="C164" s="3668"/>
      <c r="D164" s="3688"/>
      <c r="E164" s="3509" t="s">
        <v>3683</v>
      </c>
      <c r="F164" s="3519">
        <v>44.95</v>
      </c>
      <c r="G164" s="3469">
        <v>8.18</v>
      </c>
      <c r="H164" s="3470" t="s">
        <v>3557</v>
      </c>
      <c r="I164" s="3558">
        <f ca="1">典型户型修正车!S151</f>
        <v>20</v>
      </c>
    </row>
    <row r="165" spans="1:9" s="3472" customFormat="1">
      <c r="A165" s="3681"/>
      <c r="B165" s="3677"/>
      <c r="C165" s="3668"/>
      <c r="D165" s="3688"/>
      <c r="E165" s="3509" t="s">
        <v>3684</v>
      </c>
      <c r="F165" s="3519">
        <v>44.95</v>
      </c>
      <c r="G165" s="3469">
        <v>8.18</v>
      </c>
      <c r="H165" s="3470" t="s">
        <v>3557</v>
      </c>
      <c r="I165" s="3558">
        <f ca="1">典型户型修正车!S152</f>
        <v>20</v>
      </c>
    </row>
    <row r="166" spans="1:9" s="3472" customFormat="1">
      <c r="A166" s="3681"/>
      <c r="B166" s="3677"/>
      <c r="C166" s="3668"/>
      <c r="D166" s="3688"/>
      <c r="E166" s="3509" t="s">
        <v>3685</v>
      </c>
      <c r="F166" s="3519">
        <v>44.95</v>
      </c>
      <c r="G166" s="3469">
        <v>8.18</v>
      </c>
      <c r="H166" s="3470" t="s">
        <v>3557</v>
      </c>
      <c r="I166" s="3558">
        <f ca="1">典型户型修正车!S153</f>
        <v>20</v>
      </c>
    </row>
    <row r="167" spans="1:9" s="3472" customFormat="1">
      <c r="A167" s="3681"/>
      <c r="B167" s="3677"/>
      <c r="C167" s="3668"/>
      <c r="D167" s="3688"/>
      <c r="E167" s="3509" t="s">
        <v>3686</v>
      </c>
      <c r="F167" s="3519">
        <v>44.95</v>
      </c>
      <c r="G167" s="3469">
        <v>8.18</v>
      </c>
      <c r="H167" s="3470" t="s">
        <v>3557</v>
      </c>
      <c r="I167" s="3558">
        <f ca="1">典型户型修正车!S154</f>
        <v>20</v>
      </c>
    </row>
    <row r="168" spans="1:9" s="3472" customFormat="1">
      <c r="A168" s="3681"/>
      <c r="B168" s="3677"/>
      <c r="C168" s="3668"/>
      <c r="D168" s="3688"/>
      <c r="E168" s="3509" t="s">
        <v>3687</v>
      </c>
      <c r="F168" s="3519">
        <v>44.95</v>
      </c>
      <c r="G168" s="3469">
        <v>8.18</v>
      </c>
      <c r="H168" s="3470" t="s">
        <v>3557</v>
      </c>
      <c r="I168" s="3558">
        <f ca="1">典型户型修正车!S155</f>
        <v>20</v>
      </c>
    </row>
    <row r="169" spans="1:9" s="3472" customFormat="1">
      <c r="A169" s="3681"/>
      <c r="B169" s="3677"/>
      <c r="C169" s="3668"/>
      <c r="D169" s="3688"/>
      <c r="E169" s="3509" t="s">
        <v>3688</v>
      </c>
      <c r="F169" s="3519">
        <v>44.95</v>
      </c>
      <c r="G169" s="3469">
        <v>8.18</v>
      </c>
      <c r="H169" s="3470" t="s">
        <v>3557</v>
      </c>
      <c r="I169" s="3558">
        <f ca="1">典型户型修正车!S156</f>
        <v>20</v>
      </c>
    </row>
    <row r="170" spans="1:9" s="3472" customFormat="1">
      <c r="A170" s="3681"/>
      <c r="B170" s="3677"/>
      <c r="C170" s="3668"/>
      <c r="D170" s="3688"/>
      <c r="E170" s="3509" t="s">
        <v>3689</v>
      </c>
      <c r="F170" s="3519">
        <v>44.95</v>
      </c>
      <c r="G170" s="3469">
        <v>8.18</v>
      </c>
      <c r="H170" s="3470" t="s">
        <v>3557</v>
      </c>
      <c r="I170" s="3558">
        <f ca="1">典型户型修正车!S157</f>
        <v>20</v>
      </c>
    </row>
    <row r="171" spans="1:9" s="3472" customFormat="1">
      <c r="A171" s="3681"/>
      <c r="B171" s="3677"/>
      <c r="C171" s="3668"/>
      <c r="D171" s="3688"/>
      <c r="E171" s="3509" t="s">
        <v>3690</v>
      </c>
      <c r="F171" s="3519">
        <v>44.95</v>
      </c>
      <c r="G171" s="3469">
        <v>8.18</v>
      </c>
      <c r="H171" s="3470" t="s">
        <v>3557</v>
      </c>
      <c r="I171" s="3558">
        <f ca="1">典型户型修正车!S158</f>
        <v>20</v>
      </c>
    </row>
    <row r="172" spans="1:9" s="3472" customFormat="1">
      <c r="A172" s="3681"/>
      <c r="B172" s="3677"/>
      <c r="C172" s="3668"/>
      <c r="D172" s="3688"/>
      <c r="E172" s="3509" t="s">
        <v>3691</v>
      </c>
      <c r="F172" s="3519">
        <v>49.03</v>
      </c>
      <c r="G172" s="3469">
        <v>8.93</v>
      </c>
      <c r="H172" s="3470" t="s">
        <v>3557</v>
      </c>
      <c r="I172" s="3558">
        <f ca="1">典型户型修正车!S159</f>
        <v>22</v>
      </c>
    </row>
    <row r="173" spans="1:9" s="3472" customFormat="1">
      <c r="A173" s="3681"/>
      <c r="B173" s="3677"/>
      <c r="C173" s="3668"/>
      <c r="D173" s="3688"/>
      <c r="E173" s="3509" t="s">
        <v>3692</v>
      </c>
      <c r="F173" s="3519">
        <v>49.03</v>
      </c>
      <c r="G173" s="3469">
        <v>8.93</v>
      </c>
      <c r="H173" s="3470" t="s">
        <v>3557</v>
      </c>
      <c r="I173" s="3558">
        <f ca="1">典型户型修正车!S160</f>
        <v>22</v>
      </c>
    </row>
    <row r="174" spans="1:9" s="3472" customFormat="1">
      <c r="A174" s="3681"/>
      <c r="B174" s="3677"/>
      <c r="C174" s="3668"/>
      <c r="D174" s="3688"/>
      <c r="E174" s="3509" t="s">
        <v>3693</v>
      </c>
      <c r="F174" s="3519">
        <v>44.95</v>
      </c>
      <c r="G174" s="3469">
        <v>8.18</v>
      </c>
      <c r="H174" s="3470" t="s">
        <v>3557</v>
      </c>
      <c r="I174" s="3558">
        <f ca="1">典型户型修正车!S161</f>
        <v>20</v>
      </c>
    </row>
    <row r="175" spans="1:9" s="3472" customFormat="1">
      <c r="A175" s="3681"/>
      <c r="B175" s="3677"/>
      <c r="C175" s="3668"/>
      <c r="D175" s="3688"/>
      <c r="E175" s="3509" t="s">
        <v>3694</v>
      </c>
      <c r="F175" s="3519">
        <v>44.95</v>
      </c>
      <c r="G175" s="3469">
        <v>8.18</v>
      </c>
      <c r="H175" s="3470" t="s">
        <v>3557</v>
      </c>
      <c r="I175" s="3558">
        <f ca="1">典型户型修正车!S162</f>
        <v>20</v>
      </c>
    </row>
    <row r="176" spans="1:9" s="3472" customFormat="1">
      <c r="A176" s="3681"/>
      <c r="B176" s="3677"/>
      <c r="C176" s="3668"/>
      <c r="D176" s="3688"/>
      <c r="E176" s="3509" t="s">
        <v>3695</v>
      </c>
      <c r="F176" s="3519">
        <v>44.95</v>
      </c>
      <c r="G176" s="3469">
        <v>8.18</v>
      </c>
      <c r="H176" s="3470" t="s">
        <v>3557</v>
      </c>
      <c r="I176" s="3558">
        <f ca="1">典型户型修正车!S163</f>
        <v>20</v>
      </c>
    </row>
    <row r="177" spans="1:9" s="3472" customFormat="1">
      <c r="A177" s="3681"/>
      <c r="B177" s="3677"/>
      <c r="C177" s="3668"/>
      <c r="D177" s="3688"/>
      <c r="E177" s="3509" t="s">
        <v>3696</v>
      </c>
      <c r="F177" s="3519">
        <v>44.95</v>
      </c>
      <c r="G177" s="3469">
        <v>8.18</v>
      </c>
      <c r="H177" s="3470" t="s">
        <v>3557</v>
      </c>
      <c r="I177" s="3558">
        <f ca="1">典型户型修正车!S164</f>
        <v>20</v>
      </c>
    </row>
    <row r="178" spans="1:9" s="3472" customFormat="1">
      <c r="A178" s="3681"/>
      <c r="B178" s="3677"/>
      <c r="C178" s="3668"/>
      <c r="D178" s="3688"/>
      <c r="E178" s="3509" t="s">
        <v>3697</v>
      </c>
      <c r="F178" s="3519">
        <v>44.95</v>
      </c>
      <c r="G178" s="3469">
        <v>8.18</v>
      </c>
      <c r="H178" s="3470" t="s">
        <v>3557</v>
      </c>
      <c r="I178" s="3558">
        <f ca="1">典型户型修正车!S165</f>
        <v>20</v>
      </c>
    </row>
    <row r="179" spans="1:9" s="3472" customFormat="1">
      <c r="A179" s="3681"/>
      <c r="B179" s="3677"/>
      <c r="C179" s="3668"/>
      <c r="D179" s="3688"/>
      <c r="E179" s="3509" t="s">
        <v>3698</v>
      </c>
      <c r="F179" s="3519">
        <v>44.95</v>
      </c>
      <c r="G179" s="3469">
        <v>8.18</v>
      </c>
      <c r="H179" s="3470" t="s">
        <v>3557</v>
      </c>
      <c r="I179" s="3558">
        <f ca="1">典型户型修正车!S166</f>
        <v>20</v>
      </c>
    </row>
    <row r="180" spans="1:9" s="3472" customFormat="1">
      <c r="A180" s="3681"/>
      <c r="B180" s="3677"/>
      <c r="C180" s="3668"/>
      <c r="D180" s="3688"/>
      <c r="E180" s="3509" t="s">
        <v>3699</v>
      </c>
      <c r="F180" s="3519">
        <v>44.95</v>
      </c>
      <c r="G180" s="3469">
        <v>8.18</v>
      </c>
      <c r="H180" s="3470" t="s">
        <v>3557</v>
      </c>
      <c r="I180" s="3558">
        <f ca="1">典型户型修正车!S167</f>
        <v>20</v>
      </c>
    </row>
    <row r="181" spans="1:9" s="3472" customFormat="1">
      <c r="A181" s="3681"/>
      <c r="B181" s="3677"/>
      <c r="C181" s="3668"/>
      <c r="D181" s="3688"/>
      <c r="E181" s="3509" t="s">
        <v>3700</v>
      </c>
      <c r="F181" s="3519">
        <v>44.95</v>
      </c>
      <c r="G181" s="3469">
        <v>8.18</v>
      </c>
      <c r="H181" s="3470" t="s">
        <v>3557</v>
      </c>
      <c r="I181" s="3558">
        <f ca="1">典型户型修正车!S168</f>
        <v>20</v>
      </c>
    </row>
    <row r="182" spans="1:9" s="3472" customFormat="1">
      <c r="A182" s="3681"/>
      <c r="B182" s="3677"/>
      <c r="C182" s="3668"/>
      <c r="D182" s="3688"/>
      <c r="E182" s="3509" t="s">
        <v>3701</v>
      </c>
      <c r="F182" s="3519">
        <v>44.95</v>
      </c>
      <c r="G182" s="3469">
        <v>8.18</v>
      </c>
      <c r="H182" s="3470" t="s">
        <v>3557</v>
      </c>
      <c r="I182" s="3558">
        <f ca="1">典型户型修正车!S169</f>
        <v>20</v>
      </c>
    </row>
    <row r="183" spans="1:9" s="3472" customFormat="1">
      <c r="A183" s="3681"/>
      <c r="B183" s="3677"/>
      <c r="C183" s="3668"/>
      <c r="D183" s="3688"/>
      <c r="E183" s="3468" t="s">
        <v>3702</v>
      </c>
      <c r="F183" s="3519">
        <v>44.95</v>
      </c>
      <c r="G183" s="3469">
        <v>8.18</v>
      </c>
      <c r="H183" s="3470" t="s">
        <v>3557</v>
      </c>
      <c r="I183" s="3558">
        <f ca="1">典型户型修正车!S170</f>
        <v>20</v>
      </c>
    </row>
    <row r="184" spans="1:9" s="3472" customFormat="1">
      <c r="A184" s="3681"/>
      <c r="B184" s="3677"/>
      <c r="C184" s="3668"/>
      <c r="D184" s="3688"/>
      <c r="E184" s="3468" t="s">
        <v>3703</v>
      </c>
      <c r="F184" s="3519">
        <v>44.95</v>
      </c>
      <c r="G184" s="3469">
        <v>8.18</v>
      </c>
      <c r="H184" s="3470" t="s">
        <v>3557</v>
      </c>
      <c r="I184" s="3558">
        <f ca="1">典型户型修正车!S171</f>
        <v>20</v>
      </c>
    </row>
    <row r="185" spans="1:9" s="3472" customFormat="1">
      <c r="A185" s="3681"/>
      <c r="B185" s="3683"/>
      <c r="C185" s="3668"/>
      <c r="D185" s="3688"/>
      <c r="E185" s="3468" t="s">
        <v>3704</v>
      </c>
      <c r="F185" s="3519">
        <v>44.95</v>
      </c>
      <c r="G185" s="3469">
        <v>8.18</v>
      </c>
      <c r="H185" s="3470" t="s">
        <v>3557</v>
      </c>
      <c r="I185" s="3558">
        <f ca="1">典型户型修正车!S172</f>
        <v>20</v>
      </c>
    </row>
    <row r="186" spans="1:9" s="3472" customFormat="1">
      <c r="A186" s="3681"/>
      <c r="B186" s="3676" t="s">
        <v>3553</v>
      </c>
      <c r="C186" s="3668" t="s">
        <v>3554</v>
      </c>
      <c r="D186" s="3688" t="s">
        <v>3555</v>
      </c>
      <c r="E186" s="3468" t="s">
        <v>3705</v>
      </c>
      <c r="F186" s="3519">
        <v>44.95</v>
      </c>
      <c r="G186" s="3469">
        <v>8.18</v>
      </c>
      <c r="H186" s="3470" t="s">
        <v>3557</v>
      </c>
      <c r="I186" s="3558">
        <f ca="1">典型户型修正车!S173</f>
        <v>20</v>
      </c>
    </row>
    <row r="187" spans="1:9" s="3472" customFormat="1">
      <c r="A187" s="3681"/>
      <c r="B187" s="3677"/>
      <c r="C187" s="3668"/>
      <c r="D187" s="3688"/>
      <c r="E187" s="3468" t="s">
        <v>3706</v>
      </c>
      <c r="F187" s="3519">
        <v>44.95</v>
      </c>
      <c r="G187" s="3469">
        <v>8.18</v>
      </c>
      <c r="H187" s="3470" t="s">
        <v>3557</v>
      </c>
      <c r="I187" s="3558">
        <f ca="1">典型户型修正车!S174</f>
        <v>20</v>
      </c>
    </row>
    <row r="188" spans="1:9" s="3472" customFormat="1">
      <c r="A188" s="3681"/>
      <c r="B188" s="3677"/>
      <c r="C188" s="3668"/>
      <c r="D188" s="3688"/>
      <c r="E188" s="3468" t="s">
        <v>3707</v>
      </c>
      <c r="F188" s="3519">
        <v>44.95</v>
      </c>
      <c r="G188" s="3469">
        <v>8.18</v>
      </c>
      <c r="H188" s="3470" t="s">
        <v>3557</v>
      </c>
      <c r="I188" s="3558">
        <f ca="1">典型户型修正车!S175</f>
        <v>20</v>
      </c>
    </row>
    <row r="189" spans="1:9" s="3472" customFormat="1">
      <c r="A189" s="3681"/>
      <c r="B189" s="3677"/>
      <c r="C189" s="3668"/>
      <c r="D189" s="3688"/>
      <c r="E189" s="3509" t="s">
        <v>3708</v>
      </c>
      <c r="F189" s="3519">
        <v>44.95</v>
      </c>
      <c r="G189" s="3469">
        <v>8.18</v>
      </c>
      <c r="H189" s="3470" t="s">
        <v>3557</v>
      </c>
      <c r="I189" s="3558">
        <f ca="1">典型户型修正车!S176</f>
        <v>20</v>
      </c>
    </row>
    <row r="190" spans="1:9" s="3472" customFormat="1">
      <c r="A190" s="3681"/>
      <c r="B190" s="3677"/>
      <c r="C190" s="3668"/>
      <c r="D190" s="3688"/>
      <c r="E190" s="3509" t="s">
        <v>3709</v>
      </c>
      <c r="F190" s="3519">
        <v>44.95</v>
      </c>
      <c r="G190" s="3469">
        <v>8.18</v>
      </c>
      <c r="H190" s="3470" t="s">
        <v>3557</v>
      </c>
      <c r="I190" s="3558">
        <f ca="1">典型户型修正车!S177</f>
        <v>20</v>
      </c>
    </row>
    <row r="191" spans="1:9" s="3472" customFormat="1">
      <c r="A191" s="3681"/>
      <c r="B191" s="3677"/>
      <c r="C191" s="3668"/>
      <c r="D191" s="3688"/>
      <c r="E191" s="3509" t="s">
        <v>3710</v>
      </c>
      <c r="F191" s="3519">
        <v>44.95</v>
      </c>
      <c r="G191" s="3469">
        <v>8.18</v>
      </c>
      <c r="H191" s="3470" t="s">
        <v>3557</v>
      </c>
      <c r="I191" s="3558">
        <f ca="1">典型户型修正车!S178</f>
        <v>20</v>
      </c>
    </row>
    <row r="192" spans="1:9" s="3472" customFormat="1">
      <c r="A192" s="3681"/>
      <c r="B192" s="3677"/>
      <c r="C192" s="3668"/>
      <c r="D192" s="3688"/>
      <c r="E192" s="3509" t="s">
        <v>3711</v>
      </c>
      <c r="F192" s="3519">
        <v>44.95</v>
      </c>
      <c r="G192" s="3469">
        <v>8.18</v>
      </c>
      <c r="H192" s="3470" t="s">
        <v>3557</v>
      </c>
      <c r="I192" s="3558">
        <f ca="1">典型户型修正车!S179</f>
        <v>20</v>
      </c>
    </row>
    <row r="193" spans="1:9" s="3472" customFormat="1">
      <c r="A193" s="3681"/>
      <c r="B193" s="3677"/>
      <c r="C193" s="3668"/>
      <c r="D193" s="3688"/>
      <c r="E193" s="3509" t="s">
        <v>3712</v>
      </c>
      <c r="F193" s="3519">
        <v>44.95</v>
      </c>
      <c r="G193" s="3469">
        <v>8.18</v>
      </c>
      <c r="H193" s="3470" t="s">
        <v>3557</v>
      </c>
      <c r="I193" s="3558">
        <f ca="1">典型户型修正车!S180</f>
        <v>20</v>
      </c>
    </row>
    <row r="194" spans="1:9" s="3472" customFormat="1">
      <c r="A194" s="3681"/>
      <c r="B194" s="3677"/>
      <c r="C194" s="3668"/>
      <c r="D194" s="3688"/>
      <c r="E194" s="3509" t="s">
        <v>3713</v>
      </c>
      <c r="F194" s="3519">
        <v>44.95</v>
      </c>
      <c r="G194" s="3469">
        <v>8.18</v>
      </c>
      <c r="H194" s="3470" t="s">
        <v>3557</v>
      </c>
      <c r="I194" s="3558">
        <f ca="1">典型户型修正车!S181</f>
        <v>20</v>
      </c>
    </row>
    <row r="195" spans="1:9" s="3472" customFormat="1">
      <c r="A195" s="3681"/>
      <c r="B195" s="3677"/>
      <c r="C195" s="3668"/>
      <c r="D195" s="3688"/>
      <c r="E195" s="3509" t="s">
        <v>3714</v>
      </c>
      <c r="F195" s="3519">
        <v>44.95</v>
      </c>
      <c r="G195" s="3469">
        <v>8.18</v>
      </c>
      <c r="H195" s="3470" t="s">
        <v>3557</v>
      </c>
      <c r="I195" s="3558">
        <f ca="1">典型户型修正车!S182</f>
        <v>20</v>
      </c>
    </row>
    <row r="196" spans="1:9" s="3472" customFormat="1">
      <c r="A196" s="3681"/>
      <c r="B196" s="3677"/>
      <c r="C196" s="3668"/>
      <c r="D196" s="3688"/>
      <c r="E196" s="3509" t="s">
        <v>3715</v>
      </c>
      <c r="F196" s="3519">
        <v>44.95</v>
      </c>
      <c r="G196" s="3469">
        <v>8.18</v>
      </c>
      <c r="H196" s="3470" t="s">
        <v>3557</v>
      </c>
      <c r="I196" s="3558">
        <f ca="1">典型户型修正车!S183</f>
        <v>20</v>
      </c>
    </row>
    <row r="197" spans="1:9" s="3472" customFormat="1">
      <c r="A197" s="3681"/>
      <c r="B197" s="3677"/>
      <c r="C197" s="3668"/>
      <c r="D197" s="3688"/>
      <c r="E197" s="3509" t="s">
        <v>3716</v>
      </c>
      <c r="F197" s="3519">
        <v>73.14</v>
      </c>
      <c r="G197" s="3469">
        <v>13.32</v>
      </c>
      <c r="H197" s="3470" t="s">
        <v>3557</v>
      </c>
      <c r="I197" s="3558">
        <f ca="1">典型户型修正车!S184</f>
        <v>33</v>
      </c>
    </row>
    <row r="198" spans="1:9" s="3472" customFormat="1">
      <c r="A198" s="3681"/>
      <c r="B198" s="3677"/>
      <c r="C198" s="3668"/>
      <c r="D198" s="3688"/>
      <c r="E198" s="3509" t="s">
        <v>3717</v>
      </c>
      <c r="F198" s="3519">
        <v>44.95</v>
      </c>
      <c r="G198" s="3469">
        <v>8.18</v>
      </c>
      <c r="H198" s="3470" t="s">
        <v>3557</v>
      </c>
      <c r="I198" s="3558">
        <f ca="1">典型户型修正车!S185</f>
        <v>20</v>
      </c>
    </row>
    <row r="199" spans="1:9" s="3472" customFormat="1">
      <c r="A199" s="3681"/>
      <c r="B199" s="3677"/>
      <c r="C199" s="3668"/>
      <c r="D199" s="3688"/>
      <c r="E199" s="3509" t="s">
        <v>3718</v>
      </c>
      <c r="F199" s="3519">
        <v>44.95</v>
      </c>
      <c r="G199" s="3469">
        <v>8.18</v>
      </c>
      <c r="H199" s="3470" t="s">
        <v>3557</v>
      </c>
      <c r="I199" s="3558">
        <f ca="1">典型户型修正车!S186</f>
        <v>20</v>
      </c>
    </row>
    <row r="200" spans="1:9" s="3472" customFormat="1">
      <c r="A200" s="3681"/>
      <c r="B200" s="3677"/>
      <c r="C200" s="3668"/>
      <c r="D200" s="3688"/>
      <c r="E200" s="3509" t="s">
        <v>3719</v>
      </c>
      <c r="F200" s="3519">
        <v>44.95</v>
      </c>
      <c r="G200" s="3469">
        <v>8.18</v>
      </c>
      <c r="H200" s="3470" t="s">
        <v>3557</v>
      </c>
      <c r="I200" s="3558">
        <f ca="1">典型户型修正车!S187</f>
        <v>20</v>
      </c>
    </row>
    <row r="201" spans="1:9" s="3472" customFormat="1">
      <c r="A201" s="3681"/>
      <c r="B201" s="3677"/>
      <c r="C201" s="3668"/>
      <c r="D201" s="3688"/>
      <c r="E201" s="3468" t="s">
        <v>3720</v>
      </c>
      <c r="F201" s="3519">
        <v>44.95</v>
      </c>
      <c r="G201" s="3469">
        <v>8.18</v>
      </c>
      <c r="H201" s="3470" t="s">
        <v>3557</v>
      </c>
      <c r="I201" s="3558">
        <f ca="1">典型户型修正车!S188</f>
        <v>20</v>
      </c>
    </row>
    <row r="202" spans="1:9" s="3472" customFormat="1">
      <c r="A202" s="3681"/>
      <c r="B202" s="3677"/>
      <c r="C202" s="3668"/>
      <c r="D202" s="3688"/>
      <c r="E202" s="3468" t="s">
        <v>3721</v>
      </c>
      <c r="F202" s="3519">
        <v>44.95</v>
      </c>
      <c r="G202" s="3469">
        <v>8.18</v>
      </c>
      <c r="H202" s="3470" t="s">
        <v>3557</v>
      </c>
      <c r="I202" s="3558">
        <f ca="1">典型户型修正车!S189</f>
        <v>20</v>
      </c>
    </row>
    <row r="203" spans="1:9" s="3472" customFormat="1">
      <c r="A203" s="3681"/>
      <c r="B203" s="3677"/>
      <c r="C203" s="3668"/>
      <c r="D203" s="3688"/>
      <c r="E203" s="3468" t="s">
        <v>3722</v>
      </c>
      <c r="F203" s="3519">
        <v>44.95</v>
      </c>
      <c r="G203" s="3469">
        <v>8.18</v>
      </c>
      <c r="H203" s="3470" t="s">
        <v>3557</v>
      </c>
      <c r="I203" s="3558">
        <f ca="1">典型户型修正车!S190</f>
        <v>20</v>
      </c>
    </row>
    <row r="204" spans="1:9" s="3472" customFormat="1">
      <c r="A204" s="3681"/>
      <c r="B204" s="3677"/>
      <c r="C204" s="3668"/>
      <c r="D204" s="3688"/>
      <c r="E204" s="3468" t="s">
        <v>3723</v>
      </c>
      <c r="F204" s="3519">
        <v>44.95</v>
      </c>
      <c r="G204" s="3469">
        <v>8.18</v>
      </c>
      <c r="H204" s="3470" t="s">
        <v>3557</v>
      </c>
      <c r="I204" s="3558">
        <f ca="1">典型户型修正车!S191</f>
        <v>20</v>
      </c>
    </row>
    <row r="205" spans="1:9" s="3472" customFormat="1">
      <c r="A205" s="3681"/>
      <c r="B205" s="3677"/>
      <c r="C205" s="3668"/>
      <c r="D205" s="3688"/>
      <c r="E205" s="3468" t="s">
        <v>3724</v>
      </c>
      <c r="F205" s="3519">
        <v>44.95</v>
      </c>
      <c r="G205" s="3469">
        <v>8.18</v>
      </c>
      <c r="H205" s="3470" t="s">
        <v>3557</v>
      </c>
      <c r="I205" s="3558">
        <f ca="1">典型户型修正车!S192</f>
        <v>20</v>
      </c>
    </row>
    <row r="206" spans="1:9" s="3472" customFormat="1">
      <c r="A206" s="3681"/>
      <c r="B206" s="3677"/>
      <c r="C206" s="3668"/>
      <c r="D206" s="3688"/>
      <c r="E206" s="3468" t="s">
        <v>3725</v>
      </c>
      <c r="F206" s="3519">
        <v>44.95</v>
      </c>
      <c r="G206" s="3469">
        <v>8.18</v>
      </c>
      <c r="H206" s="3470" t="s">
        <v>3557</v>
      </c>
      <c r="I206" s="3558">
        <f ca="1">典型户型修正车!S193</f>
        <v>20</v>
      </c>
    </row>
    <row r="207" spans="1:9" s="3472" customFormat="1">
      <c r="A207" s="3681"/>
      <c r="B207" s="3677"/>
      <c r="C207" s="3668"/>
      <c r="D207" s="3688"/>
      <c r="E207" s="3509" t="s">
        <v>3726</v>
      </c>
      <c r="F207" s="3519">
        <v>44.95</v>
      </c>
      <c r="G207" s="3469">
        <v>8.18</v>
      </c>
      <c r="H207" s="3470" t="s">
        <v>3557</v>
      </c>
      <c r="I207" s="3558">
        <f ca="1">典型户型修正车!S194</f>
        <v>20</v>
      </c>
    </row>
    <row r="208" spans="1:9" s="3472" customFormat="1">
      <c r="A208" s="3681"/>
      <c r="B208" s="3677"/>
      <c r="C208" s="3668"/>
      <c r="D208" s="3688"/>
      <c r="E208" s="3509" t="s">
        <v>3727</v>
      </c>
      <c r="F208" s="3519">
        <v>44.95</v>
      </c>
      <c r="G208" s="3469">
        <v>8.18</v>
      </c>
      <c r="H208" s="3470" t="s">
        <v>3557</v>
      </c>
      <c r="I208" s="3558">
        <f ca="1">典型户型修正车!S195</f>
        <v>20</v>
      </c>
    </row>
    <row r="209" spans="1:9" s="3472" customFormat="1">
      <c r="A209" s="3681"/>
      <c r="B209" s="3677"/>
      <c r="C209" s="3668"/>
      <c r="D209" s="3688"/>
      <c r="E209" s="3509" t="s">
        <v>3728</v>
      </c>
      <c r="F209" s="3519">
        <v>44.95</v>
      </c>
      <c r="G209" s="3469">
        <v>8.18</v>
      </c>
      <c r="H209" s="3470" t="s">
        <v>3557</v>
      </c>
      <c r="I209" s="3558">
        <f ca="1">典型户型修正车!S196</f>
        <v>20</v>
      </c>
    </row>
    <row r="210" spans="1:9" s="3472" customFormat="1">
      <c r="A210" s="3681"/>
      <c r="B210" s="3677"/>
      <c r="C210" s="3668"/>
      <c r="D210" s="3688"/>
      <c r="E210" s="3468" t="s">
        <v>3729</v>
      </c>
      <c r="F210" s="3519">
        <v>44.95</v>
      </c>
      <c r="G210" s="3469">
        <v>8.18</v>
      </c>
      <c r="H210" s="3470" t="s">
        <v>3557</v>
      </c>
      <c r="I210" s="3558">
        <f ca="1">典型户型修正车!S197</f>
        <v>20</v>
      </c>
    </row>
    <row r="211" spans="1:9" s="3472" customFormat="1">
      <c r="A211" s="3681"/>
      <c r="B211" s="3677"/>
      <c r="C211" s="3668"/>
      <c r="D211" s="3688"/>
      <c r="E211" s="3468" t="s">
        <v>3730</v>
      </c>
      <c r="F211" s="3519">
        <v>44.95</v>
      </c>
      <c r="G211" s="3469">
        <v>8.18</v>
      </c>
      <c r="H211" s="3470" t="s">
        <v>3557</v>
      </c>
      <c r="I211" s="3558">
        <f ca="1">典型户型修正车!S198</f>
        <v>20</v>
      </c>
    </row>
    <row r="212" spans="1:9" s="3472" customFormat="1">
      <c r="A212" s="3681"/>
      <c r="B212" s="3677"/>
      <c r="C212" s="3668"/>
      <c r="D212" s="3688"/>
      <c r="E212" s="3468" t="s">
        <v>3731</v>
      </c>
      <c r="F212" s="3519">
        <v>73.14</v>
      </c>
      <c r="G212" s="3469">
        <v>13.32</v>
      </c>
      <c r="H212" s="3470" t="s">
        <v>3557</v>
      </c>
      <c r="I212" s="3558">
        <f ca="1">典型户型修正车!S199</f>
        <v>33</v>
      </c>
    </row>
    <row r="213" spans="1:9" s="3472" customFormat="1">
      <c r="A213" s="3681"/>
      <c r="B213" s="3677"/>
      <c r="C213" s="3668"/>
      <c r="D213" s="3688"/>
      <c r="E213" s="3468" t="s">
        <v>3732</v>
      </c>
      <c r="F213" s="3519">
        <v>44.95</v>
      </c>
      <c r="G213" s="3469">
        <v>8.18</v>
      </c>
      <c r="H213" s="3470" t="s">
        <v>3557</v>
      </c>
      <c r="I213" s="3558">
        <f ca="1">典型户型修正车!S200</f>
        <v>20</v>
      </c>
    </row>
    <row r="214" spans="1:9" s="3472" customFormat="1">
      <c r="A214" s="3681"/>
      <c r="B214" s="3677"/>
      <c r="C214" s="3668"/>
      <c r="D214" s="3688"/>
      <c r="E214" s="3468" t="s">
        <v>3733</v>
      </c>
      <c r="F214" s="3519">
        <v>44.95</v>
      </c>
      <c r="G214" s="3469">
        <v>8.18</v>
      </c>
      <c r="H214" s="3470" t="s">
        <v>3557</v>
      </c>
      <c r="I214" s="3558">
        <f ca="1">典型户型修正车!S201</f>
        <v>20</v>
      </c>
    </row>
    <row r="215" spans="1:9" s="3472" customFormat="1">
      <c r="A215" s="3681"/>
      <c r="B215" s="3677"/>
      <c r="C215" s="3668"/>
      <c r="D215" s="3688"/>
      <c r="E215" s="3468" t="s">
        <v>3734</v>
      </c>
      <c r="F215" s="3519">
        <v>44.95</v>
      </c>
      <c r="G215" s="3469">
        <v>8.18</v>
      </c>
      <c r="H215" s="3470" t="s">
        <v>3557</v>
      </c>
      <c r="I215" s="3558">
        <f ca="1">典型户型修正车!S202</f>
        <v>20</v>
      </c>
    </row>
    <row r="216" spans="1:9" s="3472" customFormat="1">
      <c r="A216" s="3681"/>
      <c r="B216" s="3677"/>
      <c r="C216" s="3668"/>
      <c r="D216" s="3688"/>
      <c r="E216" s="3468" t="s">
        <v>3735</v>
      </c>
      <c r="F216" s="3519">
        <v>44.95</v>
      </c>
      <c r="G216" s="3469">
        <v>8.18</v>
      </c>
      <c r="H216" s="3470" t="s">
        <v>3557</v>
      </c>
      <c r="I216" s="3558">
        <f ca="1">典型户型修正车!S203</f>
        <v>20</v>
      </c>
    </row>
    <row r="217" spans="1:9" s="3472" customFormat="1">
      <c r="A217" s="3681"/>
      <c r="B217" s="3677"/>
      <c r="C217" s="3668"/>
      <c r="D217" s="3688"/>
      <c r="E217" s="3468" t="s">
        <v>3736</v>
      </c>
      <c r="F217" s="3519">
        <v>89.9</v>
      </c>
      <c r="G217" s="3469">
        <v>16.37</v>
      </c>
      <c r="H217" s="3470" t="s">
        <v>3557</v>
      </c>
      <c r="I217" s="3558">
        <f ca="1">典型户型修正车!S204</f>
        <v>40</v>
      </c>
    </row>
    <row r="218" spans="1:9" s="3472" customFormat="1">
      <c r="A218" s="3681"/>
      <c r="B218" s="3677"/>
      <c r="C218" s="3668"/>
      <c r="D218" s="3688"/>
      <c r="E218" s="3468" t="s">
        <v>3737</v>
      </c>
      <c r="F218" s="3519">
        <v>89.9</v>
      </c>
      <c r="G218" s="3469">
        <v>16.37</v>
      </c>
      <c r="H218" s="3470" t="s">
        <v>3557</v>
      </c>
      <c r="I218" s="3558">
        <f ca="1">典型户型修正车!S205</f>
        <v>40</v>
      </c>
    </row>
    <row r="219" spans="1:9" s="3472" customFormat="1">
      <c r="A219" s="3681"/>
      <c r="B219" s="3677"/>
      <c r="C219" s="3668"/>
      <c r="D219" s="3688"/>
      <c r="E219" s="3468" t="s">
        <v>3738</v>
      </c>
      <c r="F219" s="3519">
        <v>89.9</v>
      </c>
      <c r="G219" s="3469">
        <v>16.37</v>
      </c>
      <c r="H219" s="3470" t="s">
        <v>3557</v>
      </c>
      <c r="I219" s="3558">
        <f ca="1">典型户型修正车!S206</f>
        <v>40</v>
      </c>
    </row>
    <row r="220" spans="1:9" s="3472" customFormat="1">
      <c r="A220" s="3681"/>
      <c r="B220" s="3677"/>
      <c r="C220" s="3668"/>
      <c r="D220" s="3688"/>
      <c r="E220" s="3468" t="s">
        <v>3739</v>
      </c>
      <c r="F220" s="3519">
        <v>49.03</v>
      </c>
      <c r="G220" s="3469">
        <v>8.93</v>
      </c>
      <c r="H220" s="3470" t="s">
        <v>3557</v>
      </c>
      <c r="I220" s="3558">
        <f ca="1">典型户型修正车!S207</f>
        <v>22</v>
      </c>
    </row>
    <row r="221" spans="1:9" s="3472" customFormat="1">
      <c r="A221" s="3681"/>
      <c r="B221" s="3677"/>
      <c r="C221" s="3668"/>
      <c r="D221" s="3688"/>
      <c r="E221" s="3468" t="s">
        <v>3740</v>
      </c>
      <c r="F221" s="3519">
        <v>89.9</v>
      </c>
      <c r="G221" s="3469">
        <v>16.37</v>
      </c>
      <c r="H221" s="3470" t="s">
        <v>3557</v>
      </c>
      <c r="I221" s="3558">
        <f ca="1">典型户型修正车!S208</f>
        <v>40</v>
      </c>
    </row>
    <row r="222" spans="1:9" s="3472" customFormat="1">
      <c r="A222" s="3681"/>
      <c r="B222" s="3683"/>
      <c r="C222" s="3668"/>
      <c r="D222" s="3688"/>
      <c r="E222" s="3468" t="s">
        <v>3741</v>
      </c>
      <c r="F222" s="3519">
        <v>89.9</v>
      </c>
      <c r="G222" s="3469">
        <v>16.37</v>
      </c>
      <c r="H222" s="3470" t="s">
        <v>3557</v>
      </c>
      <c r="I222" s="3558">
        <f ca="1">典型户型修正车!S209</f>
        <v>40</v>
      </c>
    </row>
    <row r="223" spans="1:9" s="3472" customFormat="1">
      <c r="A223" s="3681"/>
      <c r="B223" s="3676" t="s">
        <v>3553</v>
      </c>
      <c r="C223" s="3668" t="s">
        <v>3554</v>
      </c>
      <c r="D223" s="3688" t="s">
        <v>3555</v>
      </c>
      <c r="E223" s="3468" t="s">
        <v>3742</v>
      </c>
      <c r="F223" s="3519">
        <v>89.9</v>
      </c>
      <c r="G223" s="3469">
        <v>16.37</v>
      </c>
      <c r="H223" s="3470" t="s">
        <v>3557</v>
      </c>
      <c r="I223" s="3558">
        <f ca="1">典型户型修正车!S210</f>
        <v>40</v>
      </c>
    </row>
    <row r="224" spans="1:9" s="3472" customFormat="1">
      <c r="A224" s="3681"/>
      <c r="B224" s="3677"/>
      <c r="C224" s="3668"/>
      <c r="D224" s="3688"/>
      <c r="E224" s="3468" t="s">
        <v>3743</v>
      </c>
      <c r="F224" s="3519">
        <v>89.9</v>
      </c>
      <c r="G224" s="3469">
        <v>16.37</v>
      </c>
      <c r="H224" s="3470" t="s">
        <v>3557</v>
      </c>
      <c r="I224" s="3558">
        <f ca="1">典型户型修正车!S211</f>
        <v>40</v>
      </c>
    </row>
    <row r="225" spans="1:9" s="3472" customFormat="1">
      <c r="A225" s="3681"/>
      <c r="B225" s="3677"/>
      <c r="C225" s="3668"/>
      <c r="D225" s="3688"/>
      <c r="E225" s="3468">
        <v>-101</v>
      </c>
      <c r="F225" s="3519">
        <v>211.51</v>
      </c>
      <c r="G225" s="3469">
        <v>38.5</v>
      </c>
      <c r="H225" s="3470" t="s">
        <v>3744</v>
      </c>
      <c r="I225" s="3558">
        <f ca="1">典型户型修正!S37</f>
        <v>422</v>
      </c>
    </row>
    <row r="226" spans="1:9" s="3472" customFormat="1">
      <c r="A226" s="3681"/>
      <c r="B226" s="3677"/>
      <c r="C226" s="3668"/>
      <c r="D226" s="3688"/>
      <c r="E226" s="3511">
        <v>-102</v>
      </c>
      <c r="F226" s="3519">
        <v>62.54</v>
      </c>
      <c r="G226" s="3469">
        <v>11.39</v>
      </c>
      <c r="H226" s="3470" t="s">
        <v>3744</v>
      </c>
      <c r="I226" s="3558">
        <f ca="1">典型户型修正!S38</f>
        <v>127</v>
      </c>
    </row>
    <row r="227" spans="1:9" s="3472" customFormat="1">
      <c r="A227" s="3681"/>
      <c r="B227" s="3677"/>
      <c r="C227" s="3668"/>
      <c r="D227" s="3688"/>
      <c r="E227" s="3505">
        <v>-103</v>
      </c>
      <c r="F227" s="3519">
        <v>77.900000000000006</v>
      </c>
      <c r="G227" s="3469">
        <v>14.18</v>
      </c>
      <c r="H227" s="3470" t="s">
        <v>3744</v>
      </c>
      <c r="I227" s="3558">
        <f ca="1">典型户型修正!S39</f>
        <v>159</v>
      </c>
    </row>
    <row r="228" spans="1:9" s="3472" customFormat="1">
      <c r="A228" s="3681"/>
      <c r="B228" s="3677"/>
      <c r="C228" s="3668"/>
      <c r="D228" s="3688"/>
      <c r="E228" s="3512">
        <v>-104</v>
      </c>
      <c r="F228" s="3519">
        <v>95.91</v>
      </c>
      <c r="G228" s="3469">
        <v>17.46</v>
      </c>
      <c r="H228" s="3470" t="s">
        <v>3744</v>
      </c>
      <c r="I228" s="3558">
        <f ca="1">典型户型修正!S40</f>
        <v>195</v>
      </c>
    </row>
    <row r="229" spans="1:9" s="3472" customFormat="1">
      <c r="A229" s="3681"/>
      <c r="B229" s="3677"/>
      <c r="C229" s="3668"/>
      <c r="D229" s="3688"/>
      <c r="E229" s="3512">
        <v>-105</v>
      </c>
      <c r="F229" s="3519">
        <v>95.03</v>
      </c>
      <c r="G229" s="3469">
        <v>17.3</v>
      </c>
      <c r="H229" s="3470" t="s">
        <v>3744</v>
      </c>
      <c r="I229" s="3558">
        <f ca="1">典型户型修正!S41</f>
        <v>194</v>
      </c>
    </row>
    <row r="230" spans="1:9" s="3472" customFormat="1">
      <c r="A230" s="3681"/>
      <c r="B230" s="3677"/>
      <c r="C230" s="3668"/>
      <c r="D230" s="3688"/>
      <c r="E230" s="3512">
        <v>-106</v>
      </c>
      <c r="F230" s="3519">
        <v>136.32</v>
      </c>
      <c r="G230" s="3469">
        <v>24.82</v>
      </c>
      <c r="H230" s="3470" t="s">
        <v>3744</v>
      </c>
      <c r="I230" s="3558">
        <f ca="1">典型户型修正!S42</f>
        <v>275</v>
      </c>
    </row>
    <row r="231" spans="1:9" s="3535" customFormat="1">
      <c r="A231" s="3681"/>
      <c r="B231" s="3677"/>
      <c r="C231" s="3668"/>
      <c r="D231" s="3688"/>
      <c r="E231" s="3532" t="s">
        <v>3451</v>
      </c>
      <c r="F231" s="3533">
        <v>44.95</v>
      </c>
      <c r="G231" s="3533">
        <v>8.18</v>
      </c>
      <c r="H231" s="3534" t="s">
        <v>3557</v>
      </c>
      <c r="I231" s="3557">
        <f ca="1">典型户型修正车!S24</f>
        <v>21</v>
      </c>
    </row>
    <row r="232" spans="1:9" s="3472" customFormat="1">
      <c r="A232" s="3681"/>
      <c r="B232" s="3677"/>
      <c r="C232" s="3668"/>
      <c r="D232" s="3688"/>
      <c r="E232" s="3468" t="s">
        <v>3745</v>
      </c>
      <c r="F232" s="3519">
        <v>44.95</v>
      </c>
      <c r="G232" s="3469">
        <v>8.18</v>
      </c>
      <c r="H232" s="3470" t="s">
        <v>3557</v>
      </c>
      <c r="I232" s="3558">
        <f ca="1">典型户型修正车!S219</f>
        <v>21</v>
      </c>
    </row>
    <row r="233" spans="1:9" s="3472" customFormat="1">
      <c r="A233" s="3681"/>
      <c r="B233" s="3677"/>
      <c r="C233" s="3668"/>
      <c r="D233" s="3688"/>
      <c r="E233" s="3468" t="s">
        <v>3456</v>
      </c>
      <c r="F233" s="3519">
        <v>44.95</v>
      </c>
      <c r="G233" s="3469">
        <v>8.18</v>
      </c>
      <c r="H233" s="3470" t="s">
        <v>3557</v>
      </c>
      <c r="I233" s="3558">
        <f ca="1">典型户型修正车!S220</f>
        <v>21</v>
      </c>
    </row>
    <row r="234" spans="1:9" s="3472" customFormat="1">
      <c r="A234" s="3681"/>
      <c r="B234" s="3677"/>
      <c r="C234" s="3668"/>
      <c r="D234" s="3688"/>
      <c r="E234" s="3468" t="s">
        <v>3457</v>
      </c>
      <c r="F234" s="3519">
        <v>44.95</v>
      </c>
      <c r="G234" s="3469">
        <v>8.18</v>
      </c>
      <c r="H234" s="3470" t="s">
        <v>3557</v>
      </c>
      <c r="I234" s="3558">
        <f ca="1">典型户型修正车!S221</f>
        <v>21</v>
      </c>
    </row>
    <row r="235" spans="1:9" s="3472" customFormat="1">
      <c r="A235" s="3681"/>
      <c r="B235" s="3677"/>
      <c r="C235" s="3668"/>
      <c r="D235" s="3688"/>
      <c r="E235" s="3468" t="s">
        <v>3452</v>
      </c>
      <c r="F235" s="3519">
        <v>44.95</v>
      </c>
      <c r="G235" s="3469">
        <v>8.18</v>
      </c>
      <c r="H235" s="3470" t="s">
        <v>3557</v>
      </c>
      <c r="I235" s="3558">
        <f ca="1">典型户型修正车!S222</f>
        <v>21</v>
      </c>
    </row>
    <row r="236" spans="1:9" s="3472" customFormat="1">
      <c r="A236" s="3681"/>
      <c r="B236" s="3677"/>
      <c r="C236" s="3668"/>
      <c r="D236" s="3688"/>
      <c r="E236" s="3468" t="s">
        <v>3746</v>
      </c>
      <c r="F236" s="3519">
        <v>44.95</v>
      </c>
      <c r="G236" s="3469">
        <v>8.18</v>
      </c>
      <c r="H236" s="3470" t="s">
        <v>3557</v>
      </c>
      <c r="I236" s="3558">
        <f ca="1">典型户型修正车!S223</f>
        <v>21</v>
      </c>
    </row>
    <row r="237" spans="1:9" s="3472" customFormat="1">
      <c r="A237" s="3681"/>
      <c r="B237" s="3677"/>
      <c r="C237" s="3668"/>
      <c r="D237" s="3688"/>
      <c r="E237" s="3468" t="s">
        <v>3453</v>
      </c>
      <c r="F237" s="3519">
        <v>44.95</v>
      </c>
      <c r="G237" s="3469">
        <v>8.18</v>
      </c>
      <c r="H237" s="3470" t="s">
        <v>3557</v>
      </c>
      <c r="I237" s="3558">
        <f ca="1">典型户型修正车!S224</f>
        <v>21</v>
      </c>
    </row>
    <row r="238" spans="1:9" s="3472" customFormat="1">
      <c r="A238" s="3681"/>
      <c r="B238" s="3677"/>
      <c r="C238" s="3668"/>
      <c r="D238" s="3688"/>
      <c r="E238" s="3468" t="s">
        <v>3747</v>
      </c>
      <c r="F238" s="3519">
        <v>44.95</v>
      </c>
      <c r="G238" s="3469">
        <v>8.18</v>
      </c>
      <c r="H238" s="3470" t="s">
        <v>3557</v>
      </c>
      <c r="I238" s="3558">
        <f ca="1">典型户型修正车!S225</f>
        <v>21</v>
      </c>
    </row>
    <row r="239" spans="1:9" s="3472" customFormat="1">
      <c r="A239" s="3681"/>
      <c r="B239" s="3677"/>
      <c r="C239" s="3668"/>
      <c r="D239" s="3688"/>
      <c r="E239" s="3468" t="s">
        <v>3748</v>
      </c>
      <c r="F239" s="3519">
        <v>44.95</v>
      </c>
      <c r="G239" s="3469">
        <v>8.18</v>
      </c>
      <c r="H239" s="3470" t="s">
        <v>3557</v>
      </c>
      <c r="I239" s="3558">
        <f ca="1">典型户型修正车!S226</f>
        <v>21</v>
      </c>
    </row>
    <row r="240" spans="1:9" s="3472" customFormat="1">
      <c r="A240" s="3681"/>
      <c r="B240" s="3677"/>
      <c r="C240" s="3668"/>
      <c r="D240" s="3688"/>
      <c r="E240" s="3468" t="s">
        <v>3749</v>
      </c>
      <c r="F240" s="3519">
        <v>44.95</v>
      </c>
      <c r="G240" s="3469">
        <v>8.18</v>
      </c>
      <c r="H240" s="3470" t="s">
        <v>3557</v>
      </c>
      <c r="I240" s="3558">
        <f ca="1">典型户型修正车!S227</f>
        <v>21</v>
      </c>
    </row>
    <row r="241" spans="1:9" s="3472" customFormat="1">
      <c r="A241" s="3681"/>
      <c r="B241" s="3677"/>
      <c r="C241" s="3668"/>
      <c r="D241" s="3688"/>
      <c r="E241" s="3468" t="s">
        <v>3454</v>
      </c>
      <c r="F241" s="3519">
        <v>44.95</v>
      </c>
      <c r="G241" s="3469">
        <v>8.18</v>
      </c>
      <c r="H241" s="3470" t="s">
        <v>3557</v>
      </c>
      <c r="I241" s="3558">
        <f ca="1">典型户型修正车!S228</f>
        <v>21</v>
      </c>
    </row>
    <row r="242" spans="1:9" s="3472" customFormat="1">
      <c r="A242" s="3681"/>
      <c r="B242" s="3677"/>
      <c r="C242" s="3668"/>
      <c r="D242" s="3688"/>
      <c r="E242" s="3468" t="s">
        <v>3750</v>
      </c>
      <c r="F242" s="3519">
        <v>67.42</v>
      </c>
      <c r="G242" s="3469">
        <v>12.27</v>
      </c>
      <c r="H242" s="3470" t="s">
        <v>3557</v>
      </c>
      <c r="I242" s="3558">
        <f ca="1">典型户型修正车!S229</f>
        <v>32</v>
      </c>
    </row>
    <row r="243" spans="1:9" s="3472" customFormat="1">
      <c r="A243" s="3681"/>
      <c r="B243" s="3677"/>
      <c r="C243" s="3668"/>
      <c r="D243" s="3688"/>
      <c r="E243" s="3468" t="s">
        <v>3751</v>
      </c>
      <c r="F243" s="3519">
        <v>49.03</v>
      </c>
      <c r="G243" s="3469">
        <v>8.93</v>
      </c>
      <c r="H243" s="3470" t="s">
        <v>3557</v>
      </c>
      <c r="I243" s="3558">
        <f ca="1">典型户型修正车!S230</f>
        <v>23</v>
      </c>
    </row>
    <row r="244" spans="1:9" s="3472" customFormat="1">
      <c r="A244" s="3681"/>
      <c r="B244" s="3677"/>
      <c r="C244" s="3668"/>
      <c r="D244" s="3688"/>
      <c r="E244" s="3468" t="s">
        <v>3752</v>
      </c>
      <c r="F244" s="3519">
        <v>49</v>
      </c>
      <c r="G244" s="3469">
        <v>8.92</v>
      </c>
      <c r="H244" s="3470" t="s">
        <v>3557</v>
      </c>
      <c r="I244" s="3558">
        <f ca="1">典型户型修正车!S231</f>
        <v>23</v>
      </c>
    </row>
    <row r="245" spans="1:9" s="3472" customFormat="1">
      <c r="A245" s="3681"/>
      <c r="B245" s="3677"/>
      <c r="C245" s="3668"/>
      <c r="D245" s="3688"/>
      <c r="E245" s="3468" t="s">
        <v>3753</v>
      </c>
      <c r="F245" s="3519">
        <v>49.03</v>
      </c>
      <c r="G245" s="3469">
        <v>8.93</v>
      </c>
      <c r="H245" s="3470" t="s">
        <v>3557</v>
      </c>
      <c r="I245" s="3558">
        <f ca="1">典型户型修正车!S232</f>
        <v>23</v>
      </c>
    </row>
    <row r="246" spans="1:9" s="3472" customFormat="1">
      <c r="A246" s="3681"/>
      <c r="B246" s="3677"/>
      <c r="C246" s="3668"/>
      <c r="D246" s="3688"/>
      <c r="E246" s="3468" t="s">
        <v>3754</v>
      </c>
      <c r="F246" s="3519">
        <v>44.95</v>
      </c>
      <c r="G246" s="3469">
        <v>8.18</v>
      </c>
      <c r="H246" s="3470" t="s">
        <v>3557</v>
      </c>
      <c r="I246" s="3558">
        <f ca="1">典型户型修正车!S233</f>
        <v>21</v>
      </c>
    </row>
    <row r="247" spans="1:9" s="3472" customFormat="1">
      <c r="A247" s="3681"/>
      <c r="B247" s="3677"/>
      <c r="C247" s="3668"/>
      <c r="D247" s="3688"/>
      <c r="E247" s="3468" t="s">
        <v>3755</v>
      </c>
      <c r="F247" s="3519">
        <v>44.95</v>
      </c>
      <c r="G247" s="3469">
        <v>8.18</v>
      </c>
      <c r="H247" s="3470" t="s">
        <v>3557</v>
      </c>
      <c r="I247" s="3558">
        <f ca="1">典型户型修正车!S234</f>
        <v>21</v>
      </c>
    </row>
    <row r="248" spans="1:9" s="3472" customFormat="1">
      <c r="A248" s="3681"/>
      <c r="B248" s="3677"/>
      <c r="C248" s="3668"/>
      <c r="D248" s="3688"/>
      <c r="E248" s="3468" t="s">
        <v>3756</v>
      </c>
      <c r="F248" s="3519">
        <v>44.95</v>
      </c>
      <c r="G248" s="3469">
        <v>8.18</v>
      </c>
      <c r="H248" s="3470" t="s">
        <v>3557</v>
      </c>
      <c r="I248" s="3558">
        <f ca="1">典型户型修正车!S235</f>
        <v>21</v>
      </c>
    </row>
    <row r="249" spans="1:9" s="3472" customFormat="1">
      <c r="A249" s="3681"/>
      <c r="B249" s="3677"/>
      <c r="C249" s="3668"/>
      <c r="D249" s="3688"/>
      <c r="E249" s="3468" t="s">
        <v>3757</v>
      </c>
      <c r="F249" s="3519">
        <v>44.95</v>
      </c>
      <c r="G249" s="3469">
        <v>8.18</v>
      </c>
      <c r="H249" s="3470" t="s">
        <v>3557</v>
      </c>
      <c r="I249" s="3558">
        <f ca="1">典型户型修正车!S236</f>
        <v>21</v>
      </c>
    </row>
    <row r="250" spans="1:9" s="3472" customFormat="1">
      <c r="A250" s="3681"/>
      <c r="B250" s="3677"/>
      <c r="C250" s="3668"/>
      <c r="D250" s="3688"/>
      <c r="E250" s="3468" t="s">
        <v>3758</v>
      </c>
      <c r="F250" s="3519">
        <v>44.95</v>
      </c>
      <c r="G250" s="3469">
        <v>8.18</v>
      </c>
      <c r="H250" s="3470" t="s">
        <v>3557</v>
      </c>
      <c r="I250" s="3558">
        <f ca="1">典型户型修正车!S237</f>
        <v>21</v>
      </c>
    </row>
    <row r="251" spans="1:9" s="3472" customFormat="1">
      <c r="A251" s="3681"/>
      <c r="B251" s="3677"/>
      <c r="C251" s="3668"/>
      <c r="D251" s="3688"/>
      <c r="E251" s="3468" t="s">
        <v>3759</v>
      </c>
      <c r="F251" s="3519">
        <v>44.95</v>
      </c>
      <c r="G251" s="3469">
        <v>8.18</v>
      </c>
      <c r="H251" s="3470" t="s">
        <v>3557</v>
      </c>
      <c r="I251" s="3558">
        <f ca="1">典型户型修正车!S238</f>
        <v>21</v>
      </c>
    </row>
    <row r="252" spans="1:9" s="3472" customFormat="1">
      <c r="A252" s="3681"/>
      <c r="B252" s="3677"/>
      <c r="C252" s="3668"/>
      <c r="D252" s="3688"/>
      <c r="E252" s="3468" t="s">
        <v>3760</v>
      </c>
      <c r="F252" s="3519">
        <v>44.95</v>
      </c>
      <c r="G252" s="3469">
        <v>8.18</v>
      </c>
      <c r="H252" s="3470" t="s">
        <v>3557</v>
      </c>
      <c r="I252" s="3558">
        <f ca="1">典型户型修正车!S239</f>
        <v>21</v>
      </c>
    </row>
    <row r="253" spans="1:9" s="3472" customFormat="1">
      <c r="A253" s="3681"/>
      <c r="B253" s="3677"/>
      <c r="C253" s="3668"/>
      <c r="D253" s="3688"/>
      <c r="E253" s="3468" t="s">
        <v>3761</v>
      </c>
      <c r="F253" s="3519">
        <v>44.95</v>
      </c>
      <c r="G253" s="3469">
        <v>8.18</v>
      </c>
      <c r="H253" s="3470" t="s">
        <v>3557</v>
      </c>
      <c r="I253" s="3558">
        <f ca="1">典型户型修正车!S240</f>
        <v>21</v>
      </c>
    </row>
    <row r="254" spans="1:9" s="3472" customFormat="1">
      <c r="A254" s="3681"/>
      <c r="B254" s="3677"/>
      <c r="C254" s="3668"/>
      <c r="D254" s="3688"/>
      <c r="E254" s="3468" t="s">
        <v>3762</v>
      </c>
      <c r="F254" s="3519">
        <v>44.95</v>
      </c>
      <c r="G254" s="3469">
        <v>8.18</v>
      </c>
      <c r="H254" s="3470" t="s">
        <v>3557</v>
      </c>
      <c r="I254" s="3558">
        <f ca="1">典型户型修正车!S241</f>
        <v>21</v>
      </c>
    </row>
    <row r="255" spans="1:9" s="3472" customFormat="1">
      <c r="A255" s="3681"/>
      <c r="B255" s="3677"/>
      <c r="C255" s="3668"/>
      <c r="D255" s="3688"/>
      <c r="E255" s="3468" t="s">
        <v>3763</v>
      </c>
      <c r="F255" s="3519">
        <v>44.95</v>
      </c>
      <c r="G255" s="3469">
        <v>8.18</v>
      </c>
      <c r="H255" s="3470" t="s">
        <v>3557</v>
      </c>
      <c r="I255" s="3558">
        <f ca="1">典型户型修正车!S242</f>
        <v>21</v>
      </c>
    </row>
    <row r="256" spans="1:9" s="3472" customFormat="1">
      <c r="A256" s="3681"/>
      <c r="B256" s="3677"/>
      <c r="C256" s="3668"/>
      <c r="D256" s="3688"/>
      <c r="E256" s="3468" t="s">
        <v>3764</v>
      </c>
      <c r="F256" s="3519">
        <v>44.95</v>
      </c>
      <c r="G256" s="3469">
        <v>8.18</v>
      </c>
      <c r="H256" s="3470" t="s">
        <v>3557</v>
      </c>
      <c r="I256" s="3558">
        <f ca="1">典型户型修正车!S243</f>
        <v>21</v>
      </c>
    </row>
    <row r="257" spans="1:9" s="3472" customFormat="1">
      <c r="A257" s="3681"/>
      <c r="B257" s="3677"/>
      <c r="C257" s="3668"/>
      <c r="D257" s="3688"/>
      <c r="E257" s="3468" t="s">
        <v>3765</v>
      </c>
      <c r="F257" s="3519">
        <v>44.95</v>
      </c>
      <c r="G257" s="3469">
        <v>8.18</v>
      </c>
      <c r="H257" s="3470" t="s">
        <v>3557</v>
      </c>
      <c r="I257" s="3558">
        <f ca="1">典型户型修正车!S244</f>
        <v>21</v>
      </c>
    </row>
    <row r="258" spans="1:9" s="3472" customFormat="1">
      <c r="A258" s="3681"/>
      <c r="B258" s="3677"/>
      <c r="C258" s="3668"/>
      <c r="D258" s="3688"/>
      <c r="E258" s="3468" t="s">
        <v>3766</v>
      </c>
      <c r="F258" s="3519">
        <v>44.95</v>
      </c>
      <c r="G258" s="3469">
        <v>8.18</v>
      </c>
      <c r="H258" s="3470" t="s">
        <v>3557</v>
      </c>
      <c r="I258" s="3558">
        <f ca="1">典型户型修正车!S245</f>
        <v>21</v>
      </c>
    </row>
    <row r="259" spans="1:9" s="3472" customFormat="1">
      <c r="A259" s="3681"/>
      <c r="B259" s="3683"/>
      <c r="C259" s="3668"/>
      <c r="D259" s="3688"/>
      <c r="E259" s="3468" t="s">
        <v>3767</v>
      </c>
      <c r="F259" s="3519">
        <v>44.95</v>
      </c>
      <c r="G259" s="3469">
        <v>8.18</v>
      </c>
      <c r="H259" s="3470" t="s">
        <v>3557</v>
      </c>
      <c r="I259" s="3558">
        <f ca="1">典型户型修正车!S246</f>
        <v>21</v>
      </c>
    </row>
    <row r="260" spans="1:9" s="3472" customFormat="1">
      <c r="A260" s="3681"/>
      <c r="B260" s="3676" t="s">
        <v>3553</v>
      </c>
      <c r="C260" s="3668" t="s">
        <v>3768</v>
      </c>
      <c r="D260" s="3688" t="s">
        <v>3555</v>
      </c>
      <c r="E260" s="3468" t="s">
        <v>3769</v>
      </c>
      <c r="F260" s="3519">
        <v>44.95</v>
      </c>
      <c r="G260" s="3469">
        <v>8.18</v>
      </c>
      <c r="H260" s="3470" t="s">
        <v>3557</v>
      </c>
      <c r="I260" s="3558">
        <f ca="1">典型户型修正车!S247</f>
        <v>21</v>
      </c>
    </row>
    <row r="261" spans="1:9" s="3472" customFormat="1">
      <c r="A261" s="3681"/>
      <c r="B261" s="3677"/>
      <c r="C261" s="3668"/>
      <c r="D261" s="3688"/>
      <c r="E261" s="3468" t="s">
        <v>3770</v>
      </c>
      <c r="F261" s="3519">
        <v>44.95</v>
      </c>
      <c r="G261" s="3469">
        <v>8.18</v>
      </c>
      <c r="H261" s="3470" t="s">
        <v>3557</v>
      </c>
      <c r="I261" s="3558">
        <f ca="1">典型户型修正车!S248</f>
        <v>21</v>
      </c>
    </row>
    <row r="262" spans="1:9" s="3472" customFormat="1">
      <c r="A262" s="3681"/>
      <c r="B262" s="3677"/>
      <c r="C262" s="3668"/>
      <c r="D262" s="3688"/>
      <c r="E262" s="3468" t="s">
        <v>3771</v>
      </c>
      <c r="F262" s="3519">
        <v>44.95</v>
      </c>
      <c r="G262" s="3469">
        <v>8.18</v>
      </c>
      <c r="H262" s="3470" t="s">
        <v>3557</v>
      </c>
      <c r="I262" s="3558">
        <f ca="1">典型户型修正车!S249</f>
        <v>21</v>
      </c>
    </row>
    <row r="263" spans="1:9" s="3472" customFormat="1">
      <c r="A263" s="3681"/>
      <c r="B263" s="3677"/>
      <c r="C263" s="3668"/>
      <c r="D263" s="3688"/>
      <c r="E263" s="3468" t="s">
        <v>3772</v>
      </c>
      <c r="F263" s="3519">
        <v>44.95</v>
      </c>
      <c r="G263" s="3469">
        <v>8.18</v>
      </c>
      <c r="H263" s="3470" t="s">
        <v>3557</v>
      </c>
      <c r="I263" s="3558">
        <f ca="1">典型户型修正车!S250</f>
        <v>21</v>
      </c>
    </row>
    <row r="264" spans="1:9" s="3472" customFormat="1">
      <c r="A264" s="3681"/>
      <c r="B264" s="3677"/>
      <c r="C264" s="3668"/>
      <c r="D264" s="3688"/>
      <c r="E264" s="3468" t="s">
        <v>3773</v>
      </c>
      <c r="F264" s="3519">
        <v>44.95</v>
      </c>
      <c r="G264" s="3469">
        <v>8.18</v>
      </c>
      <c r="H264" s="3470" t="s">
        <v>3557</v>
      </c>
      <c r="I264" s="3558">
        <f ca="1">典型户型修正车!S251</f>
        <v>21</v>
      </c>
    </row>
    <row r="265" spans="1:9" s="3472" customFormat="1">
      <c r="A265" s="3681"/>
      <c r="B265" s="3677"/>
      <c r="C265" s="3668"/>
      <c r="D265" s="3688"/>
      <c r="E265" s="3468" t="s">
        <v>3774</v>
      </c>
      <c r="F265" s="3519">
        <v>44.95</v>
      </c>
      <c r="G265" s="3469">
        <v>8.18</v>
      </c>
      <c r="H265" s="3470" t="s">
        <v>3557</v>
      </c>
      <c r="I265" s="3558">
        <f ca="1">典型户型修正车!S252</f>
        <v>21</v>
      </c>
    </row>
    <row r="266" spans="1:9" s="3472" customFormat="1">
      <c r="A266" s="3681"/>
      <c r="B266" s="3677"/>
      <c r="C266" s="3668"/>
      <c r="D266" s="3688"/>
      <c r="E266" s="3509" t="s">
        <v>3775</v>
      </c>
      <c r="F266" s="3519">
        <v>44.95</v>
      </c>
      <c r="G266" s="3469">
        <v>8.18</v>
      </c>
      <c r="H266" s="3470" t="s">
        <v>3557</v>
      </c>
      <c r="I266" s="3558">
        <f ca="1">典型户型修正车!S253</f>
        <v>21</v>
      </c>
    </row>
    <row r="267" spans="1:9" s="3472" customFormat="1">
      <c r="A267" s="3681"/>
      <c r="B267" s="3677"/>
      <c r="C267" s="3668"/>
      <c r="D267" s="3688"/>
      <c r="E267" s="3468" t="s">
        <v>3776</v>
      </c>
      <c r="F267" s="3519">
        <v>44.95</v>
      </c>
      <c r="G267" s="3469">
        <v>8.18</v>
      </c>
      <c r="H267" s="3470" t="s">
        <v>3557</v>
      </c>
      <c r="I267" s="3558">
        <f ca="1">典型户型修正车!S254</f>
        <v>21</v>
      </c>
    </row>
    <row r="268" spans="1:9" s="3472" customFormat="1">
      <c r="A268" s="3681"/>
      <c r="B268" s="3677"/>
      <c r="C268" s="3668"/>
      <c r="D268" s="3688"/>
      <c r="E268" s="3468" t="s">
        <v>3777</v>
      </c>
      <c r="F268" s="3519">
        <v>44.95</v>
      </c>
      <c r="G268" s="3469">
        <v>8.18</v>
      </c>
      <c r="H268" s="3470" t="s">
        <v>3557</v>
      </c>
      <c r="I268" s="3558">
        <f ca="1">典型户型修正车!S255</f>
        <v>21</v>
      </c>
    </row>
    <row r="269" spans="1:9" s="3472" customFormat="1">
      <c r="A269" s="3681"/>
      <c r="B269" s="3677"/>
      <c r="C269" s="3668"/>
      <c r="D269" s="3688"/>
      <c r="E269" s="3468" t="s">
        <v>3778</v>
      </c>
      <c r="F269" s="3519">
        <v>44.95</v>
      </c>
      <c r="G269" s="3469">
        <v>8.18</v>
      </c>
      <c r="H269" s="3470" t="s">
        <v>3557</v>
      </c>
      <c r="I269" s="3558">
        <f ca="1">典型户型修正车!S256</f>
        <v>21</v>
      </c>
    </row>
    <row r="270" spans="1:9" s="3472" customFormat="1">
      <c r="A270" s="3681"/>
      <c r="B270" s="3677"/>
      <c r="C270" s="3668"/>
      <c r="D270" s="3688"/>
      <c r="E270" s="3509" t="s">
        <v>3779</v>
      </c>
      <c r="F270" s="3519">
        <v>44.95</v>
      </c>
      <c r="G270" s="3469">
        <v>8.18</v>
      </c>
      <c r="H270" s="3470" t="s">
        <v>3557</v>
      </c>
      <c r="I270" s="3558">
        <f ca="1">典型户型修正车!S257</f>
        <v>21</v>
      </c>
    </row>
    <row r="271" spans="1:9" s="3472" customFormat="1">
      <c r="A271" s="3681"/>
      <c r="B271" s="3677"/>
      <c r="C271" s="3668"/>
      <c r="D271" s="3688"/>
      <c r="E271" s="3509" t="s">
        <v>3780</v>
      </c>
      <c r="F271" s="3519">
        <v>44.95</v>
      </c>
      <c r="G271" s="3469">
        <v>8.18</v>
      </c>
      <c r="H271" s="3470" t="s">
        <v>3557</v>
      </c>
      <c r="I271" s="3558">
        <f ca="1">典型户型修正车!S258</f>
        <v>21</v>
      </c>
    </row>
    <row r="272" spans="1:9" s="3472" customFormat="1">
      <c r="A272" s="3681"/>
      <c r="B272" s="3677"/>
      <c r="C272" s="3668"/>
      <c r="D272" s="3688"/>
      <c r="E272" s="3509" t="s">
        <v>3781</v>
      </c>
      <c r="F272" s="3519">
        <v>67.42</v>
      </c>
      <c r="G272" s="3469">
        <v>12.27</v>
      </c>
      <c r="H272" s="3470" t="s">
        <v>3557</v>
      </c>
      <c r="I272" s="3558">
        <f ca="1">典型户型修正车!S259</f>
        <v>32</v>
      </c>
    </row>
    <row r="273" spans="1:9" s="3472" customFormat="1">
      <c r="A273" s="3681"/>
      <c r="B273" s="3677"/>
      <c r="C273" s="3668"/>
      <c r="D273" s="3688"/>
      <c r="E273" s="3509" t="s">
        <v>3782</v>
      </c>
      <c r="F273" s="3519">
        <v>44.95</v>
      </c>
      <c r="G273" s="3469">
        <v>8.18</v>
      </c>
      <c r="H273" s="3470" t="s">
        <v>3557</v>
      </c>
      <c r="I273" s="3558">
        <f ca="1">典型户型修正车!S260</f>
        <v>21</v>
      </c>
    </row>
    <row r="274" spans="1:9" s="3472" customFormat="1">
      <c r="A274" s="3681"/>
      <c r="B274" s="3677"/>
      <c r="C274" s="3668"/>
      <c r="D274" s="3688"/>
      <c r="E274" s="3509" t="s">
        <v>3783</v>
      </c>
      <c r="F274" s="3519">
        <v>44.95</v>
      </c>
      <c r="G274" s="3469">
        <v>8.18</v>
      </c>
      <c r="H274" s="3470" t="s">
        <v>3557</v>
      </c>
      <c r="I274" s="3558">
        <f ca="1">典型户型修正车!S261</f>
        <v>21</v>
      </c>
    </row>
    <row r="275" spans="1:9" s="3472" customFormat="1">
      <c r="A275" s="3681"/>
      <c r="B275" s="3677"/>
      <c r="C275" s="3668"/>
      <c r="D275" s="3688"/>
      <c r="E275" s="3509" t="s">
        <v>3784</v>
      </c>
      <c r="F275" s="3519">
        <v>67.42</v>
      </c>
      <c r="G275" s="3469">
        <v>12.27</v>
      </c>
      <c r="H275" s="3470" t="s">
        <v>3557</v>
      </c>
      <c r="I275" s="3558">
        <f ca="1">典型户型修正车!S262</f>
        <v>32</v>
      </c>
    </row>
    <row r="276" spans="1:9" s="3472" customFormat="1">
      <c r="A276" s="3681"/>
      <c r="B276" s="3677"/>
      <c r="C276" s="3668"/>
      <c r="D276" s="3688"/>
      <c r="E276" s="3509" t="s">
        <v>3785</v>
      </c>
      <c r="F276" s="3519">
        <v>44.95</v>
      </c>
      <c r="G276" s="3469">
        <v>8.18</v>
      </c>
      <c r="H276" s="3470" t="s">
        <v>3557</v>
      </c>
      <c r="I276" s="3558">
        <f ca="1">典型户型修正车!S263</f>
        <v>21</v>
      </c>
    </row>
    <row r="277" spans="1:9" s="3472" customFormat="1">
      <c r="A277" s="3681"/>
      <c r="B277" s="3677"/>
      <c r="C277" s="3668"/>
      <c r="D277" s="3688"/>
      <c r="E277" s="3509" t="s">
        <v>3786</v>
      </c>
      <c r="F277" s="3519">
        <v>67.42</v>
      </c>
      <c r="G277" s="3469">
        <v>12.27</v>
      </c>
      <c r="H277" s="3470" t="s">
        <v>3557</v>
      </c>
      <c r="I277" s="3558">
        <f ca="1">典型户型修正车!S264</f>
        <v>32</v>
      </c>
    </row>
    <row r="278" spans="1:9" s="3472" customFormat="1">
      <c r="A278" s="3681"/>
      <c r="B278" s="3677"/>
      <c r="C278" s="3668"/>
      <c r="D278" s="3688"/>
      <c r="E278" s="3509" t="s">
        <v>3787</v>
      </c>
      <c r="F278" s="3519">
        <v>44.95</v>
      </c>
      <c r="G278" s="3469">
        <v>8.18</v>
      </c>
      <c r="H278" s="3470" t="s">
        <v>3557</v>
      </c>
      <c r="I278" s="3558">
        <f ca="1">典型户型修正车!S265</f>
        <v>21</v>
      </c>
    </row>
    <row r="279" spans="1:9" s="3472" customFormat="1">
      <c r="A279" s="3681"/>
      <c r="B279" s="3677"/>
      <c r="C279" s="3668"/>
      <c r="D279" s="3688"/>
      <c r="E279" s="3509" t="s">
        <v>3788</v>
      </c>
      <c r="F279" s="3519">
        <v>44.95</v>
      </c>
      <c r="G279" s="3469">
        <v>8.18</v>
      </c>
      <c r="H279" s="3470" t="s">
        <v>3557</v>
      </c>
      <c r="I279" s="3558">
        <f ca="1">典型户型修正车!S266</f>
        <v>21</v>
      </c>
    </row>
    <row r="280" spans="1:9" s="3472" customFormat="1">
      <c r="A280" s="3681"/>
      <c r="B280" s="3677"/>
      <c r="C280" s="3668"/>
      <c r="D280" s="3688"/>
      <c r="E280" s="3509" t="s">
        <v>3789</v>
      </c>
      <c r="F280" s="3519">
        <v>44.95</v>
      </c>
      <c r="G280" s="3469">
        <v>8.18</v>
      </c>
      <c r="H280" s="3470" t="s">
        <v>3557</v>
      </c>
      <c r="I280" s="3558">
        <f ca="1">典型户型修正车!S267</f>
        <v>21</v>
      </c>
    </row>
    <row r="281" spans="1:9" s="3472" customFormat="1">
      <c r="A281" s="3682"/>
      <c r="B281" s="3683"/>
      <c r="C281" s="3668"/>
      <c r="D281" s="3688"/>
      <c r="E281" s="3509" t="s">
        <v>3790</v>
      </c>
      <c r="F281" s="3519">
        <v>44.95</v>
      </c>
      <c r="G281" s="3469">
        <v>8.18</v>
      </c>
      <c r="H281" s="3470" t="s">
        <v>3557</v>
      </c>
      <c r="I281" s="3558">
        <f ca="1">典型户型修正车!S268</f>
        <v>21</v>
      </c>
    </row>
    <row r="282" spans="1:9" s="3472" customFormat="1">
      <c r="A282" s="3685" t="s">
        <v>3526</v>
      </c>
      <c r="B282" s="3686"/>
      <c r="C282" s="3686"/>
      <c r="D282" s="3686"/>
      <c r="E282" s="3687"/>
      <c r="F282" s="3523">
        <f>SUM(F38:F281)</f>
        <v>12420.370000000019</v>
      </c>
      <c r="G282" s="3466">
        <f>SUM(G38:G281)</f>
        <v>2260.81</v>
      </c>
      <c r="H282" s="3506"/>
      <c r="I282" s="3523">
        <f ca="1">SUM(I38:I281)</f>
        <v>6550</v>
      </c>
    </row>
    <row r="283" spans="1:9" s="3515" customFormat="1" ht="26.25">
      <c r="A283" s="3513" t="s">
        <v>3437</v>
      </c>
      <c r="B283" s="3513" t="s">
        <v>3438</v>
      </c>
      <c r="C283" s="3513" t="s">
        <v>3439</v>
      </c>
      <c r="D283" s="3513" t="s">
        <v>3440</v>
      </c>
      <c r="E283" s="3513" t="s">
        <v>3441</v>
      </c>
      <c r="F283" s="3523" t="s">
        <v>3442</v>
      </c>
      <c r="G283" s="3514" t="s">
        <v>3443</v>
      </c>
      <c r="H283" s="3513" t="s">
        <v>3444</v>
      </c>
      <c r="I283" s="3560"/>
    </row>
    <row r="284" spans="1:9">
      <c r="A284" s="3680">
        <v>1</v>
      </c>
      <c r="B284" s="3676" t="s">
        <v>3791</v>
      </c>
      <c r="C284" s="3676" t="s">
        <v>3792</v>
      </c>
      <c r="D284" s="3678" t="s">
        <v>3525</v>
      </c>
      <c r="E284" s="3511">
        <v>101</v>
      </c>
      <c r="F284" s="3526">
        <v>244.44</v>
      </c>
      <c r="G284" s="3511">
        <v>39.659999999999997</v>
      </c>
      <c r="H284" s="3516" t="s">
        <v>673</v>
      </c>
      <c r="I284" s="3555">
        <f ca="1">典型户型修正!S44</f>
        <v>1106</v>
      </c>
    </row>
    <row r="285" spans="1:9">
      <c r="A285" s="3681"/>
      <c r="B285" s="3677"/>
      <c r="C285" s="3677"/>
      <c r="D285" s="3679"/>
      <c r="E285" s="3511">
        <v>102</v>
      </c>
      <c r="F285" s="3526">
        <v>144.12</v>
      </c>
      <c r="G285" s="3511">
        <v>23.39</v>
      </c>
      <c r="H285" s="3516" t="s">
        <v>673</v>
      </c>
      <c r="I285" s="3555">
        <f ca="1">典型户型修正!S45</f>
        <v>659</v>
      </c>
    </row>
    <row r="286" spans="1:9">
      <c r="A286" s="3681"/>
      <c r="B286" s="3677"/>
      <c r="C286" s="3677"/>
      <c r="D286" s="3679"/>
      <c r="E286" s="3511">
        <v>103</v>
      </c>
      <c r="F286" s="3526">
        <v>263.58</v>
      </c>
      <c r="G286" s="3511">
        <v>42.75</v>
      </c>
      <c r="H286" s="3516" t="s">
        <v>673</v>
      </c>
      <c r="I286" s="3555">
        <f ca="1">典型户型修正!S46</f>
        <v>1193</v>
      </c>
    </row>
    <row r="287" spans="1:9">
      <c r="A287" s="3681"/>
      <c r="B287" s="3677"/>
      <c r="C287" s="3677"/>
      <c r="D287" s="3679"/>
      <c r="E287" s="3511">
        <v>201</v>
      </c>
      <c r="F287" s="3526">
        <v>781.63</v>
      </c>
      <c r="G287" s="3511">
        <v>126.8</v>
      </c>
      <c r="H287" s="3516" t="s">
        <v>673</v>
      </c>
      <c r="I287" s="3555">
        <f ca="1">典型户型修正!S47</f>
        <v>2600</v>
      </c>
    </row>
    <row r="288" spans="1:9">
      <c r="A288" s="3681"/>
      <c r="B288" s="3677"/>
      <c r="C288" s="3677"/>
      <c r="D288" s="3679"/>
      <c r="E288" s="3511">
        <v>301</v>
      </c>
      <c r="F288" s="3526">
        <v>1349.46</v>
      </c>
      <c r="G288" s="3511">
        <v>218.89</v>
      </c>
      <c r="H288" s="3516" t="s">
        <v>21</v>
      </c>
      <c r="I288" s="3555">
        <f ca="1">典型户型修正办!S49</f>
        <v>3665</v>
      </c>
    </row>
    <row r="289" spans="1:9">
      <c r="A289" s="3681"/>
      <c r="B289" s="3677"/>
      <c r="C289" s="3677"/>
      <c r="D289" s="3679"/>
      <c r="E289" s="3511">
        <v>401</v>
      </c>
      <c r="F289" s="3526">
        <v>1349.46</v>
      </c>
      <c r="G289" s="3511">
        <v>218.89</v>
      </c>
      <c r="H289" s="3516" t="s">
        <v>21</v>
      </c>
      <c r="I289" s="3555">
        <f ca="1">典型户型修正办!S50</f>
        <v>3665</v>
      </c>
    </row>
    <row r="290" spans="1:9">
      <c r="A290" s="3681"/>
      <c r="B290" s="3677"/>
      <c r="C290" s="3677"/>
      <c r="D290" s="3679"/>
      <c r="E290" s="3511">
        <v>501</v>
      </c>
      <c r="F290" s="3526">
        <v>1349.46</v>
      </c>
      <c r="G290" s="3511">
        <v>218.89</v>
      </c>
      <c r="H290" s="3516" t="s">
        <v>21</v>
      </c>
      <c r="I290" s="3555">
        <f ca="1">典型户型修正办!S51</f>
        <v>3665</v>
      </c>
    </row>
    <row r="291" spans="1:9">
      <c r="A291" s="3681"/>
      <c r="B291" s="3677"/>
      <c r="C291" s="3677"/>
      <c r="D291" s="3679"/>
      <c r="E291" s="3511">
        <v>601</v>
      </c>
      <c r="F291" s="3526">
        <v>1349.46</v>
      </c>
      <c r="G291" s="3511">
        <v>218.89</v>
      </c>
      <c r="H291" s="3516" t="s">
        <v>21</v>
      </c>
      <c r="I291" s="3555">
        <f ca="1">典型户型修正办!S52</f>
        <v>3665</v>
      </c>
    </row>
    <row r="292" spans="1:9">
      <c r="A292" s="3681"/>
      <c r="B292" s="3677"/>
      <c r="C292" s="3677"/>
      <c r="D292" s="3679"/>
      <c r="E292" s="3511">
        <v>701</v>
      </c>
      <c r="F292" s="3526">
        <v>1349.46</v>
      </c>
      <c r="G292" s="3511">
        <v>218.89</v>
      </c>
      <c r="H292" s="3516" t="s">
        <v>21</v>
      </c>
      <c r="I292" s="3555">
        <f ca="1">典型户型修正办!S53</f>
        <v>3665</v>
      </c>
    </row>
    <row r="293" spans="1:9">
      <c r="A293" s="3681"/>
      <c r="B293" s="3677"/>
      <c r="C293" s="3677"/>
      <c r="D293" s="3679"/>
      <c r="E293" s="3505">
        <v>801</v>
      </c>
      <c r="F293" s="3518">
        <v>1349.46</v>
      </c>
      <c r="G293" s="3511">
        <v>218.89</v>
      </c>
      <c r="H293" s="3516" t="s">
        <v>21</v>
      </c>
      <c r="I293" s="3555">
        <f ca="1">典型户型修正办!S54</f>
        <v>3775</v>
      </c>
    </row>
    <row r="294" spans="1:9">
      <c r="A294" s="3681"/>
      <c r="B294" s="3677"/>
      <c r="C294" s="3677"/>
      <c r="D294" s="3679"/>
      <c r="E294" s="3505">
        <v>901</v>
      </c>
      <c r="F294" s="3518">
        <v>1349.46</v>
      </c>
      <c r="G294" s="3511">
        <v>218.89</v>
      </c>
      <c r="H294" s="3516" t="s">
        <v>21</v>
      </c>
      <c r="I294" s="3555">
        <f ca="1">典型户型修正办!S55</f>
        <v>3775</v>
      </c>
    </row>
    <row r="295" spans="1:9">
      <c r="A295" s="3682"/>
      <c r="B295" s="3683"/>
      <c r="C295" s="3683"/>
      <c r="D295" s="3684"/>
      <c r="E295" s="3505">
        <v>1001</v>
      </c>
      <c r="F295" s="3518">
        <v>1349.46</v>
      </c>
      <c r="G295" s="3511">
        <v>218.89</v>
      </c>
      <c r="H295" s="3516" t="s">
        <v>21</v>
      </c>
      <c r="I295" s="3555">
        <f ca="1">典型户型修正办!S56</f>
        <v>3775</v>
      </c>
    </row>
    <row r="296" spans="1:9">
      <c r="A296" s="3667" t="s">
        <v>3526</v>
      </c>
      <c r="B296" s="3667"/>
      <c r="C296" s="3667"/>
      <c r="D296" s="3667"/>
      <c r="E296" s="3667"/>
      <c r="F296" s="3523">
        <f>SUM(F284:F295)</f>
        <v>12229.45</v>
      </c>
      <c r="G296" s="3466">
        <f>SUM(G284:G295)</f>
        <v>1983.7199999999993</v>
      </c>
      <c r="H296" s="3506"/>
      <c r="I296" s="3523">
        <f ca="1">SUM(I284:I295)</f>
        <v>35208</v>
      </c>
    </row>
    <row r="297" spans="1:9" s="3472" customFormat="1">
      <c r="A297" s="3680">
        <v>2</v>
      </c>
      <c r="B297" s="3676" t="s">
        <v>3793</v>
      </c>
      <c r="C297" s="3676" t="s">
        <v>3794</v>
      </c>
      <c r="D297" s="3678" t="s">
        <v>3445</v>
      </c>
      <c r="E297" s="3511" t="s">
        <v>3534</v>
      </c>
      <c r="F297" s="3526">
        <v>327.87</v>
      </c>
      <c r="G297" s="3511">
        <v>53.18</v>
      </c>
      <c r="H297" s="3516" t="s">
        <v>21</v>
      </c>
      <c r="I297" s="3555">
        <f ca="1">典型户型修正办!S58</f>
        <v>899</v>
      </c>
    </row>
    <row r="298" spans="1:9" s="3472" customFormat="1">
      <c r="A298" s="3681"/>
      <c r="B298" s="3677"/>
      <c r="C298" s="3677"/>
      <c r="D298" s="3679"/>
      <c r="E298" s="3511" t="s">
        <v>3795</v>
      </c>
      <c r="F298" s="3526">
        <v>333.93</v>
      </c>
      <c r="G298" s="3511">
        <v>54.17</v>
      </c>
      <c r="H298" s="3516" t="s">
        <v>21</v>
      </c>
      <c r="I298" s="3555">
        <f ca="1">典型户型修正办!S59</f>
        <v>916</v>
      </c>
    </row>
    <row r="299" spans="1:9" s="3472" customFormat="1">
      <c r="A299" s="3681"/>
      <c r="B299" s="3677"/>
      <c r="C299" s="3677"/>
      <c r="D299" s="3679"/>
      <c r="E299" s="3511" t="s">
        <v>3796</v>
      </c>
      <c r="F299" s="3526">
        <v>1402.63</v>
      </c>
      <c r="G299" s="3511">
        <v>227.52</v>
      </c>
      <c r="H299" s="3516" t="s">
        <v>21</v>
      </c>
      <c r="I299" s="3555">
        <f ca="1">典型户型修正办!S60</f>
        <v>3809</v>
      </c>
    </row>
    <row r="300" spans="1:9" s="3472" customFormat="1">
      <c r="A300" s="3681"/>
      <c r="B300" s="3677"/>
      <c r="C300" s="3677"/>
      <c r="D300" s="3679"/>
      <c r="E300" s="3511" t="s">
        <v>3535</v>
      </c>
      <c r="F300" s="3526">
        <v>1637.57</v>
      </c>
      <c r="G300" s="3511">
        <v>265.63</v>
      </c>
      <c r="H300" s="3516" t="s">
        <v>21</v>
      </c>
      <c r="I300" s="3555">
        <f ca="1">典型户型修正办!S61</f>
        <v>4425</v>
      </c>
    </row>
    <row r="301" spans="1:9" s="3472" customFormat="1">
      <c r="A301" s="3681"/>
      <c r="B301" s="3677"/>
      <c r="C301" s="3677"/>
      <c r="D301" s="3679"/>
      <c r="E301" s="3511" t="s">
        <v>3536</v>
      </c>
      <c r="F301" s="3526">
        <v>1717.47</v>
      </c>
      <c r="G301" s="3511">
        <v>278.58999999999997</v>
      </c>
      <c r="H301" s="3516" t="s">
        <v>21</v>
      </c>
      <c r="I301" s="3555">
        <f ca="1">典型户型修正办!S62</f>
        <v>4641</v>
      </c>
    </row>
    <row r="302" spans="1:9" s="3472" customFormat="1">
      <c r="A302" s="3681"/>
      <c r="B302" s="3677"/>
      <c r="C302" s="3677"/>
      <c r="D302" s="3679"/>
      <c r="E302" s="3511" t="s">
        <v>3537</v>
      </c>
      <c r="F302" s="3526">
        <v>1717.47</v>
      </c>
      <c r="G302" s="3511">
        <v>278.58999999999997</v>
      </c>
      <c r="H302" s="3516" t="s">
        <v>21</v>
      </c>
      <c r="I302" s="3555">
        <f ca="1">典型户型修正办!S63</f>
        <v>4641</v>
      </c>
    </row>
    <row r="303" spans="1:9" s="3472" customFormat="1">
      <c r="A303" s="3681"/>
      <c r="B303" s="3677"/>
      <c r="C303" s="3677"/>
      <c r="D303" s="3679"/>
      <c r="E303" s="3511" t="s">
        <v>3538</v>
      </c>
      <c r="F303" s="3526">
        <v>1717.47</v>
      </c>
      <c r="G303" s="3511">
        <v>278.58999999999997</v>
      </c>
      <c r="H303" s="3516" t="s">
        <v>21</v>
      </c>
      <c r="I303" s="3555">
        <f ca="1">典型户型修正办!S64</f>
        <v>4780</v>
      </c>
    </row>
    <row r="304" spans="1:9" s="3472" customFormat="1">
      <c r="A304" s="3681"/>
      <c r="B304" s="3677"/>
      <c r="C304" s="3677"/>
      <c r="D304" s="3679"/>
      <c r="E304" s="3511" t="s">
        <v>3539</v>
      </c>
      <c r="F304" s="3526">
        <v>1717.47</v>
      </c>
      <c r="G304" s="3511">
        <v>278.58999999999997</v>
      </c>
      <c r="H304" s="3516" t="s">
        <v>21</v>
      </c>
      <c r="I304" s="3555">
        <f ca="1">典型户型修正办!S65</f>
        <v>4780</v>
      </c>
    </row>
    <row r="305" spans="1:9" s="3472" customFormat="1">
      <c r="A305" s="3681"/>
      <c r="B305" s="3677"/>
      <c r="C305" s="3677"/>
      <c r="D305" s="3679"/>
      <c r="E305" s="3511" t="s">
        <v>3797</v>
      </c>
      <c r="F305" s="3526">
        <v>1717.47</v>
      </c>
      <c r="G305" s="3511">
        <v>278.58999999999997</v>
      </c>
      <c r="H305" s="3516" t="s">
        <v>21</v>
      </c>
      <c r="I305" s="3555">
        <f ca="1">典型户型修正办!S66</f>
        <v>4780</v>
      </c>
    </row>
    <row r="306" spans="1:9" s="3472" customFormat="1">
      <c r="A306" s="3681"/>
      <c r="B306" s="3677"/>
      <c r="C306" s="3677"/>
      <c r="D306" s="3679"/>
      <c r="E306" s="3511" t="s">
        <v>3798</v>
      </c>
      <c r="F306" s="3526">
        <v>1717.47</v>
      </c>
      <c r="G306" s="3511">
        <v>278.58999999999997</v>
      </c>
      <c r="H306" s="3516" t="s">
        <v>21</v>
      </c>
      <c r="I306" s="3555">
        <f ca="1">典型户型修正办!S67</f>
        <v>4780</v>
      </c>
    </row>
    <row r="307" spans="1:9" s="3472" customFormat="1">
      <c r="A307" s="3681"/>
      <c r="B307" s="3677"/>
      <c r="C307" s="3677"/>
      <c r="D307" s="3679"/>
      <c r="E307" s="3511" t="s">
        <v>3799</v>
      </c>
      <c r="F307" s="3526">
        <v>1717.47</v>
      </c>
      <c r="G307" s="3511">
        <v>278.58999999999997</v>
      </c>
      <c r="H307" s="3516" t="s">
        <v>21</v>
      </c>
      <c r="I307" s="3555">
        <f ca="1">典型户型修正办!S68</f>
        <v>4780</v>
      </c>
    </row>
    <row r="308" spans="1:9" s="3472" customFormat="1">
      <c r="A308" s="3681"/>
      <c r="B308" s="3677"/>
      <c r="C308" s="3677"/>
      <c r="D308" s="3679"/>
      <c r="E308" s="3511" t="s">
        <v>3800</v>
      </c>
      <c r="F308" s="3526">
        <v>1717.47</v>
      </c>
      <c r="G308" s="3511">
        <v>278.58999999999997</v>
      </c>
      <c r="H308" s="3516" t="s">
        <v>21</v>
      </c>
      <c r="I308" s="3555">
        <f ca="1">典型户型修正办!S69</f>
        <v>4780</v>
      </c>
    </row>
    <row r="309" spans="1:9" s="3472" customFormat="1">
      <c r="A309" s="3681"/>
      <c r="B309" s="3677"/>
      <c r="C309" s="3677"/>
      <c r="D309" s="3679"/>
      <c r="E309" s="3511" t="s">
        <v>3801</v>
      </c>
      <c r="F309" s="3526">
        <v>1717.47</v>
      </c>
      <c r="G309" s="3511">
        <v>278.58999999999997</v>
      </c>
      <c r="H309" s="3516" t="s">
        <v>21</v>
      </c>
      <c r="I309" s="3555">
        <f ca="1">典型户型修正办!S70</f>
        <v>4920</v>
      </c>
    </row>
    <row r="310" spans="1:9" s="3472" customFormat="1">
      <c r="A310" s="3681"/>
      <c r="B310" s="3677"/>
      <c r="C310" s="3677"/>
      <c r="D310" s="3679"/>
      <c r="E310" s="3511" t="s">
        <v>3802</v>
      </c>
      <c r="F310" s="3526">
        <v>1007.74</v>
      </c>
      <c r="G310" s="3511">
        <v>163.46</v>
      </c>
      <c r="H310" s="3516" t="s">
        <v>21</v>
      </c>
      <c r="I310" s="3555">
        <f ca="1">典型户型修正办!S71</f>
        <v>2901</v>
      </c>
    </row>
    <row r="311" spans="1:9" s="3472" customFormat="1">
      <c r="A311" s="3681"/>
      <c r="B311" s="3677"/>
      <c r="C311" s="3677"/>
      <c r="D311" s="3679"/>
      <c r="E311" s="3511" t="s">
        <v>3803</v>
      </c>
      <c r="F311" s="3526">
        <v>1007.74</v>
      </c>
      <c r="G311" s="3511">
        <v>163.46</v>
      </c>
      <c r="H311" s="3516" t="s">
        <v>21</v>
      </c>
      <c r="I311" s="3555">
        <f ca="1">典型户型修正办!S72</f>
        <v>2901</v>
      </c>
    </row>
    <row r="312" spans="1:9" s="3472" customFormat="1">
      <c r="A312" s="3681"/>
      <c r="B312" s="3677"/>
      <c r="C312" s="3677"/>
      <c r="D312" s="3679"/>
      <c r="E312" s="3511" t="s">
        <v>3804</v>
      </c>
      <c r="F312" s="3526">
        <v>1717.47</v>
      </c>
      <c r="G312" s="3511">
        <v>278.58999999999997</v>
      </c>
      <c r="H312" s="3516" t="s">
        <v>21</v>
      </c>
      <c r="I312" s="3555">
        <f ca="1">典型户型修正办!S73</f>
        <v>4920</v>
      </c>
    </row>
    <row r="313" spans="1:9" s="3472" customFormat="1">
      <c r="A313" s="3681"/>
      <c r="B313" s="3677"/>
      <c r="C313" s="3677"/>
      <c r="D313" s="3679"/>
      <c r="E313" s="3511" t="s">
        <v>3805</v>
      </c>
      <c r="F313" s="3526">
        <v>1717.47</v>
      </c>
      <c r="G313" s="3511">
        <v>278.58999999999997</v>
      </c>
      <c r="H313" s="3516" t="s">
        <v>21</v>
      </c>
      <c r="I313" s="3555">
        <f ca="1">典型户型修正办!S74</f>
        <v>4920</v>
      </c>
    </row>
    <row r="314" spans="1:9" s="3472" customFormat="1">
      <c r="A314" s="3681"/>
      <c r="B314" s="3677"/>
      <c r="C314" s="3677"/>
      <c r="D314" s="3679"/>
      <c r="E314" s="3511" t="s">
        <v>3806</v>
      </c>
      <c r="F314" s="3526">
        <v>1717.47</v>
      </c>
      <c r="G314" s="3511">
        <v>278.58999999999997</v>
      </c>
      <c r="H314" s="3516" t="s">
        <v>21</v>
      </c>
      <c r="I314" s="3555">
        <f ca="1">典型户型修正办!S75</f>
        <v>4920</v>
      </c>
    </row>
    <row r="315" spans="1:9" s="3472" customFormat="1">
      <c r="A315" s="3681"/>
      <c r="B315" s="3677"/>
      <c r="C315" s="3677"/>
      <c r="D315" s="3679"/>
      <c r="E315" s="3517" t="s">
        <v>3807</v>
      </c>
      <c r="F315" s="3526">
        <v>1909.09</v>
      </c>
      <c r="G315" s="3511">
        <v>309.67</v>
      </c>
      <c r="H315" s="3516" t="s">
        <v>21</v>
      </c>
      <c r="I315" s="3555">
        <f ca="1">典型户型修正办!S76</f>
        <v>5159</v>
      </c>
    </row>
    <row r="316" spans="1:9" s="3472" customFormat="1">
      <c r="A316" s="3681"/>
      <c r="B316" s="3677"/>
      <c r="C316" s="3677"/>
      <c r="D316" s="3679"/>
      <c r="E316" s="3517" t="s">
        <v>3808</v>
      </c>
      <c r="F316" s="3526">
        <v>2123.52</v>
      </c>
      <c r="G316" s="3511">
        <v>344.45</v>
      </c>
      <c r="H316" s="3516" t="s">
        <v>21</v>
      </c>
      <c r="I316" s="3555">
        <f ca="1">典型户型修正办!S77</f>
        <v>5709</v>
      </c>
    </row>
    <row r="317" spans="1:9" s="3472" customFormat="1">
      <c r="A317" s="3681"/>
      <c r="B317" s="3677"/>
      <c r="C317" s="3677"/>
      <c r="D317" s="3679"/>
      <c r="E317" s="3517" t="s">
        <v>3809</v>
      </c>
      <c r="F317" s="3526">
        <v>2492.4899999999998</v>
      </c>
      <c r="G317" s="3511">
        <v>404.3</v>
      </c>
      <c r="H317" s="3516" t="s">
        <v>21</v>
      </c>
      <c r="I317" s="3555">
        <f ca="1">典型户型修正办!S78</f>
        <v>6701</v>
      </c>
    </row>
    <row r="318" spans="1:9" s="3472" customFormat="1">
      <c r="A318" s="3681"/>
      <c r="B318" s="3677"/>
      <c r="C318" s="3677"/>
      <c r="D318" s="3679"/>
      <c r="E318" s="3517" t="s">
        <v>3810</v>
      </c>
      <c r="F318" s="3526">
        <v>2492.4899999999998</v>
      </c>
      <c r="G318" s="3511">
        <v>404.3</v>
      </c>
      <c r="H318" s="3516" t="s">
        <v>21</v>
      </c>
      <c r="I318" s="3555">
        <f ca="1">典型户型修正办!S79</f>
        <v>6701</v>
      </c>
    </row>
    <row r="319" spans="1:9" s="3472" customFormat="1">
      <c r="A319" s="3681"/>
      <c r="B319" s="3677"/>
      <c r="C319" s="3677"/>
      <c r="D319" s="3679"/>
      <c r="E319" s="3517" t="s">
        <v>3811</v>
      </c>
      <c r="F319" s="3526">
        <v>2492.4899999999998</v>
      </c>
      <c r="G319" s="3511">
        <v>404.3</v>
      </c>
      <c r="H319" s="3516" t="s">
        <v>21</v>
      </c>
      <c r="I319" s="3555">
        <f ca="1">典型户型修正办!S80</f>
        <v>6902</v>
      </c>
    </row>
    <row r="320" spans="1:9" s="3472" customFormat="1">
      <c r="A320" s="3681"/>
      <c r="B320" s="3677"/>
      <c r="C320" s="3677"/>
      <c r="D320" s="3679"/>
      <c r="E320" s="3517" t="s">
        <v>3812</v>
      </c>
      <c r="F320" s="3526">
        <v>2492.4899999999998</v>
      </c>
      <c r="G320" s="3511">
        <v>404.3</v>
      </c>
      <c r="H320" s="3516" t="s">
        <v>21</v>
      </c>
      <c r="I320" s="3555">
        <f ca="1">典型户型修正办!S81</f>
        <v>6902</v>
      </c>
    </row>
    <row r="321" spans="1:9" s="3472" customFormat="1">
      <c r="A321" s="3681"/>
      <c r="B321" s="3677"/>
      <c r="C321" s="3677"/>
      <c r="D321" s="3679"/>
      <c r="E321" s="3511">
        <v>101</v>
      </c>
      <c r="F321" s="3526">
        <v>124.55</v>
      </c>
      <c r="G321" s="3511">
        <v>20.2</v>
      </c>
      <c r="H321" s="3516" t="s">
        <v>673</v>
      </c>
      <c r="I321" s="3555">
        <f ca="1">典型户型修正!S49</f>
        <v>586</v>
      </c>
    </row>
    <row r="322" spans="1:9" s="3472" customFormat="1">
      <c r="A322" s="3681"/>
      <c r="B322" s="3677"/>
      <c r="C322" s="3677"/>
      <c r="D322" s="3679"/>
      <c r="E322" s="3511">
        <v>102</v>
      </c>
      <c r="F322" s="3526">
        <v>162.38999999999999</v>
      </c>
      <c r="G322" s="3511">
        <v>26.34</v>
      </c>
      <c r="H322" s="3516" t="s">
        <v>673</v>
      </c>
      <c r="I322" s="3555">
        <f ca="1">典型户型修正!S50</f>
        <v>764</v>
      </c>
    </row>
    <row r="323" spans="1:9" s="3472" customFormat="1">
      <c r="A323" s="3681"/>
      <c r="B323" s="3677"/>
      <c r="C323" s="3677"/>
      <c r="D323" s="3679"/>
      <c r="E323" s="3511">
        <v>103</v>
      </c>
      <c r="F323" s="3526">
        <v>358.27</v>
      </c>
      <c r="G323" s="3511">
        <v>58.11</v>
      </c>
      <c r="H323" s="3516" t="s">
        <v>673</v>
      </c>
      <c r="I323" s="3555">
        <f ca="1">典型户型修正!S51</f>
        <v>1653</v>
      </c>
    </row>
    <row r="324" spans="1:9" s="3472" customFormat="1">
      <c r="A324" s="3681"/>
      <c r="B324" s="3677"/>
      <c r="C324" s="3677"/>
      <c r="D324" s="3679"/>
      <c r="E324" s="3511">
        <v>104</v>
      </c>
      <c r="F324" s="3526">
        <v>485.46</v>
      </c>
      <c r="G324" s="3511">
        <v>78.760000000000005</v>
      </c>
      <c r="H324" s="3516" t="s">
        <v>673</v>
      </c>
      <c r="I324" s="3555">
        <f ca="1">典型户型修正!S52</f>
        <v>2240</v>
      </c>
    </row>
    <row r="325" spans="1:9" s="3472" customFormat="1">
      <c r="A325" s="3681"/>
      <c r="B325" s="3677"/>
      <c r="C325" s="3677"/>
      <c r="D325" s="3679"/>
      <c r="E325" s="3511">
        <v>105</v>
      </c>
      <c r="F325" s="3526">
        <v>148.63</v>
      </c>
      <c r="G325" s="3511">
        <v>24.11</v>
      </c>
      <c r="H325" s="3516" t="s">
        <v>673</v>
      </c>
      <c r="I325" s="3555">
        <f ca="1">典型户型修正!S53</f>
        <v>700</v>
      </c>
    </row>
    <row r="326" spans="1:9" s="3472" customFormat="1">
      <c r="A326" s="3681"/>
      <c r="B326" s="3677"/>
      <c r="C326" s="3677"/>
      <c r="D326" s="3679"/>
      <c r="E326" s="3511">
        <v>106</v>
      </c>
      <c r="F326" s="3526">
        <v>361.29</v>
      </c>
      <c r="G326" s="3511">
        <v>58.6</v>
      </c>
      <c r="H326" s="3516" t="s">
        <v>673</v>
      </c>
      <c r="I326" s="3555">
        <f ca="1">典型户型修正!S54</f>
        <v>1667</v>
      </c>
    </row>
    <row r="327" spans="1:9" s="3472" customFormat="1">
      <c r="A327" s="3681"/>
      <c r="B327" s="3677"/>
      <c r="C327" s="3677"/>
      <c r="D327" s="3679"/>
      <c r="E327" s="3511">
        <v>107</v>
      </c>
      <c r="F327" s="3526">
        <v>468.37</v>
      </c>
      <c r="G327" s="3511">
        <v>75.97</v>
      </c>
      <c r="H327" s="3516" t="s">
        <v>673</v>
      </c>
      <c r="I327" s="3555">
        <f ca="1">典型户型修正!S55</f>
        <v>2161</v>
      </c>
    </row>
    <row r="328" spans="1:9" s="3472" customFormat="1">
      <c r="A328" s="3681"/>
      <c r="B328" s="3677"/>
      <c r="C328" s="3677"/>
      <c r="D328" s="3679"/>
      <c r="E328" s="3511">
        <v>201</v>
      </c>
      <c r="F328" s="3526">
        <v>142.80000000000001</v>
      </c>
      <c r="G328" s="3511">
        <v>23.16</v>
      </c>
      <c r="H328" s="3516" t="s">
        <v>673</v>
      </c>
      <c r="I328" s="3555">
        <f ca="1">典型户型修正!S56</f>
        <v>504</v>
      </c>
    </row>
    <row r="329" spans="1:9" s="3472" customFormat="1">
      <c r="A329" s="3681"/>
      <c r="B329" s="3677"/>
      <c r="C329" s="3677"/>
      <c r="D329" s="3679"/>
      <c r="E329" s="3511">
        <v>202</v>
      </c>
      <c r="F329" s="3526">
        <v>1603.05</v>
      </c>
      <c r="G329" s="3511">
        <v>260.02999999999997</v>
      </c>
      <c r="H329" s="3516" t="s">
        <v>673</v>
      </c>
      <c r="I329" s="3555">
        <f ca="1">典型户型修正!S57</f>
        <v>5435</v>
      </c>
    </row>
    <row r="330" spans="1:9" s="3472" customFormat="1">
      <c r="A330" s="3682"/>
      <c r="B330" s="3683"/>
      <c r="C330" s="3683"/>
      <c r="D330" s="3684"/>
      <c r="E330" s="3511">
        <v>203</v>
      </c>
      <c r="F330" s="3526">
        <v>1275.1400000000001</v>
      </c>
      <c r="G330" s="3511">
        <v>206.85</v>
      </c>
      <c r="H330" s="3516" t="s">
        <v>673</v>
      </c>
      <c r="I330" s="3555">
        <f ca="1">典型户型修正!S58</f>
        <v>4323</v>
      </c>
    </row>
    <row r="331" spans="1:9">
      <c r="A331" s="3667" t="s">
        <v>3526</v>
      </c>
      <c r="B331" s="3667"/>
      <c r="C331" s="3667"/>
      <c r="D331" s="3667"/>
      <c r="E331" s="3667"/>
      <c r="F331" s="3523">
        <f>SUM(F297:F330)</f>
        <v>45459.640000000007</v>
      </c>
      <c r="G331" s="3466">
        <f>SUM(G297:G330)</f>
        <v>7373.9500000000007</v>
      </c>
      <c r="H331" s="3506"/>
      <c r="I331" s="3523">
        <f ca="1">SUM(I297:I330)</f>
        <v>131600</v>
      </c>
    </row>
    <row r="332" spans="1:9" s="3472" customFormat="1">
      <c r="A332" s="3673">
        <v>4</v>
      </c>
      <c r="B332" s="3676" t="s">
        <v>3813</v>
      </c>
      <c r="C332" s="3676" t="s">
        <v>3814</v>
      </c>
      <c r="D332" s="3678" t="s">
        <v>3532</v>
      </c>
      <c r="E332" s="3505">
        <v>-101</v>
      </c>
      <c r="F332" s="3518">
        <v>103.88</v>
      </c>
      <c r="G332" s="3505">
        <v>16.850000000000001</v>
      </c>
      <c r="H332" s="3516" t="s">
        <v>673</v>
      </c>
      <c r="I332" s="3555">
        <f ca="1">典型户型修正!S60</f>
        <v>216</v>
      </c>
    </row>
    <row r="333" spans="1:9" s="3472" customFormat="1">
      <c r="A333" s="3674"/>
      <c r="B333" s="3677"/>
      <c r="C333" s="3677"/>
      <c r="D333" s="3679"/>
      <c r="E333" s="3505">
        <v>-102</v>
      </c>
      <c r="F333" s="3518">
        <v>161.09</v>
      </c>
      <c r="G333" s="3505">
        <v>26.13</v>
      </c>
      <c r="H333" s="3516" t="s">
        <v>673</v>
      </c>
      <c r="I333" s="3555">
        <f ca="1">典型户型修正!S61</f>
        <v>336</v>
      </c>
    </row>
    <row r="334" spans="1:9" s="3472" customFormat="1">
      <c r="A334" s="3674"/>
      <c r="B334" s="3677"/>
      <c r="C334" s="3677"/>
      <c r="D334" s="3679"/>
      <c r="E334" s="3505">
        <v>-103</v>
      </c>
      <c r="F334" s="3518">
        <v>166.84</v>
      </c>
      <c r="G334" s="3505">
        <v>27.06</v>
      </c>
      <c r="H334" s="3516" t="s">
        <v>673</v>
      </c>
      <c r="I334" s="3555">
        <f ca="1">典型户型修正!S62</f>
        <v>348</v>
      </c>
    </row>
    <row r="335" spans="1:9" s="3472" customFormat="1">
      <c r="A335" s="3674"/>
      <c r="B335" s="3677"/>
      <c r="C335" s="3677"/>
      <c r="D335" s="3679"/>
      <c r="E335" s="3505">
        <v>-104</v>
      </c>
      <c r="F335" s="3518">
        <v>209.67</v>
      </c>
      <c r="G335" s="3505">
        <v>34.01</v>
      </c>
      <c r="H335" s="3516" t="s">
        <v>673</v>
      </c>
      <c r="I335" s="3555">
        <f ca="1">典型户型修正!S63</f>
        <v>433</v>
      </c>
    </row>
    <row r="336" spans="1:9" s="3472" customFormat="1">
      <c r="A336" s="3674"/>
      <c r="B336" s="3677"/>
      <c r="C336" s="3677"/>
      <c r="D336" s="3679"/>
      <c r="E336" s="3505">
        <v>-105</v>
      </c>
      <c r="F336" s="3518">
        <v>509.5</v>
      </c>
      <c r="G336" s="3505">
        <v>82.65</v>
      </c>
      <c r="H336" s="3516" t="s">
        <v>673</v>
      </c>
      <c r="I336" s="3555">
        <f ca="1">典型户型修正!S64</f>
        <v>1030</v>
      </c>
    </row>
    <row r="337" spans="1:9" s="3472" customFormat="1">
      <c r="A337" s="3674"/>
      <c r="B337" s="3677"/>
      <c r="C337" s="3677"/>
      <c r="D337" s="3679"/>
      <c r="E337" s="3505">
        <v>-106</v>
      </c>
      <c r="F337" s="3518">
        <v>185.51</v>
      </c>
      <c r="G337" s="3505">
        <v>30.09</v>
      </c>
      <c r="H337" s="3516" t="s">
        <v>673</v>
      </c>
      <c r="I337" s="3555">
        <f ca="1">典型户型修正!S65</f>
        <v>387</v>
      </c>
    </row>
    <row r="338" spans="1:9" s="3472" customFormat="1">
      <c r="A338" s="3674"/>
      <c r="B338" s="3677"/>
      <c r="C338" s="3677"/>
      <c r="D338" s="3679"/>
      <c r="E338" s="3505">
        <v>-107</v>
      </c>
      <c r="F338" s="3518">
        <v>243.06</v>
      </c>
      <c r="G338" s="3505">
        <v>39.43</v>
      </c>
      <c r="H338" s="3516" t="s">
        <v>673</v>
      </c>
      <c r="I338" s="3555">
        <f ca="1">典型户型修正!S66</f>
        <v>501</v>
      </c>
    </row>
    <row r="339" spans="1:9" s="3472" customFormat="1">
      <c r="A339" s="3674"/>
      <c r="B339" s="3677"/>
      <c r="C339" s="3677"/>
      <c r="D339" s="3679"/>
      <c r="E339" s="3511">
        <v>101</v>
      </c>
      <c r="F339" s="3526">
        <v>327.32</v>
      </c>
      <c r="G339" s="3505">
        <v>53.09</v>
      </c>
      <c r="H339" s="3516" t="s">
        <v>673</v>
      </c>
      <c r="I339" s="3555">
        <f ca="1">典型户型修正!S67</f>
        <v>1380</v>
      </c>
    </row>
    <row r="340" spans="1:9" s="3472" customFormat="1">
      <c r="A340" s="3674"/>
      <c r="B340" s="3677"/>
      <c r="C340" s="3677"/>
      <c r="D340" s="3679"/>
      <c r="E340" s="3511">
        <v>102</v>
      </c>
      <c r="F340" s="3526">
        <v>138.91999999999999</v>
      </c>
      <c r="G340" s="3505">
        <v>22.53</v>
      </c>
      <c r="H340" s="3516" t="s">
        <v>673</v>
      </c>
      <c r="I340" s="3555">
        <f ca="1">典型户型修正!S68</f>
        <v>597</v>
      </c>
    </row>
    <row r="341" spans="1:9" s="3472" customFormat="1">
      <c r="A341" s="3675"/>
      <c r="B341" s="3677"/>
      <c r="C341" s="3677"/>
      <c r="D341" s="3679"/>
      <c r="E341" s="3511">
        <v>103</v>
      </c>
      <c r="F341" s="3526">
        <v>329.32</v>
      </c>
      <c r="G341" s="3505">
        <v>53.42</v>
      </c>
      <c r="H341" s="3516" t="s">
        <v>673</v>
      </c>
      <c r="I341" s="3555">
        <f ca="1">典型户型修正!S69</f>
        <v>1388</v>
      </c>
    </row>
    <row r="342" spans="1:9" s="3472" customFormat="1">
      <c r="A342" s="3667" t="s">
        <v>3526</v>
      </c>
      <c r="B342" s="3667"/>
      <c r="C342" s="3667"/>
      <c r="D342" s="3667"/>
      <c r="E342" s="3667"/>
      <c r="F342" s="3523">
        <f>SUM(F332:F341)</f>
        <v>2375.11</v>
      </c>
      <c r="G342" s="3466">
        <f>SUM(G332:G341)</f>
        <v>385.26000000000005</v>
      </c>
      <c r="H342" s="3506"/>
      <c r="I342" s="3523">
        <f ca="1">SUM(I332:I341)</f>
        <v>6616</v>
      </c>
    </row>
    <row r="343" spans="1:9" s="3472" customFormat="1">
      <c r="A343" s="3673">
        <v>6</v>
      </c>
      <c r="B343" s="3676" t="s">
        <v>3815</v>
      </c>
      <c r="C343" s="3676" t="s">
        <v>3816</v>
      </c>
      <c r="D343" s="3678" t="s">
        <v>3817</v>
      </c>
      <c r="E343" s="3511">
        <v>101</v>
      </c>
      <c r="F343" s="3524">
        <v>207.6</v>
      </c>
      <c r="G343" s="3471">
        <v>33.659999999999997</v>
      </c>
      <c r="H343" s="3516" t="s">
        <v>673</v>
      </c>
      <c r="I343" s="3555">
        <f ca="1">典型户型修正!S71</f>
        <v>939</v>
      </c>
    </row>
    <row r="344" spans="1:9" s="3472" customFormat="1">
      <c r="A344" s="3674"/>
      <c r="B344" s="3677"/>
      <c r="C344" s="3677"/>
      <c r="D344" s="3679"/>
      <c r="E344" s="3511">
        <v>102</v>
      </c>
      <c r="F344" s="3524">
        <v>507.89</v>
      </c>
      <c r="G344" s="3471">
        <v>82.38</v>
      </c>
      <c r="H344" s="3516" t="s">
        <v>673</v>
      </c>
      <c r="I344" s="3555">
        <f ca="1">典型户型修正!S72</f>
        <v>2252</v>
      </c>
    </row>
    <row r="345" spans="1:9" s="3472" customFormat="1">
      <c r="A345" s="3674"/>
      <c r="B345" s="3677"/>
      <c r="C345" s="3677"/>
      <c r="D345" s="3679"/>
      <c r="E345" s="3511">
        <v>201</v>
      </c>
      <c r="F345" s="3524">
        <v>1121.54</v>
      </c>
      <c r="G345" s="3471">
        <v>181.92</v>
      </c>
      <c r="H345" s="3469" t="s">
        <v>21</v>
      </c>
      <c r="I345" s="3561">
        <f ca="1">典型户型修正办!S83</f>
        <v>3046</v>
      </c>
    </row>
    <row r="346" spans="1:9" s="3472" customFormat="1">
      <c r="A346" s="3674"/>
      <c r="B346" s="3677"/>
      <c r="C346" s="3677"/>
      <c r="D346" s="3679"/>
      <c r="E346" s="3511">
        <v>301</v>
      </c>
      <c r="F346" s="3524">
        <v>1517.54</v>
      </c>
      <c r="G346" s="3471">
        <v>246.16</v>
      </c>
      <c r="H346" s="3469" t="s">
        <v>21</v>
      </c>
      <c r="I346" s="3561">
        <f ca="1">典型户型修正办!S84</f>
        <v>4101</v>
      </c>
    </row>
    <row r="347" spans="1:9" s="3472" customFormat="1">
      <c r="A347" s="3674"/>
      <c r="B347" s="3677"/>
      <c r="C347" s="3677"/>
      <c r="D347" s="3679"/>
      <c r="E347" s="3511">
        <v>401</v>
      </c>
      <c r="F347" s="3524">
        <v>1517.54</v>
      </c>
      <c r="G347" s="3471">
        <v>246.16</v>
      </c>
      <c r="H347" s="3469" t="s">
        <v>21</v>
      </c>
      <c r="I347" s="3561">
        <f ca="1">典型户型修正办!S85</f>
        <v>4101</v>
      </c>
    </row>
    <row r="348" spans="1:9" s="3472" customFormat="1">
      <c r="A348" s="3674"/>
      <c r="B348" s="3677"/>
      <c r="C348" s="3677"/>
      <c r="D348" s="3679"/>
      <c r="E348" s="3511">
        <v>501</v>
      </c>
      <c r="F348" s="3524">
        <v>1517.54</v>
      </c>
      <c r="G348" s="3471">
        <v>246.16</v>
      </c>
      <c r="H348" s="3469" t="s">
        <v>21</v>
      </c>
      <c r="I348" s="3561">
        <f ca="1">典型户型修正办!S86</f>
        <v>4101</v>
      </c>
    </row>
    <row r="349" spans="1:9" s="3472" customFormat="1">
      <c r="A349" s="3674"/>
      <c r="B349" s="3677"/>
      <c r="C349" s="3677"/>
      <c r="D349" s="3679"/>
      <c r="E349" s="3511">
        <v>601</v>
      </c>
      <c r="F349" s="3524">
        <v>1517.54</v>
      </c>
      <c r="G349" s="3471">
        <v>246.16</v>
      </c>
      <c r="H349" s="3469" t="s">
        <v>21</v>
      </c>
      <c r="I349" s="3561">
        <f ca="1">典型户型修正办!S87</f>
        <v>4101</v>
      </c>
    </row>
    <row r="350" spans="1:9" s="3472" customFormat="1">
      <c r="A350" s="3674"/>
      <c r="B350" s="3677"/>
      <c r="C350" s="3677"/>
      <c r="D350" s="3679"/>
      <c r="E350" s="3511">
        <v>701</v>
      </c>
      <c r="F350" s="3524">
        <v>1517.54</v>
      </c>
      <c r="G350" s="3471">
        <v>246.16</v>
      </c>
      <c r="H350" s="3469" t="s">
        <v>21</v>
      </c>
      <c r="I350" s="3561">
        <f ca="1">典型户型修正办!S88</f>
        <v>4224</v>
      </c>
    </row>
    <row r="351" spans="1:9" s="3472" customFormat="1">
      <c r="A351" s="3674"/>
      <c r="B351" s="3677"/>
      <c r="C351" s="3677"/>
      <c r="D351" s="3679"/>
      <c r="E351" s="3511">
        <v>801</v>
      </c>
      <c r="F351" s="3524">
        <v>1517.54</v>
      </c>
      <c r="G351" s="3471">
        <v>246.16</v>
      </c>
      <c r="H351" s="3469" t="s">
        <v>21</v>
      </c>
      <c r="I351" s="3561">
        <f ca="1">典型户型修正办!S89</f>
        <v>4224</v>
      </c>
    </row>
    <row r="352" spans="1:9" s="3472" customFormat="1">
      <c r="A352" s="3674"/>
      <c r="B352" s="3677"/>
      <c r="C352" s="3677"/>
      <c r="D352" s="3679"/>
      <c r="E352" s="3511">
        <v>901</v>
      </c>
      <c r="F352" s="3524">
        <v>1517.54</v>
      </c>
      <c r="G352" s="3471">
        <v>246.16</v>
      </c>
      <c r="H352" s="3469" t="s">
        <v>21</v>
      </c>
      <c r="I352" s="3561">
        <f ca="1">典型户型修正办!S90</f>
        <v>4224</v>
      </c>
    </row>
    <row r="353" spans="1:9" s="3472" customFormat="1">
      <c r="A353" s="3674"/>
      <c r="B353" s="3677"/>
      <c r="C353" s="3677"/>
      <c r="D353" s="3679"/>
      <c r="E353" s="3511">
        <v>1001</v>
      </c>
      <c r="F353" s="3524">
        <v>1517.54</v>
      </c>
      <c r="G353" s="3471">
        <v>246.16</v>
      </c>
      <c r="H353" s="3469" t="s">
        <v>21</v>
      </c>
      <c r="I353" s="3561">
        <f ca="1">典型户型修正办!S91</f>
        <v>4224</v>
      </c>
    </row>
    <row r="354" spans="1:9" s="3472" customFormat="1">
      <c r="A354" s="3674"/>
      <c r="B354" s="3677"/>
      <c r="C354" s="3677"/>
      <c r="D354" s="3679"/>
      <c r="E354" s="3511">
        <v>1101</v>
      </c>
      <c r="F354" s="3524">
        <v>1517.54</v>
      </c>
      <c r="G354" s="3471">
        <v>246.16</v>
      </c>
      <c r="H354" s="3469" t="s">
        <v>21</v>
      </c>
      <c r="I354" s="3561">
        <f ca="1">典型户型修正办!S92</f>
        <v>4224</v>
      </c>
    </row>
    <row r="355" spans="1:9" s="3472" customFormat="1">
      <c r="A355" s="3674"/>
      <c r="B355" s="3677"/>
      <c r="C355" s="3677"/>
      <c r="D355" s="3679"/>
      <c r="E355" s="3511">
        <v>1201</v>
      </c>
      <c r="F355" s="3524">
        <v>1517.54</v>
      </c>
      <c r="G355" s="3471">
        <v>246.16</v>
      </c>
      <c r="H355" s="3469" t="s">
        <v>21</v>
      </c>
      <c r="I355" s="3561">
        <f ca="1">典型户型修正办!S93</f>
        <v>4224</v>
      </c>
    </row>
    <row r="356" spans="1:9" s="3472" customFormat="1">
      <c r="A356" s="3674"/>
      <c r="B356" s="3677"/>
      <c r="C356" s="3677"/>
      <c r="D356" s="3679"/>
      <c r="E356" s="3511">
        <v>1301</v>
      </c>
      <c r="F356" s="3524">
        <v>1517.54</v>
      </c>
      <c r="G356" s="3471">
        <v>246.16</v>
      </c>
      <c r="H356" s="3469" t="s">
        <v>21</v>
      </c>
      <c r="I356" s="3561">
        <f ca="1">典型户型修正办!S94</f>
        <v>4347</v>
      </c>
    </row>
    <row r="357" spans="1:9" s="3472" customFormat="1">
      <c r="A357" s="3674"/>
      <c r="B357" s="3677"/>
      <c r="C357" s="3677"/>
      <c r="D357" s="3679"/>
      <c r="E357" s="3511">
        <v>1401</v>
      </c>
      <c r="F357" s="3524">
        <v>1517.54</v>
      </c>
      <c r="G357" s="3471">
        <v>246.16</v>
      </c>
      <c r="H357" s="3469" t="s">
        <v>21</v>
      </c>
      <c r="I357" s="3561">
        <f ca="1">典型户型修正办!S95</f>
        <v>4347</v>
      </c>
    </row>
    <row r="358" spans="1:9" s="3472" customFormat="1">
      <c r="A358" s="3674"/>
      <c r="B358" s="3677"/>
      <c r="C358" s="3677"/>
      <c r="D358" s="3679"/>
      <c r="E358" s="3511">
        <v>1501</v>
      </c>
      <c r="F358" s="3524">
        <v>1429.6</v>
      </c>
      <c r="G358" s="3471">
        <v>231.89</v>
      </c>
      <c r="H358" s="3469" t="s">
        <v>21</v>
      </c>
      <c r="I358" s="3561">
        <f ca="1">典型户型修正办!S96</f>
        <v>4115</v>
      </c>
    </row>
    <row r="359" spans="1:9" s="3472" customFormat="1">
      <c r="A359" s="3674"/>
      <c r="B359" s="3677"/>
      <c r="C359" s="3677"/>
      <c r="D359" s="3679"/>
      <c r="E359" s="3511">
        <v>1601</v>
      </c>
      <c r="F359" s="3524">
        <v>1517.54</v>
      </c>
      <c r="G359" s="3471">
        <v>246.16</v>
      </c>
      <c r="H359" s="3469" t="s">
        <v>21</v>
      </c>
      <c r="I359" s="3561">
        <f ca="1">典型户型修正办!S97</f>
        <v>4347</v>
      </c>
    </row>
    <row r="360" spans="1:9" s="3472" customFormat="1">
      <c r="A360" s="3674"/>
      <c r="B360" s="3677"/>
      <c r="C360" s="3677"/>
      <c r="D360" s="3679"/>
      <c r="E360" s="3511">
        <v>1701</v>
      </c>
      <c r="F360" s="3524">
        <v>1517.54</v>
      </c>
      <c r="G360" s="3471">
        <v>246.16</v>
      </c>
      <c r="H360" s="3469" t="s">
        <v>21</v>
      </c>
      <c r="I360" s="3561">
        <f ca="1">典型户型修正办!S98</f>
        <v>4347</v>
      </c>
    </row>
    <row r="361" spans="1:9" s="3472" customFormat="1">
      <c r="A361" s="3675"/>
      <c r="B361" s="3677"/>
      <c r="C361" s="3677"/>
      <c r="D361" s="3679"/>
      <c r="E361" s="3511">
        <v>1801</v>
      </c>
      <c r="F361" s="3524">
        <v>1517.54</v>
      </c>
      <c r="G361" s="3471">
        <v>246.16</v>
      </c>
      <c r="H361" s="3469" t="s">
        <v>21</v>
      </c>
      <c r="I361" s="3561">
        <f ca="1">典型户型修正办!S99</f>
        <v>4347</v>
      </c>
    </row>
    <row r="362" spans="1:9" s="3472" customFormat="1">
      <c r="A362" s="3667" t="s">
        <v>3526</v>
      </c>
      <c r="B362" s="3667"/>
      <c r="C362" s="3667"/>
      <c r="D362" s="3667"/>
      <c r="E362" s="3667"/>
      <c r="F362" s="3523">
        <f>SUM(F343:F361)</f>
        <v>26029.730000000007</v>
      </c>
      <c r="G362" s="3466">
        <f>SUM(G343:G361)</f>
        <v>4222.2499999999991</v>
      </c>
      <c r="H362" s="3506"/>
      <c r="I362" s="3523">
        <f ca="1">SUM(I343:I361)</f>
        <v>73835</v>
      </c>
    </row>
    <row r="363" spans="1:9" s="3472" customFormat="1">
      <c r="A363" s="3670">
        <v>7</v>
      </c>
      <c r="B363" s="3668" t="s">
        <v>3818</v>
      </c>
      <c r="C363" s="3668" t="s">
        <v>3819</v>
      </c>
      <c r="D363" s="3669" t="s">
        <v>3820</v>
      </c>
      <c r="E363" s="3528">
        <v>-302</v>
      </c>
      <c r="F363" s="3528">
        <v>35.380000000000003</v>
      </c>
      <c r="G363" s="3528">
        <v>5.74</v>
      </c>
      <c r="H363" s="3529" t="s">
        <v>3821</v>
      </c>
      <c r="I363" s="3562"/>
    </row>
    <row r="364" spans="1:9" s="3472" customFormat="1">
      <c r="A364" s="3671"/>
      <c r="B364" s="3668"/>
      <c r="C364" s="3668"/>
      <c r="D364" s="3669"/>
      <c r="E364" s="3511">
        <v>-101</v>
      </c>
      <c r="F364" s="3526">
        <v>165.31</v>
      </c>
      <c r="G364" s="3511">
        <v>26.81</v>
      </c>
      <c r="H364" s="3511" t="s">
        <v>3822</v>
      </c>
      <c r="I364" s="3555">
        <f ca="1">典型户型修正!S74</f>
        <v>344</v>
      </c>
    </row>
    <row r="365" spans="1:9" s="3472" customFormat="1">
      <c r="A365" s="3671"/>
      <c r="B365" s="3668"/>
      <c r="C365" s="3668"/>
      <c r="D365" s="3669"/>
      <c r="E365" s="3511">
        <v>-102</v>
      </c>
      <c r="F365" s="3526">
        <v>157.99</v>
      </c>
      <c r="G365" s="3511">
        <v>25.63</v>
      </c>
      <c r="H365" s="3511" t="s">
        <v>3822</v>
      </c>
      <c r="I365" s="3555">
        <f ca="1">典型户型修正!S75</f>
        <v>329</v>
      </c>
    </row>
    <row r="366" spans="1:9" s="3472" customFormat="1">
      <c r="A366" s="3671"/>
      <c r="B366" s="3668"/>
      <c r="C366" s="3668"/>
      <c r="D366" s="3669"/>
      <c r="E366" s="3511">
        <v>-103</v>
      </c>
      <c r="F366" s="3526">
        <v>170.45</v>
      </c>
      <c r="G366" s="3511">
        <v>27.65</v>
      </c>
      <c r="H366" s="3511" t="s">
        <v>3822</v>
      </c>
      <c r="I366" s="3555">
        <f ca="1">典型户型修正!S76</f>
        <v>355</v>
      </c>
    </row>
    <row r="367" spans="1:9" s="3472" customFormat="1">
      <c r="A367" s="3671"/>
      <c r="B367" s="3668"/>
      <c r="C367" s="3668"/>
      <c r="D367" s="3669"/>
      <c r="E367" s="3511">
        <v>-104</v>
      </c>
      <c r="F367" s="3526">
        <v>183.16</v>
      </c>
      <c r="G367" s="3511">
        <v>29.71</v>
      </c>
      <c r="H367" s="3511" t="s">
        <v>3822</v>
      </c>
      <c r="I367" s="3555">
        <f ca="1">典型户型修正!S77</f>
        <v>382</v>
      </c>
    </row>
    <row r="368" spans="1:9" s="3472" customFormat="1">
      <c r="A368" s="3671"/>
      <c r="B368" s="3668"/>
      <c r="C368" s="3668"/>
      <c r="D368" s="3669"/>
      <c r="E368" s="3511">
        <v>-105</v>
      </c>
      <c r="F368" s="3526">
        <v>176.13</v>
      </c>
      <c r="G368" s="3511">
        <v>28.57</v>
      </c>
      <c r="H368" s="3511" t="s">
        <v>3822</v>
      </c>
      <c r="I368" s="3555">
        <f ca="1">典型户型修正!S78</f>
        <v>367</v>
      </c>
    </row>
    <row r="369" spans="1:9" s="3472" customFormat="1">
      <c r="A369" s="3671"/>
      <c r="B369" s="3668"/>
      <c r="C369" s="3668"/>
      <c r="D369" s="3669"/>
      <c r="E369" s="3511">
        <v>-106</v>
      </c>
      <c r="F369" s="3526">
        <v>255.37</v>
      </c>
      <c r="G369" s="3511">
        <v>41.42</v>
      </c>
      <c r="H369" s="3511" t="s">
        <v>3822</v>
      </c>
      <c r="I369" s="3555">
        <f ca="1">典型户型修正!S79</f>
        <v>527</v>
      </c>
    </row>
    <row r="370" spans="1:9" s="3472" customFormat="1">
      <c r="A370" s="3671"/>
      <c r="B370" s="3668"/>
      <c r="C370" s="3668"/>
      <c r="D370" s="3669"/>
      <c r="E370" s="3511">
        <v>-107</v>
      </c>
      <c r="F370" s="3526">
        <v>228.94</v>
      </c>
      <c r="G370" s="3511">
        <v>37.14</v>
      </c>
      <c r="H370" s="3511" t="s">
        <v>3822</v>
      </c>
      <c r="I370" s="3555">
        <f ca="1">典型户型修正!S80</f>
        <v>472</v>
      </c>
    </row>
    <row r="371" spans="1:9" s="3472" customFormat="1">
      <c r="A371" s="3671"/>
      <c r="B371" s="3668"/>
      <c r="C371" s="3668"/>
      <c r="D371" s="3669"/>
      <c r="E371" s="3511">
        <v>-108</v>
      </c>
      <c r="F371" s="3526">
        <v>408.34</v>
      </c>
      <c r="G371" s="3511">
        <v>66.239999999999995</v>
      </c>
      <c r="H371" s="3511" t="s">
        <v>3822</v>
      </c>
      <c r="I371" s="3555">
        <f ca="1">典型户型修正!S81</f>
        <v>834</v>
      </c>
    </row>
    <row r="372" spans="1:9" s="3472" customFormat="1">
      <c r="A372" s="3671"/>
      <c r="B372" s="3668"/>
      <c r="C372" s="3668"/>
      <c r="D372" s="3669"/>
      <c r="E372" s="3511">
        <v>-109</v>
      </c>
      <c r="F372" s="3526">
        <v>266.61</v>
      </c>
      <c r="G372" s="3511">
        <v>43.25</v>
      </c>
      <c r="H372" s="3511" t="s">
        <v>3822</v>
      </c>
      <c r="I372" s="3555">
        <f ca="1">典型户型修正!S82</f>
        <v>550</v>
      </c>
    </row>
    <row r="373" spans="1:9" s="3472" customFormat="1">
      <c r="A373" s="3671"/>
      <c r="B373" s="3668"/>
      <c r="C373" s="3668"/>
      <c r="D373" s="3669"/>
      <c r="E373" s="3511">
        <v>-110</v>
      </c>
      <c r="F373" s="3526">
        <v>276.13</v>
      </c>
      <c r="G373" s="3511">
        <v>44.79</v>
      </c>
      <c r="H373" s="3511" t="s">
        <v>3822</v>
      </c>
      <c r="I373" s="3555">
        <f ca="1">典型户型修正!S83</f>
        <v>570</v>
      </c>
    </row>
    <row r="374" spans="1:9" s="3472" customFormat="1">
      <c r="A374" s="3671"/>
      <c r="B374" s="3668"/>
      <c r="C374" s="3668"/>
      <c r="D374" s="3669"/>
      <c r="E374" s="3511">
        <v>-111</v>
      </c>
      <c r="F374" s="3526">
        <v>183.98</v>
      </c>
      <c r="G374" s="3511">
        <v>29.84</v>
      </c>
      <c r="H374" s="3511" t="s">
        <v>3822</v>
      </c>
      <c r="I374" s="3555">
        <f ca="1">典型户型修正!S84</f>
        <v>383</v>
      </c>
    </row>
    <row r="375" spans="1:9" s="3472" customFormat="1">
      <c r="A375" s="3671"/>
      <c r="B375" s="3668"/>
      <c r="C375" s="3668"/>
      <c r="D375" s="3669"/>
      <c r="E375" s="3511">
        <v>-112</v>
      </c>
      <c r="F375" s="3526">
        <v>162.04</v>
      </c>
      <c r="G375" s="3511">
        <v>26.28</v>
      </c>
      <c r="H375" s="3511" t="s">
        <v>3822</v>
      </c>
      <c r="I375" s="3555">
        <f ca="1">典型户型修正!S85</f>
        <v>338</v>
      </c>
    </row>
    <row r="376" spans="1:9" s="3472" customFormat="1">
      <c r="A376" s="3671"/>
      <c r="B376" s="3668"/>
      <c r="C376" s="3668"/>
      <c r="D376" s="3669"/>
      <c r="E376" s="3511">
        <v>-113</v>
      </c>
      <c r="F376" s="3526">
        <v>276.98</v>
      </c>
      <c r="G376" s="3511">
        <v>44.93</v>
      </c>
      <c r="H376" s="3511" t="s">
        <v>3822</v>
      </c>
      <c r="I376" s="3555">
        <f ca="1">典型户型修正!S86</f>
        <v>571</v>
      </c>
    </row>
    <row r="377" spans="1:9" s="3472" customFormat="1">
      <c r="A377" s="3671"/>
      <c r="B377" s="3668"/>
      <c r="C377" s="3668"/>
      <c r="D377" s="3669"/>
      <c r="E377" s="3511">
        <v>-114</v>
      </c>
      <c r="F377" s="3526">
        <v>724.45</v>
      </c>
      <c r="G377" s="3511">
        <v>117.51</v>
      </c>
      <c r="H377" s="3511" t="s">
        <v>3822</v>
      </c>
      <c r="I377" s="3555">
        <f ca="1">典型户型修正!S87</f>
        <v>1465</v>
      </c>
    </row>
    <row r="378" spans="1:9" s="3472" customFormat="1">
      <c r="A378" s="3671"/>
      <c r="B378" s="3668"/>
      <c r="C378" s="3668"/>
      <c r="D378" s="3669"/>
      <c r="E378" s="3511">
        <v>-115</v>
      </c>
      <c r="F378" s="3526">
        <v>471.78</v>
      </c>
      <c r="G378" s="3511">
        <v>76.53</v>
      </c>
      <c r="H378" s="3511" t="s">
        <v>3822</v>
      </c>
      <c r="I378" s="3555">
        <f ca="1">典型户型修正!S88</f>
        <v>964</v>
      </c>
    </row>
    <row r="379" spans="1:9" s="3472" customFormat="1">
      <c r="A379" s="3671"/>
      <c r="B379" s="3668"/>
      <c r="C379" s="3668"/>
      <c r="D379" s="3669"/>
      <c r="E379" s="3517" t="s">
        <v>3446</v>
      </c>
      <c r="F379" s="3526">
        <v>40.43</v>
      </c>
      <c r="G379" s="3511">
        <v>6.55</v>
      </c>
      <c r="H379" s="3505" t="s">
        <v>3557</v>
      </c>
      <c r="I379" s="3561">
        <f ca="1">典型户型修正车!S270</f>
        <v>19</v>
      </c>
    </row>
    <row r="380" spans="1:9" s="3472" customFormat="1">
      <c r="A380" s="3671"/>
      <c r="B380" s="3668"/>
      <c r="C380" s="3668"/>
      <c r="D380" s="3669"/>
      <c r="E380" s="3517" t="s">
        <v>3823</v>
      </c>
      <c r="F380" s="3526">
        <v>40.43</v>
      </c>
      <c r="G380" s="3511">
        <v>6.55</v>
      </c>
      <c r="H380" s="3505" t="s">
        <v>3557</v>
      </c>
      <c r="I380" s="3561">
        <f ca="1">典型户型修正车!S271</f>
        <v>19</v>
      </c>
    </row>
    <row r="381" spans="1:9" s="3472" customFormat="1">
      <c r="A381" s="3671"/>
      <c r="B381" s="3668"/>
      <c r="C381" s="3668"/>
      <c r="D381" s="3669"/>
      <c r="E381" s="3517" t="s">
        <v>3449</v>
      </c>
      <c r="F381" s="3526">
        <v>40.43</v>
      </c>
      <c r="G381" s="3511">
        <v>6.55</v>
      </c>
      <c r="H381" s="3505" t="s">
        <v>3557</v>
      </c>
      <c r="I381" s="3561">
        <f ca="1">典型户型修正车!S272</f>
        <v>19</v>
      </c>
    </row>
    <row r="382" spans="1:9" s="3472" customFormat="1">
      <c r="A382" s="3671"/>
      <c r="B382" s="3668"/>
      <c r="C382" s="3668"/>
      <c r="D382" s="3669"/>
      <c r="E382" s="3517" t="s">
        <v>3824</v>
      </c>
      <c r="F382" s="3526">
        <v>68.27</v>
      </c>
      <c r="G382" s="3511">
        <v>11.07</v>
      </c>
      <c r="H382" s="3505" t="s">
        <v>3557</v>
      </c>
      <c r="I382" s="3561">
        <f ca="1">典型户型修正车!S273</f>
        <v>32</v>
      </c>
    </row>
    <row r="383" spans="1:9" s="3472" customFormat="1">
      <c r="A383" s="3671"/>
      <c r="B383" s="3668"/>
      <c r="C383" s="3668"/>
      <c r="D383" s="3669"/>
      <c r="E383" s="3517" t="s">
        <v>3825</v>
      </c>
      <c r="F383" s="3526">
        <v>40.43</v>
      </c>
      <c r="G383" s="3511">
        <v>6.55</v>
      </c>
      <c r="H383" s="3505" t="s">
        <v>3557</v>
      </c>
      <c r="I383" s="3561">
        <f ca="1">典型户型修正车!S274</f>
        <v>19</v>
      </c>
    </row>
    <row r="384" spans="1:9" s="3472" customFormat="1">
      <c r="A384" s="3671"/>
      <c r="B384" s="3668"/>
      <c r="C384" s="3668"/>
      <c r="D384" s="3669"/>
      <c r="E384" s="3517" t="s">
        <v>3826</v>
      </c>
      <c r="F384" s="3526">
        <v>40.43</v>
      </c>
      <c r="G384" s="3511">
        <v>6.55</v>
      </c>
      <c r="H384" s="3505" t="s">
        <v>3557</v>
      </c>
      <c r="I384" s="3561">
        <f ca="1">典型户型修正车!S275</f>
        <v>19</v>
      </c>
    </row>
    <row r="385" spans="1:9" s="3472" customFormat="1">
      <c r="A385" s="3671"/>
      <c r="B385" s="3668"/>
      <c r="C385" s="3668"/>
      <c r="D385" s="3669"/>
      <c r="E385" s="3517" t="s">
        <v>3827</v>
      </c>
      <c r="F385" s="3526">
        <v>40.43</v>
      </c>
      <c r="G385" s="3511">
        <v>6.55</v>
      </c>
      <c r="H385" s="3505" t="s">
        <v>3557</v>
      </c>
      <c r="I385" s="3561">
        <f ca="1">典型户型修正车!S276</f>
        <v>19</v>
      </c>
    </row>
    <row r="386" spans="1:9" s="3472" customFormat="1">
      <c r="A386" s="3671"/>
      <c r="B386" s="3668"/>
      <c r="C386" s="3668"/>
      <c r="D386" s="3669"/>
      <c r="E386" s="3517" t="s">
        <v>3828</v>
      </c>
      <c r="F386" s="3526">
        <v>40.43</v>
      </c>
      <c r="G386" s="3511">
        <v>6.55</v>
      </c>
      <c r="H386" s="3505" t="s">
        <v>3557</v>
      </c>
      <c r="I386" s="3561">
        <f ca="1">典型户型修正车!S277</f>
        <v>19</v>
      </c>
    </row>
    <row r="387" spans="1:9" s="3472" customFormat="1">
      <c r="A387" s="3671"/>
      <c r="B387" s="3668"/>
      <c r="C387" s="3668"/>
      <c r="D387" s="3669"/>
      <c r="E387" s="3517" t="s">
        <v>3829</v>
      </c>
      <c r="F387" s="3526">
        <v>40.43</v>
      </c>
      <c r="G387" s="3511">
        <v>6.55</v>
      </c>
      <c r="H387" s="3505" t="s">
        <v>3557</v>
      </c>
      <c r="I387" s="3561">
        <f ca="1">典型户型修正车!S278</f>
        <v>19</v>
      </c>
    </row>
    <row r="388" spans="1:9" s="3472" customFormat="1">
      <c r="A388" s="3671"/>
      <c r="B388" s="3668"/>
      <c r="C388" s="3668"/>
      <c r="D388" s="3669"/>
      <c r="E388" s="3517" t="s">
        <v>3830</v>
      </c>
      <c r="F388" s="3526">
        <v>40.43</v>
      </c>
      <c r="G388" s="3511">
        <v>6.55</v>
      </c>
      <c r="H388" s="3505" t="s">
        <v>3557</v>
      </c>
      <c r="I388" s="3561">
        <f ca="1">典型户型修正车!S279</f>
        <v>19</v>
      </c>
    </row>
    <row r="389" spans="1:9" s="3472" customFormat="1">
      <c r="A389" s="3671"/>
      <c r="B389" s="3668"/>
      <c r="C389" s="3668"/>
      <c r="D389" s="3669"/>
      <c r="E389" s="3517" t="s">
        <v>3448</v>
      </c>
      <c r="F389" s="3526">
        <v>40.43</v>
      </c>
      <c r="G389" s="3511">
        <v>6.55</v>
      </c>
      <c r="H389" s="3505" t="s">
        <v>3557</v>
      </c>
      <c r="I389" s="3561">
        <f ca="1">典型户型修正车!S280</f>
        <v>19</v>
      </c>
    </row>
    <row r="390" spans="1:9" s="3472" customFormat="1">
      <c r="A390" s="3671"/>
      <c r="B390" s="3668"/>
      <c r="C390" s="3668"/>
      <c r="D390" s="3669"/>
      <c r="E390" s="3517" t="s">
        <v>3831</v>
      </c>
      <c r="F390" s="3526">
        <v>40.43</v>
      </c>
      <c r="G390" s="3511">
        <v>6.55</v>
      </c>
      <c r="H390" s="3505" t="s">
        <v>3557</v>
      </c>
      <c r="I390" s="3561">
        <f ca="1">典型户型修正车!S281</f>
        <v>19</v>
      </c>
    </row>
    <row r="391" spans="1:9" s="3472" customFormat="1">
      <c r="A391" s="3671"/>
      <c r="B391" s="3668"/>
      <c r="C391" s="3668"/>
      <c r="D391" s="3669"/>
      <c r="E391" s="3517" t="s">
        <v>3832</v>
      </c>
      <c r="F391" s="3526">
        <v>40.43</v>
      </c>
      <c r="G391" s="3511">
        <v>6.55</v>
      </c>
      <c r="H391" s="3505" t="s">
        <v>3557</v>
      </c>
      <c r="I391" s="3561">
        <f ca="1">典型户型修正车!S282</f>
        <v>19</v>
      </c>
    </row>
    <row r="392" spans="1:9" s="3472" customFormat="1">
      <c r="A392" s="3671"/>
      <c r="B392" s="3668"/>
      <c r="C392" s="3668"/>
      <c r="D392" s="3669"/>
      <c r="E392" s="3517" t="s">
        <v>3833</v>
      </c>
      <c r="F392" s="3526">
        <v>40.43</v>
      </c>
      <c r="G392" s="3511">
        <v>6.55</v>
      </c>
      <c r="H392" s="3505" t="s">
        <v>3557</v>
      </c>
      <c r="I392" s="3561">
        <f ca="1">典型户型修正车!S283</f>
        <v>19</v>
      </c>
    </row>
    <row r="393" spans="1:9" s="3472" customFormat="1">
      <c r="A393" s="3671"/>
      <c r="B393" s="3668"/>
      <c r="C393" s="3668"/>
      <c r="D393" s="3669"/>
      <c r="E393" s="3517" t="s">
        <v>3834</v>
      </c>
      <c r="F393" s="3526">
        <v>40.43</v>
      </c>
      <c r="G393" s="3511">
        <v>6.55</v>
      </c>
      <c r="H393" s="3505" t="s">
        <v>3557</v>
      </c>
      <c r="I393" s="3561">
        <f ca="1">典型户型修正车!S284</f>
        <v>19</v>
      </c>
    </row>
    <row r="394" spans="1:9" s="3472" customFormat="1">
      <c r="A394" s="3671"/>
      <c r="B394" s="3668"/>
      <c r="C394" s="3668"/>
      <c r="D394" s="3669"/>
      <c r="E394" s="3517" t="s">
        <v>3835</v>
      </c>
      <c r="F394" s="3526">
        <v>40.43</v>
      </c>
      <c r="G394" s="3511">
        <v>6.55</v>
      </c>
      <c r="H394" s="3505" t="s">
        <v>3557</v>
      </c>
      <c r="I394" s="3561">
        <f ca="1">典型户型修正车!S285</f>
        <v>19</v>
      </c>
    </row>
    <row r="395" spans="1:9" s="3472" customFormat="1">
      <c r="A395" s="3671"/>
      <c r="B395" s="3668"/>
      <c r="C395" s="3668"/>
      <c r="D395" s="3669"/>
      <c r="E395" s="3517" t="s">
        <v>3836</v>
      </c>
      <c r="F395" s="3526">
        <v>40.43</v>
      </c>
      <c r="G395" s="3511">
        <v>6.55</v>
      </c>
      <c r="H395" s="3505" t="s">
        <v>3557</v>
      </c>
      <c r="I395" s="3561">
        <f ca="1">典型户型修正车!S286</f>
        <v>19</v>
      </c>
    </row>
    <row r="396" spans="1:9" s="3472" customFormat="1">
      <c r="A396" s="3671"/>
      <c r="B396" s="3668"/>
      <c r="C396" s="3668"/>
      <c r="D396" s="3669"/>
      <c r="E396" s="3517" t="s">
        <v>3837</v>
      </c>
      <c r="F396" s="3526">
        <v>40.43</v>
      </c>
      <c r="G396" s="3511">
        <v>6.55</v>
      </c>
      <c r="H396" s="3505" t="s">
        <v>3557</v>
      </c>
      <c r="I396" s="3561">
        <f ca="1">典型户型修正车!S287</f>
        <v>19</v>
      </c>
    </row>
    <row r="397" spans="1:9" s="3472" customFormat="1">
      <c r="A397" s="3671"/>
      <c r="B397" s="3668"/>
      <c r="C397" s="3668"/>
      <c r="D397" s="3669"/>
      <c r="E397" s="3517" t="s">
        <v>3838</v>
      </c>
      <c r="F397" s="3526">
        <v>40.43</v>
      </c>
      <c r="G397" s="3511">
        <v>6.55</v>
      </c>
      <c r="H397" s="3505" t="s">
        <v>3557</v>
      </c>
      <c r="I397" s="3561">
        <f ca="1">典型户型修正车!S288</f>
        <v>19</v>
      </c>
    </row>
    <row r="398" spans="1:9" s="3472" customFormat="1">
      <c r="A398" s="3671"/>
      <c r="B398" s="3668"/>
      <c r="C398" s="3668"/>
      <c r="D398" s="3669"/>
      <c r="E398" s="3517" t="s">
        <v>3839</v>
      </c>
      <c r="F398" s="3526">
        <v>40.43</v>
      </c>
      <c r="G398" s="3511">
        <v>6.55</v>
      </c>
      <c r="H398" s="3505" t="s">
        <v>3557</v>
      </c>
      <c r="I398" s="3561">
        <f ca="1">典型户型修正车!S289</f>
        <v>19</v>
      </c>
    </row>
    <row r="399" spans="1:9" s="3472" customFormat="1">
      <c r="A399" s="3671"/>
      <c r="B399" s="3668"/>
      <c r="C399" s="3668"/>
      <c r="D399" s="3669"/>
      <c r="E399" s="3517" t="s">
        <v>3840</v>
      </c>
      <c r="F399" s="3526">
        <v>40.43</v>
      </c>
      <c r="G399" s="3511">
        <v>6.55</v>
      </c>
      <c r="H399" s="3505" t="s">
        <v>3557</v>
      </c>
      <c r="I399" s="3561">
        <f ca="1">典型户型修正车!S290</f>
        <v>19</v>
      </c>
    </row>
    <row r="400" spans="1:9" s="3472" customFormat="1">
      <c r="A400" s="3671"/>
      <c r="B400" s="3668" t="s">
        <v>3818</v>
      </c>
      <c r="C400" s="3668" t="s">
        <v>3819</v>
      </c>
      <c r="D400" s="3669" t="s">
        <v>3820</v>
      </c>
      <c r="E400" s="3517" t="s">
        <v>3841</v>
      </c>
      <c r="F400" s="3526">
        <v>40.43</v>
      </c>
      <c r="G400" s="3511">
        <v>6.55</v>
      </c>
      <c r="H400" s="3505" t="s">
        <v>3557</v>
      </c>
      <c r="I400" s="3561">
        <f ca="1">典型户型修正车!S291</f>
        <v>19</v>
      </c>
    </row>
    <row r="401" spans="1:9" s="3472" customFormat="1">
      <c r="A401" s="3671"/>
      <c r="B401" s="3668"/>
      <c r="C401" s="3668"/>
      <c r="D401" s="3669"/>
      <c r="E401" s="3517" t="s">
        <v>3842</v>
      </c>
      <c r="F401" s="3526">
        <v>40.43</v>
      </c>
      <c r="G401" s="3511">
        <v>6.55</v>
      </c>
      <c r="H401" s="3505" t="s">
        <v>3557</v>
      </c>
      <c r="I401" s="3561">
        <f ca="1">典型户型修正车!S292</f>
        <v>19</v>
      </c>
    </row>
    <row r="402" spans="1:9" s="3472" customFormat="1">
      <c r="A402" s="3671"/>
      <c r="B402" s="3668"/>
      <c r="C402" s="3668"/>
      <c r="D402" s="3669"/>
      <c r="E402" s="3517" t="s">
        <v>3843</v>
      </c>
      <c r="F402" s="3526">
        <v>40.43</v>
      </c>
      <c r="G402" s="3511">
        <v>6.55</v>
      </c>
      <c r="H402" s="3505" t="s">
        <v>3557</v>
      </c>
      <c r="I402" s="3561">
        <f ca="1">典型户型修正车!S293</f>
        <v>19</v>
      </c>
    </row>
    <row r="403" spans="1:9" s="3472" customFormat="1">
      <c r="A403" s="3671"/>
      <c r="B403" s="3668"/>
      <c r="C403" s="3668"/>
      <c r="D403" s="3669"/>
      <c r="E403" s="3517" t="s">
        <v>3844</v>
      </c>
      <c r="F403" s="3526">
        <v>40.43</v>
      </c>
      <c r="G403" s="3511">
        <v>6.55</v>
      </c>
      <c r="H403" s="3505" t="s">
        <v>3557</v>
      </c>
      <c r="I403" s="3561">
        <f ca="1">典型户型修正车!S294</f>
        <v>19</v>
      </c>
    </row>
    <row r="404" spans="1:9" s="3472" customFormat="1">
      <c r="A404" s="3671"/>
      <c r="B404" s="3668"/>
      <c r="C404" s="3668"/>
      <c r="D404" s="3669"/>
      <c r="E404" s="3517" t="s">
        <v>3845</v>
      </c>
      <c r="F404" s="3526">
        <v>40.43</v>
      </c>
      <c r="G404" s="3511">
        <v>6.55</v>
      </c>
      <c r="H404" s="3505" t="s">
        <v>3557</v>
      </c>
      <c r="I404" s="3561">
        <f ca="1">典型户型修正车!S295</f>
        <v>19</v>
      </c>
    </row>
    <row r="405" spans="1:9" s="3472" customFormat="1">
      <c r="A405" s="3671"/>
      <c r="B405" s="3668"/>
      <c r="C405" s="3668"/>
      <c r="D405" s="3669"/>
      <c r="E405" s="3517" t="s">
        <v>3846</v>
      </c>
      <c r="F405" s="3526">
        <v>40.43</v>
      </c>
      <c r="G405" s="3511">
        <v>6.55</v>
      </c>
      <c r="H405" s="3505" t="s">
        <v>3557</v>
      </c>
      <c r="I405" s="3561">
        <f ca="1">典型户型修正车!S296</f>
        <v>19</v>
      </c>
    </row>
    <row r="406" spans="1:9" s="3472" customFormat="1">
      <c r="A406" s="3671"/>
      <c r="B406" s="3668"/>
      <c r="C406" s="3668"/>
      <c r="D406" s="3669"/>
      <c r="E406" s="3517" t="s">
        <v>3847</v>
      </c>
      <c r="F406" s="3526">
        <v>80.86</v>
      </c>
      <c r="G406" s="3511">
        <v>13.12</v>
      </c>
      <c r="H406" s="3505" t="s">
        <v>3557</v>
      </c>
      <c r="I406" s="3561">
        <f ca="1">典型户型修正车!S297</f>
        <v>38</v>
      </c>
    </row>
    <row r="407" spans="1:9" s="3472" customFormat="1">
      <c r="A407" s="3671"/>
      <c r="B407" s="3668"/>
      <c r="C407" s="3668"/>
      <c r="D407" s="3669"/>
      <c r="E407" s="3517" t="s">
        <v>3848</v>
      </c>
      <c r="F407" s="3526">
        <v>40.43</v>
      </c>
      <c r="G407" s="3511">
        <v>6.55</v>
      </c>
      <c r="H407" s="3505" t="s">
        <v>3557</v>
      </c>
      <c r="I407" s="3561">
        <f ca="1">典型户型修正车!S298</f>
        <v>19</v>
      </c>
    </row>
    <row r="408" spans="1:9" s="3472" customFormat="1">
      <c r="A408" s="3671"/>
      <c r="B408" s="3668"/>
      <c r="C408" s="3668"/>
      <c r="D408" s="3669"/>
      <c r="E408" s="3517" t="s">
        <v>3849</v>
      </c>
      <c r="F408" s="3526">
        <v>40.43</v>
      </c>
      <c r="G408" s="3511">
        <v>6.55</v>
      </c>
      <c r="H408" s="3505" t="s">
        <v>3557</v>
      </c>
      <c r="I408" s="3561">
        <f ca="1">典型户型修正车!S299</f>
        <v>19</v>
      </c>
    </row>
    <row r="409" spans="1:9" s="3472" customFormat="1">
      <c r="A409" s="3671"/>
      <c r="B409" s="3668"/>
      <c r="C409" s="3668"/>
      <c r="D409" s="3669"/>
      <c r="E409" s="3517" t="s">
        <v>3850</v>
      </c>
      <c r="F409" s="3526">
        <v>40.43</v>
      </c>
      <c r="G409" s="3511">
        <v>6.55</v>
      </c>
      <c r="H409" s="3505" t="s">
        <v>3557</v>
      </c>
      <c r="I409" s="3561">
        <f ca="1">典型户型修正车!S300</f>
        <v>19</v>
      </c>
    </row>
    <row r="410" spans="1:9" s="3472" customFormat="1">
      <c r="A410" s="3671"/>
      <c r="B410" s="3668"/>
      <c r="C410" s="3668"/>
      <c r="D410" s="3669"/>
      <c r="E410" s="3517" t="s">
        <v>3851</v>
      </c>
      <c r="F410" s="3526">
        <v>40.43</v>
      </c>
      <c r="G410" s="3511">
        <v>6.55</v>
      </c>
      <c r="H410" s="3505" t="s">
        <v>3557</v>
      </c>
      <c r="I410" s="3561">
        <f ca="1">典型户型修正车!S301</f>
        <v>19</v>
      </c>
    </row>
    <row r="411" spans="1:9" s="3472" customFormat="1">
      <c r="A411" s="3671"/>
      <c r="B411" s="3668"/>
      <c r="C411" s="3668"/>
      <c r="D411" s="3669"/>
      <c r="E411" s="3517" t="s">
        <v>3852</v>
      </c>
      <c r="F411" s="3526">
        <v>68.27</v>
      </c>
      <c r="G411" s="3511">
        <v>11.07</v>
      </c>
      <c r="H411" s="3505" t="s">
        <v>3557</v>
      </c>
      <c r="I411" s="3561">
        <f ca="1">典型户型修正车!S302</f>
        <v>32</v>
      </c>
    </row>
    <row r="412" spans="1:9" s="3472" customFormat="1">
      <c r="A412" s="3671"/>
      <c r="B412" s="3668"/>
      <c r="C412" s="3668"/>
      <c r="D412" s="3669"/>
      <c r="E412" s="3517" t="s">
        <v>3853</v>
      </c>
      <c r="F412" s="3526">
        <v>40.43</v>
      </c>
      <c r="G412" s="3511">
        <v>6.55</v>
      </c>
      <c r="H412" s="3505" t="s">
        <v>3557</v>
      </c>
      <c r="I412" s="3561">
        <f ca="1">典型户型修正车!S303</f>
        <v>19</v>
      </c>
    </row>
    <row r="413" spans="1:9" s="3472" customFormat="1">
      <c r="A413" s="3671"/>
      <c r="B413" s="3668"/>
      <c r="C413" s="3668"/>
      <c r="D413" s="3669"/>
      <c r="E413" s="3517" t="s">
        <v>3854</v>
      </c>
      <c r="F413" s="3526">
        <v>40.43</v>
      </c>
      <c r="G413" s="3511">
        <v>6.55</v>
      </c>
      <c r="H413" s="3505" t="s">
        <v>3557</v>
      </c>
      <c r="I413" s="3561">
        <f ca="1">典型户型修正车!S304</f>
        <v>19</v>
      </c>
    </row>
    <row r="414" spans="1:9" s="3472" customFormat="1">
      <c r="A414" s="3671"/>
      <c r="B414" s="3668"/>
      <c r="C414" s="3668"/>
      <c r="D414" s="3669"/>
      <c r="E414" s="3517" t="s">
        <v>3855</v>
      </c>
      <c r="F414" s="3526">
        <v>40.43</v>
      </c>
      <c r="G414" s="3511">
        <v>6.55</v>
      </c>
      <c r="H414" s="3505" t="s">
        <v>3557</v>
      </c>
      <c r="I414" s="3561">
        <f ca="1">典型户型修正车!S305</f>
        <v>19</v>
      </c>
    </row>
    <row r="415" spans="1:9" s="3472" customFormat="1">
      <c r="A415" s="3671"/>
      <c r="B415" s="3668"/>
      <c r="C415" s="3668"/>
      <c r="D415" s="3669"/>
      <c r="E415" s="3517" t="s">
        <v>3856</v>
      </c>
      <c r="F415" s="3526">
        <v>40.43</v>
      </c>
      <c r="G415" s="3511">
        <v>6.55</v>
      </c>
      <c r="H415" s="3505" t="s">
        <v>3557</v>
      </c>
      <c r="I415" s="3561">
        <f ca="1">典型户型修正车!S306</f>
        <v>19</v>
      </c>
    </row>
    <row r="416" spans="1:9" s="3472" customFormat="1">
      <c r="A416" s="3671"/>
      <c r="B416" s="3668"/>
      <c r="C416" s="3668"/>
      <c r="D416" s="3669"/>
      <c r="E416" s="3517" t="s">
        <v>3857</v>
      </c>
      <c r="F416" s="3526">
        <v>80.86</v>
      </c>
      <c r="G416" s="3511">
        <v>13.12</v>
      </c>
      <c r="H416" s="3505" t="s">
        <v>3557</v>
      </c>
      <c r="I416" s="3561">
        <f ca="1">典型户型修正车!S307</f>
        <v>38</v>
      </c>
    </row>
    <row r="417" spans="1:9" s="3472" customFormat="1">
      <c r="A417" s="3671"/>
      <c r="B417" s="3668"/>
      <c r="C417" s="3668"/>
      <c r="D417" s="3669"/>
      <c r="E417" s="3517" t="s">
        <v>3858</v>
      </c>
      <c r="F417" s="3526">
        <v>80.86</v>
      </c>
      <c r="G417" s="3511">
        <v>13.12</v>
      </c>
      <c r="H417" s="3505" t="s">
        <v>3557</v>
      </c>
      <c r="I417" s="3561">
        <f ca="1">典型户型修正车!S308</f>
        <v>38</v>
      </c>
    </row>
    <row r="418" spans="1:9" s="3472" customFormat="1">
      <c r="A418" s="3671"/>
      <c r="B418" s="3668"/>
      <c r="C418" s="3668"/>
      <c r="D418" s="3669"/>
      <c r="E418" s="3517" t="s">
        <v>3859</v>
      </c>
      <c r="F418" s="3526">
        <v>80.86</v>
      </c>
      <c r="G418" s="3511">
        <v>13.12</v>
      </c>
      <c r="H418" s="3505" t="s">
        <v>3557</v>
      </c>
      <c r="I418" s="3561">
        <f ca="1">典型户型修正车!S309</f>
        <v>38</v>
      </c>
    </row>
    <row r="419" spans="1:9" s="3472" customFormat="1">
      <c r="A419" s="3671"/>
      <c r="B419" s="3668"/>
      <c r="C419" s="3668"/>
      <c r="D419" s="3669"/>
      <c r="E419" s="3517" t="s">
        <v>3860</v>
      </c>
      <c r="F419" s="3526">
        <v>80.86</v>
      </c>
      <c r="G419" s="3511">
        <v>13.12</v>
      </c>
      <c r="H419" s="3505" t="s">
        <v>3557</v>
      </c>
      <c r="I419" s="3561">
        <f ca="1">典型户型修正车!S310</f>
        <v>38</v>
      </c>
    </row>
    <row r="420" spans="1:9" s="3472" customFormat="1">
      <c r="A420" s="3671"/>
      <c r="B420" s="3668"/>
      <c r="C420" s="3668"/>
      <c r="D420" s="3669"/>
      <c r="E420" s="3517" t="s">
        <v>3861</v>
      </c>
      <c r="F420" s="3526">
        <v>80.86</v>
      </c>
      <c r="G420" s="3511">
        <v>13.12</v>
      </c>
      <c r="H420" s="3505" t="s">
        <v>3557</v>
      </c>
      <c r="I420" s="3561">
        <f ca="1">典型户型修正车!S311</f>
        <v>38</v>
      </c>
    </row>
    <row r="421" spans="1:9" s="3472" customFormat="1">
      <c r="A421" s="3671"/>
      <c r="B421" s="3668"/>
      <c r="C421" s="3668"/>
      <c r="D421" s="3669"/>
      <c r="E421" s="3517" t="s">
        <v>3862</v>
      </c>
      <c r="F421" s="3526">
        <v>40.43</v>
      </c>
      <c r="G421" s="3511">
        <v>6.55</v>
      </c>
      <c r="H421" s="3505" t="s">
        <v>3557</v>
      </c>
      <c r="I421" s="3561">
        <f ca="1">典型户型修正车!S312</f>
        <v>19</v>
      </c>
    </row>
    <row r="422" spans="1:9" s="3472" customFormat="1">
      <c r="A422" s="3671"/>
      <c r="B422" s="3668"/>
      <c r="C422" s="3668"/>
      <c r="D422" s="3669"/>
      <c r="E422" s="3517" t="s">
        <v>3863</v>
      </c>
      <c r="F422" s="3526">
        <v>40.43</v>
      </c>
      <c r="G422" s="3511">
        <v>6.55</v>
      </c>
      <c r="H422" s="3505" t="s">
        <v>3557</v>
      </c>
      <c r="I422" s="3561">
        <f ca="1">典型户型修正车!S313</f>
        <v>19</v>
      </c>
    </row>
    <row r="423" spans="1:9" s="3472" customFormat="1">
      <c r="A423" s="3671"/>
      <c r="B423" s="3668"/>
      <c r="C423" s="3668"/>
      <c r="D423" s="3669"/>
      <c r="E423" s="3517" t="s">
        <v>3864</v>
      </c>
      <c r="F423" s="3526">
        <v>40.43</v>
      </c>
      <c r="G423" s="3511">
        <v>6.55</v>
      </c>
      <c r="H423" s="3505" t="s">
        <v>3557</v>
      </c>
      <c r="I423" s="3561">
        <f ca="1">典型户型修正车!S314</f>
        <v>19</v>
      </c>
    </row>
    <row r="424" spans="1:9" s="3472" customFormat="1">
      <c r="A424" s="3671"/>
      <c r="B424" s="3668"/>
      <c r="C424" s="3668"/>
      <c r="D424" s="3669"/>
      <c r="E424" s="3517" t="s">
        <v>3865</v>
      </c>
      <c r="F424" s="3526">
        <v>40.43</v>
      </c>
      <c r="G424" s="3511">
        <v>6.55</v>
      </c>
      <c r="H424" s="3505" t="s">
        <v>3557</v>
      </c>
      <c r="I424" s="3561">
        <f ca="1">典型户型修正车!S315</f>
        <v>19</v>
      </c>
    </row>
    <row r="425" spans="1:9" s="3472" customFormat="1">
      <c r="A425" s="3671"/>
      <c r="B425" s="3668"/>
      <c r="C425" s="3668"/>
      <c r="D425" s="3669"/>
      <c r="E425" s="3517" t="s">
        <v>3866</v>
      </c>
      <c r="F425" s="3526">
        <v>40.43</v>
      </c>
      <c r="G425" s="3511">
        <v>6.55</v>
      </c>
      <c r="H425" s="3505" t="s">
        <v>3557</v>
      </c>
      <c r="I425" s="3561">
        <f ca="1">典型户型修正车!S316</f>
        <v>19</v>
      </c>
    </row>
    <row r="426" spans="1:9" s="3472" customFormat="1">
      <c r="A426" s="3671"/>
      <c r="B426" s="3668"/>
      <c r="C426" s="3668"/>
      <c r="D426" s="3669"/>
      <c r="E426" s="3517" t="s">
        <v>3867</v>
      </c>
      <c r="F426" s="3526">
        <v>40.43</v>
      </c>
      <c r="G426" s="3511">
        <v>6.55</v>
      </c>
      <c r="H426" s="3505" t="s">
        <v>3557</v>
      </c>
      <c r="I426" s="3561">
        <f ca="1">典型户型修正车!S317</f>
        <v>19</v>
      </c>
    </row>
    <row r="427" spans="1:9" s="3472" customFormat="1">
      <c r="A427" s="3671"/>
      <c r="B427" s="3668"/>
      <c r="C427" s="3668"/>
      <c r="D427" s="3669"/>
      <c r="E427" s="3517" t="s">
        <v>3868</v>
      </c>
      <c r="F427" s="3526">
        <v>40.43</v>
      </c>
      <c r="G427" s="3511">
        <v>6.55</v>
      </c>
      <c r="H427" s="3505" t="s">
        <v>3557</v>
      </c>
      <c r="I427" s="3561">
        <f ca="1">典型户型修正车!S318</f>
        <v>19</v>
      </c>
    </row>
    <row r="428" spans="1:9" s="3472" customFormat="1">
      <c r="A428" s="3671"/>
      <c r="B428" s="3668"/>
      <c r="C428" s="3668"/>
      <c r="D428" s="3669"/>
      <c r="E428" s="3517" t="s">
        <v>3869</v>
      </c>
      <c r="F428" s="3526">
        <v>40.43</v>
      </c>
      <c r="G428" s="3511">
        <v>6.55</v>
      </c>
      <c r="H428" s="3505" t="s">
        <v>3557</v>
      </c>
      <c r="I428" s="3561">
        <f ca="1">典型户型修正车!S319</f>
        <v>19</v>
      </c>
    </row>
    <row r="429" spans="1:9" s="3472" customFormat="1">
      <c r="A429" s="3671"/>
      <c r="B429" s="3668"/>
      <c r="C429" s="3668"/>
      <c r="D429" s="3669"/>
      <c r="E429" s="3517" t="s">
        <v>3870</v>
      </c>
      <c r="F429" s="3526">
        <v>40.43</v>
      </c>
      <c r="G429" s="3511">
        <v>6.55</v>
      </c>
      <c r="H429" s="3505" t="s">
        <v>3557</v>
      </c>
      <c r="I429" s="3561">
        <f ca="1">典型户型修正车!S320</f>
        <v>19</v>
      </c>
    </row>
    <row r="430" spans="1:9" s="3472" customFormat="1">
      <c r="A430" s="3671"/>
      <c r="B430" s="3668"/>
      <c r="C430" s="3668"/>
      <c r="D430" s="3669"/>
      <c r="E430" s="3517" t="s">
        <v>3871</v>
      </c>
      <c r="F430" s="3526">
        <v>40.43</v>
      </c>
      <c r="G430" s="3511">
        <v>6.55</v>
      </c>
      <c r="H430" s="3505" t="s">
        <v>3557</v>
      </c>
      <c r="I430" s="3561">
        <f ca="1">典型户型修正车!S321</f>
        <v>19</v>
      </c>
    </row>
    <row r="431" spans="1:9" s="3472" customFormat="1">
      <c r="A431" s="3671"/>
      <c r="B431" s="3668"/>
      <c r="C431" s="3668"/>
      <c r="D431" s="3669"/>
      <c r="E431" s="3517" t="s">
        <v>3872</v>
      </c>
      <c r="F431" s="3526">
        <v>40.43</v>
      </c>
      <c r="G431" s="3511">
        <v>6.55</v>
      </c>
      <c r="H431" s="3505" t="s">
        <v>3557</v>
      </c>
      <c r="I431" s="3561">
        <f ca="1">典型户型修正车!S322</f>
        <v>19</v>
      </c>
    </row>
    <row r="432" spans="1:9" s="3472" customFormat="1">
      <c r="A432" s="3671"/>
      <c r="B432" s="3668"/>
      <c r="C432" s="3668"/>
      <c r="D432" s="3669"/>
      <c r="E432" s="3517" t="s">
        <v>3873</v>
      </c>
      <c r="F432" s="3526">
        <v>40.43</v>
      </c>
      <c r="G432" s="3511">
        <v>6.55</v>
      </c>
      <c r="H432" s="3505" t="s">
        <v>3557</v>
      </c>
      <c r="I432" s="3561">
        <f ca="1">典型户型修正车!S323</f>
        <v>19</v>
      </c>
    </row>
    <row r="433" spans="1:9" s="3472" customFormat="1">
      <c r="A433" s="3671"/>
      <c r="B433" s="3668"/>
      <c r="C433" s="3668"/>
      <c r="D433" s="3669"/>
      <c r="E433" s="3517" t="s">
        <v>3874</v>
      </c>
      <c r="F433" s="3526">
        <v>40.43</v>
      </c>
      <c r="G433" s="3511">
        <v>6.55</v>
      </c>
      <c r="H433" s="3505" t="s">
        <v>3557</v>
      </c>
      <c r="I433" s="3561">
        <f ca="1">典型户型修正车!S324</f>
        <v>19</v>
      </c>
    </row>
    <row r="434" spans="1:9" s="3472" customFormat="1">
      <c r="A434" s="3671"/>
      <c r="B434" s="3668"/>
      <c r="C434" s="3668"/>
      <c r="D434" s="3669"/>
      <c r="E434" s="3517" t="s">
        <v>3875</v>
      </c>
      <c r="F434" s="3526">
        <v>40.43</v>
      </c>
      <c r="G434" s="3511">
        <v>6.55</v>
      </c>
      <c r="H434" s="3505" t="s">
        <v>3557</v>
      </c>
      <c r="I434" s="3561">
        <f ca="1">典型户型修正车!S325</f>
        <v>19</v>
      </c>
    </row>
    <row r="435" spans="1:9" s="3472" customFormat="1">
      <c r="A435" s="3671"/>
      <c r="B435" s="3668"/>
      <c r="C435" s="3668"/>
      <c r="D435" s="3669"/>
      <c r="E435" s="3517" t="s">
        <v>3876</v>
      </c>
      <c r="F435" s="3526">
        <v>40.43</v>
      </c>
      <c r="G435" s="3511">
        <v>6.55</v>
      </c>
      <c r="H435" s="3505" t="s">
        <v>3557</v>
      </c>
      <c r="I435" s="3561">
        <f ca="1">典型户型修正车!S326</f>
        <v>19</v>
      </c>
    </row>
    <row r="436" spans="1:9" s="3472" customFormat="1">
      <c r="A436" s="3671"/>
      <c r="B436" s="3668"/>
      <c r="C436" s="3668"/>
      <c r="D436" s="3669"/>
      <c r="E436" s="3517" t="s">
        <v>3877</v>
      </c>
      <c r="F436" s="3526">
        <v>40.43</v>
      </c>
      <c r="G436" s="3511">
        <v>6.55</v>
      </c>
      <c r="H436" s="3505" t="s">
        <v>3557</v>
      </c>
      <c r="I436" s="3561">
        <f ca="1">典型户型修正车!S327</f>
        <v>19</v>
      </c>
    </row>
    <row r="437" spans="1:9" s="3472" customFormat="1">
      <c r="A437" s="3671"/>
      <c r="B437" s="3668" t="s">
        <v>3818</v>
      </c>
      <c r="C437" s="3668" t="s">
        <v>3819</v>
      </c>
      <c r="D437" s="3669" t="s">
        <v>3820</v>
      </c>
      <c r="E437" s="3517" t="s">
        <v>3878</v>
      </c>
      <c r="F437" s="3526">
        <v>40.43</v>
      </c>
      <c r="G437" s="3511">
        <v>6.55</v>
      </c>
      <c r="H437" s="3505" t="s">
        <v>3557</v>
      </c>
      <c r="I437" s="3561">
        <f ca="1">典型户型修正车!S328</f>
        <v>19</v>
      </c>
    </row>
    <row r="438" spans="1:9" s="3472" customFormat="1">
      <c r="A438" s="3671"/>
      <c r="B438" s="3668"/>
      <c r="C438" s="3668"/>
      <c r="D438" s="3669"/>
      <c r="E438" s="3517" t="s">
        <v>3879</v>
      </c>
      <c r="F438" s="3526">
        <v>40.43</v>
      </c>
      <c r="G438" s="3511">
        <v>6.55</v>
      </c>
      <c r="H438" s="3505" t="s">
        <v>3557</v>
      </c>
      <c r="I438" s="3561">
        <f ca="1">典型户型修正车!S329</f>
        <v>19</v>
      </c>
    </row>
    <row r="439" spans="1:9" s="3472" customFormat="1">
      <c r="A439" s="3671"/>
      <c r="B439" s="3668"/>
      <c r="C439" s="3668"/>
      <c r="D439" s="3669"/>
      <c r="E439" s="3517" t="s">
        <v>3880</v>
      </c>
      <c r="F439" s="3526">
        <v>40.43</v>
      </c>
      <c r="G439" s="3511">
        <v>6.55</v>
      </c>
      <c r="H439" s="3505" t="s">
        <v>3557</v>
      </c>
      <c r="I439" s="3561">
        <f ca="1">典型户型修正车!S330</f>
        <v>19</v>
      </c>
    </row>
    <row r="440" spans="1:9" s="3472" customFormat="1">
      <c r="A440" s="3671"/>
      <c r="B440" s="3668"/>
      <c r="C440" s="3668"/>
      <c r="D440" s="3669"/>
      <c r="E440" s="3517" t="s">
        <v>3881</v>
      </c>
      <c r="F440" s="3526">
        <v>40.43</v>
      </c>
      <c r="G440" s="3511">
        <v>6.55</v>
      </c>
      <c r="H440" s="3505" t="s">
        <v>3557</v>
      </c>
      <c r="I440" s="3561">
        <f ca="1">典型户型修正车!S331</f>
        <v>19</v>
      </c>
    </row>
    <row r="441" spans="1:9" s="3472" customFormat="1">
      <c r="A441" s="3671"/>
      <c r="B441" s="3668"/>
      <c r="C441" s="3668"/>
      <c r="D441" s="3669"/>
      <c r="E441" s="3517" t="s">
        <v>3882</v>
      </c>
      <c r="F441" s="3526">
        <v>40.43</v>
      </c>
      <c r="G441" s="3511">
        <v>6.55</v>
      </c>
      <c r="H441" s="3505" t="s">
        <v>3557</v>
      </c>
      <c r="I441" s="3561">
        <f ca="1">典型户型修正车!S332</f>
        <v>19</v>
      </c>
    </row>
    <row r="442" spans="1:9" s="3472" customFormat="1">
      <c r="A442" s="3671"/>
      <c r="B442" s="3668"/>
      <c r="C442" s="3668"/>
      <c r="D442" s="3669"/>
      <c r="E442" s="3517" t="s">
        <v>3883</v>
      </c>
      <c r="F442" s="3526">
        <v>40.43</v>
      </c>
      <c r="G442" s="3511">
        <v>6.55</v>
      </c>
      <c r="H442" s="3505" t="s">
        <v>3557</v>
      </c>
      <c r="I442" s="3561">
        <f ca="1">典型户型修正车!S333</f>
        <v>19</v>
      </c>
    </row>
    <row r="443" spans="1:9" s="3472" customFormat="1">
      <c r="A443" s="3671"/>
      <c r="B443" s="3668"/>
      <c r="C443" s="3668"/>
      <c r="D443" s="3669"/>
      <c r="E443" s="3517" t="s">
        <v>3884</v>
      </c>
      <c r="F443" s="3526">
        <v>40.43</v>
      </c>
      <c r="G443" s="3511">
        <v>6.55</v>
      </c>
      <c r="H443" s="3505" t="s">
        <v>3557</v>
      </c>
      <c r="I443" s="3561">
        <f ca="1">典型户型修正车!S334</f>
        <v>19</v>
      </c>
    </row>
    <row r="444" spans="1:9" s="3472" customFormat="1">
      <c r="A444" s="3671"/>
      <c r="B444" s="3668"/>
      <c r="C444" s="3668"/>
      <c r="D444" s="3669"/>
      <c r="E444" s="3517" t="s">
        <v>3885</v>
      </c>
      <c r="F444" s="3526">
        <v>68.27</v>
      </c>
      <c r="G444" s="3511">
        <v>11.07</v>
      </c>
      <c r="H444" s="3505" t="s">
        <v>3557</v>
      </c>
      <c r="I444" s="3561">
        <f ca="1">典型户型修正车!S335</f>
        <v>32</v>
      </c>
    </row>
    <row r="445" spans="1:9" s="3472" customFormat="1">
      <c r="A445" s="3671"/>
      <c r="B445" s="3668"/>
      <c r="C445" s="3668"/>
      <c r="D445" s="3669"/>
      <c r="E445" s="3517" t="s">
        <v>3886</v>
      </c>
      <c r="F445" s="3526">
        <v>68.27</v>
      </c>
      <c r="G445" s="3511">
        <v>11.07</v>
      </c>
      <c r="H445" s="3505" t="s">
        <v>3557</v>
      </c>
      <c r="I445" s="3561">
        <f ca="1">典型户型修正车!S336</f>
        <v>32</v>
      </c>
    </row>
    <row r="446" spans="1:9" s="3472" customFormat="1">
      <c r="A446" s="3671"/>
      <c r="B446" s="3668"/>
      <c r="C446" s="3668"/>
      <c r="D446" s="3669"/>
      <c r="E446" s="3517" t="s">
        <v>3887</v>
      </c>
      <c r="F446" s="3526">
        <v>40.43</v>
      </c>
      <c r="G446" s="3511">
        <v>6.55</v>
      </c>
      <c r="H446" s="3505" t="s">
        <v>3557</v>
      </c>
      <c r="I446" s="3561">
        <f ca="1">典型户型修正车!S337</f>
        <v>19</v>
      </c>
    </row>
    <row r="447" spans="1:9" s="3472" customFormat="1">
      <c r="A447" s="3671"/>
      <c r="B447" s="3668"/>
      <c r="C447" s="3668"/>
      <c r="D447" s="3669"/>
      <c r="E447" s="3517" t="s">
        <v>3888</v>
      </c>
      <c r="F447" s="3526">
        <v>40.43</v>
      </c>
      <c r="G447" s="3511">
        <v>6.55</v>
      </c>
      <c r="H447" s="3505" t="s">
        <v>3557</v>
      </c>
      <c r="I447" s="3561">
        <f ca="1">典型户型修正车!S338</f>
        <v>19</v>
      </c>
    </row>
    <row r="448" spans="1:9" s="3472" customFormat="1">
      <c r="A448" s="3671"/>
      <c r="B448" s="3668"/>
      <c r="C448" s="3668"/>
      <c r="D448" s="3669"/>
      <c r="E448" s="3517" t="s">
        <v>3889</v>
      </c>
      <c r="F448" s="3526">
        <v>40.43</v>
      </c>
      <c r="G448" s="3511">
        <v>6.55</v>
      </c>
      <c r="H448" s="3505" t="s">
        <v>3557</v>
      </c>
      <c r="I448" s="3561">
        <f ca="1">典型户型修正车!S339</f>
        <v>19</v>
      </c>
    </row>
    <row r="449" spans="1:9" s="3472" customFormat="1">
      <c r="A449" s="3671"/>
      <c r="B449" s="3668"/>
      <c r="C449" s="3668"/>
      <c r="D449" s="3669"/>
      <c r="E449" s="3517" t="s">
        <v>3890</v>
      </c>
      <c r="F449" s="3526">
        <v>40.43</v>
      </c>
      <c r="G449" s="3511">
        <v>6.55</v>
      </c>
      <c r="H449" s="3505" t="s">
        <v>3557</v>
      </c>
      <c r="I449" s="3561">
        <f ca="1">典型户型修正车!S340</f>
        <v>19</v>
      </c>
    </row>
    <row r="450" spans="1:9" s="3472" customFormat="1">
      <c r="A450" s="3671"/>
      <c r="B450" s="3668"/>
      <c r="C450" s="3668"/>
      <c r="D450" s="3669"/>
      <c r="E450" s="3517" t="s">
        <v>3891</v>
      </c>
      <c r="F450" s="3526">
        <v>40.43</v>
      </c>
      <c r="G450" s="3511">
        <v>6.55</v>
      </c>
      <c r="H450" s="3505" t="s">
        <v>3557</v>
      </c>
      <c r="I450" s="3561">
        <f ca="1">典型户型修正车!S341</f>
        <v>19</v>
      </c>
    </row>
    <row r="451" spans="1:9" s="3472" customFormat="1">
      <c r="A451" s="3671"/>
      <c r="B451" s="3668"/>
      <c r="C451" s="3668"/>
      <c r="D451" s="3669"/>
      <c r="E451" s="3517" t="s">
        <v>3892</v>
      </c>
      <c r="F451" s="3526">
        <v>40.43</v>
      </c>
      <c r="G451" s="3511">
        <v>6.55</v>
      </c>
      <c r="H451" s="3505" t="s">
        <v>3557</v>
      </c>
      <c r="I451" s="3561">
        <f ca="1">典型户型修正车!S342</f>
        <v>19</v>
      </c>
    </row>
    <row r="452" spans="1:9" s="3472" customFormat="1">
      <c r="A452" s="3671"/>
      <c r="B452" s="3668"/>
      <c r="C452" s="3668"/>
      <c r="D452" s="3669"/>
      <c r="E452" s="3517" t="s">
        <v>3893</v>
      </c>
      <c r="F452" s="3526">
        <v>40.43</v>
      </c>
      <c r="G452" s="3511">
        <v>6.55</v>
      </c>
      <c r="H452" s="3505" t="s">
        <v>3557</v>
      </c>
      <c r="I452" s="3561">
        <f ca="1">典型户型修正车!S343</f>
        <v>19</v>
      </c>
    </row>
    <row r="453" spans="1:9" s="3472" customFormat="1">
      <c r="A453" s="3671"/>
      <c r="B453" s="3668"/>
      <c r="C453" s="3668"/>
      <c r="D453" s="3669"/>
      <c r="E453" s="3517" t="s">
        <v>3894</v>
      </c>
      <c r="F453" s="3526">
        <v>40.43</v>
      </c>
      <c r="G453" s="3511">
        <v>6.55</v>
      </c>
      <c r="H453" s="3505" t="s">
        <v>3557</v>
      </c>
      <c r="I453" s="3561">
        <f ca="1">典型户型修正车!S344</f>
        <v>19</v>
      </c>
    </row>
    <row r="454" spans="1:9" s="3472" customFormat="1">
      <c r="A454" s="3671"/>
      <c r="B454" s="3668"/>
      <c r="C454" s="3668"/>
      <c r="D454" s="3669"/>
      <c r="E454" s="3517" t="s">
        <v>3895</v>
      </c>
      <c r="F454" s="3526">
        <v>40.43</v>
      </c>
      <c r="G454" s="3511">
        <v>6.55</v>
      </c>
      <c r="H454" s="3505" t="s">
        <v>3557</v>
      </c>
      <c r="I454" s="3561">
        <f ca="1">典型户型修正车!S345</f>
        <v>19</v>
      </c>
    </row>
    <row r="455" spans="1:9" s="3472" customFormat="1">
      <c r="A455" s="3671"/>
      <c r="B455" s="3668"/>
      <c r="C455" s="3668"/>
      <c r="D455" s="3669"/>
      <c r="E455" s="3517" t="s">
        <v>3896</v>
      </c>
      <c r="F455" s="3526">
        <v>40.43</v>
      </c>
      <c r="G455" s="3511">
        <v>6.55</v>
      </c>
      <c r="H455" s="3505" t="s">
        <v>3557</v>
      </c>
      <c r="I455" s="3561">
        <f ca="1">典型户型修正车!S346</f>
        <v>19</v>
      </c>
    </row>
    <row r="456" spans="1:9" s="3472" customFormat="1">
      <c r="A456" s="3671"/>
      <c r="B456" s="3668"/>
      <c r="C456" s="3668"/>
      <c r="D456" s="3669"/>
      <c r="E456" s="3517" t="s">
        <v>3897</v>
      </c>
      <c r="F456" s="3526">
        <v>40.43</v>
      </c>
      <c r="G456" s="3511">
        <v>6.55</v>
      </c>
      <c r="H456" s="3505" t="s">
        <v>3557</v>
      </c>
      <c r="I456" s="3561">
        <f ca="1">典型户型修正车!S347</f>
        <v>19</v>
      </c>
    </row>
    <row r="457" spans="1:9" s="3472" customFormat="1">
      <c r="A457" s="3671"/>
      <c r="B457" s="3668"/>
      <c r="C457" s="3668"/>
      <c r="D457" s="3669"/>
      <c r="E457" s="3517" t="s">
        <v>3898</v>
      </c>
      <c r="F457" s="3526">
        <v>80.86</v>
      </c>
      <c r="G457" s="3511">
        <v>13.12</v>
      </c>
      <c r="H457" s="3505" t="s">
        <v>3557</v>
      </c>
      <c r="I457" s="3561">
        <f ca="1">典型户型修正车!S348</f>
        <v>38</v>
      </c>
    </row>
    <row r="458" spans="1:9" s="3472" customFormat="1">
      <c r="A458" s="3671"/>
      <c r="B458" s="3668"/>
      <c r="C458" s="3668"/>
      <c r="D458" s="3669"/>
      <c r="E458" s="3517" t="s">
        <v>3899</v>
      </c>
      <c r="F458" s="3526">
        <v>80.86</v>
      </c>
      <c r="G458" s="3511">
        <v>13.12</v>
      </c>
      <c r="H458" s="3505" t="s">
        <v>3557</v>
      </c>
      <c r="I458" s="3561">
        <f ca="1">典型户型修正车!S349</f>
        <v>38</v>
      </c>
    </row>
    <row r="459" spans="1:9" s="3472" customFormat="1">
      <c r="A459" s="3671"/>
      <c r="B459" s="3668"/>
      <c r="C459" s="3668"/>
      <c r="D459" s="3669"/>
      <c r="E459" s="3517" t="s">
        <v>3900</v>
      </c>
      <c r="F459" s="3526">
        <v>40.43</v>
      </c>
      <c r="G459" s="3511">
        <v>6.55</v>
      </c>
      <c r="H459" s="3505" t="s">
        <v>3557</v>
      </c>
      <c r="I459" s="3561">
        <f ca="1">典型户型修正车!S350</f>
        <v>19</v>
      </c>
    </row>
    <row r="460" spans="1:9" s="3472" customFormat="1">
      <c r="A460" s="3671"/>
      <c r="B460" s="3668"/>
      <c r="C460" s="3668"/>
      <c r="D460" s="3669"/>
      <c r="E460" s="3517" t="s">
        <v>3901</v>
      </c>
      <c r="F460" s="3526">
        <v>80.86</v>
      </c>
      <c r="G460" s="3511">
        <v>13.12</v>
      </c>
      <c r="H460" s="3505" t="s">
        <v>3557</v>
      </c>
      <c r="I460" s="3561">
        <f ca="1">典型户型修正车!S351</f>
        <v>38</v>
      </c>
    </row>
    <row r="461" spans="1:9" s="3472" customFormat="1">
      <c r="A461" s="3671"/>
      <c r="B461" s="3668"/>
      <c r="C461" s="3668"/>
      <c r="D461" s="3669"/>
      <c r="E461" s="3517" t="s">
        <v>3902</v>
      </c>
      <c r="F461" s="3526">
        <v>80.86</v>
      </c>
      <c r="G461" s="3511">
        <v>13.12</v>
      </c>
      <c r="H461" s="3505" t="s">
        <v>3557</v>
      </c>
      <c r="I461" s="3561">
        <f ca="1">典型户型修正车!S352</f>
        <v>38</v>
      </c>
    </row>
    <row r="462" spans="1:9" s="3472" customFormat="1">
      <c r="A462" s="3671"/>
      <c r="B462" s="3668"/>
      <c r="C462" s="3668"/>
      <c r="D462" s="3669"/>
      <c r="E462" s="3517" t="s">
        <v>3903</v>
      </c>
      <c r="F462" s="3526">
        <v>80.86</v>
      </c>
      <c r="G462" s="3511">
        <v>13.12</v>
      </c>
      <c r="H462" s="3505" t="s">
        <v>3557</v>
      </c>
      <c r="I462" s="3561">
        <f ca="1">典型户型修正车!S353</f>
        <v>38</v>
      </c>
    </row>
    <row r="463" spans="1:9" s="3472" customFormat="1">
      <c r="A463" s="3671"/>
      <c r="B463" s="3668"/>
      <c r="C463" s="3668"/>
      <c r="D463" s="3669"/>
      <c r="E463" s="3517" t="s">
        <v>3904</v>
      </c>
      <c r="F463" s="3526">
        <v>80.86</v>
      </c>
      <c r="G463" s="3511">
        <v>13.12</v>
      </c>
      <c r="H463" s="3505" t="s">
        <v>3557</v>
      </c>
      <c r="I463" s="3561">
        <f ca="1">典型户型修正车!S354</f>
        <v>38</v>
      </c>
    </row>
    <row r="464" spans="1:9" s="3472" customFormat="1">
      <c r="A464" s="3671"/>
      <c r="B464" s="3668"/>
      <c r="C464" s="3668"/>
      <c r="D464" s="3669"/>
      <c r="E464" s="3517" t="s">
        <v>3905</v>
      </c>
      <c r="F464" s="3526">
        <v>40.43</v>
      </c>
      <c r="G464" s="3511">
        <v>6.55</v>
      </c>
      <c r="H464" s="3505" t="s">
        <v>3557</v>
      </c>
      <c r="I464" s="3561">
        <f ca="1">典型户型修正车!S355</f>
        <v>19</v>
      </c>
    </row>
    <row r="465" spans="1:9" s="3472" customFormat="1">
      <c r="A465" s="3671"/>
      <c r="B465" s="3668"/>
      <c r="C465" s="3668"/>
      <c r="D465" s="3669"/>
      <c r="E465" s="3517" t="s">
        <v>3906</v>
      </c>
      <c r="F465" s="3526">
        <v>40.43</v>
      </c>
      <c r="G465" s="3511">
        <v>6.55</v>
      </c>
      <c r="H465" s="3505" t="s">
        <v>3557</v>
      </c>
      <c r="I465" s="3561">
        <f ca="1">典型户型修正车!S356</f>
        <v>19</v>
      </c>
    </row>
    <row r="466" spans="1:9" s="3472" customFormat="1">
      <c r="A466" s="3671"/>
      <c r="B466" s="3668"/>
      <c r="C466" s="3668"/>
      <c r="D466" s="3669"/>
      <c r="E466" s="3517" t="s">
        <v>3907</v>
      </c>
      <c r="F466" s="3526">
        <v>68.27</v>
      </c>
      <c r="G466" s="3511">
        <v>11.07</v>
      </c>
      <c r="H466" s="3505" t="s">
        <v>3557</v>
      </c>
      <c r="I466" s="3561">
        <f ca="1">典型户型修正车!S357</f>
        <v>32</v>
      </c>
    </row>
    <row r="467" spans="1:9" s="3472" customFormat="1">
      <c r="A467" s="3671"/>
      <c r="B467" s="3668"/>
      <c r="C467" s="3668"/>
      <c r="D467" s="3669"/>
      <c r="E467" s="3517" t="s">
        <v>3908</v>
      </c>
      <c r="F467" s="3526">
        <v>40.43</v>
      </c>
      <c r="G467" s="3511">
        <v>6.55</v>
      </c>
      <c r="H467" s="3505" t="s">
        <v>3557</v>
      </c>
      <c r="I467" s="3561">
        <f ca="1">典型户型修正车!S358</f>
        <v>19</v>
      </c>
    </row>
    <row r="468" spans="1:9" s="3472" customFormat="1">
      <c r="A468" s="3671"/>
      <c r="B468" s="3668"/>
      <c r="C468" s="3668"/>
      <c r="D468" s="3669"/>
      <c r="E468" s="3517" t="s">
        <v>3909</v>
      </c>
      <c r="F468" s="3526">
        <v>40.43</v>
      </c>
      <c r="G468" s="3511">
        <v>6.55</v>
      </c>
      <c r="H468" s="3505" t="s">
        <v>3557</v>
      </c>
      <c r="I468" s="3561">
        <f ca="1">典型户型修正车!S359</f>
        <v>19</v>
      </c>
    </row>
    <row r="469" spans="1:9" s="3472" customFormat="1">
      <c r="A469" s="3671"/>
      <c r="B469" s="3668"/>
      <c r="C469" s="3668"/>
      <c r="D469" s="3669"/>
      <c r="E469" s="3517" t="s">
        <v>3910</v>
      </c>
      <c r="F469" s="3526">
        <v>40.43</v>
      </c>
      <c r="G469" s="3511">
        <v>6.55</v>
      </c>
      <c r="H469" s="3505" t="s">
        <v>3557</v>
      </c>
      <c r="I469" s="3561">
        <f ca="1">典型户型修正车!S360</f>
        <v>19</v>
      </c>
    </row>
    <row r="470" spans="1:9" s="3472" customFormat="1">
      <c r="A470" s="3671"/>
      <c r="B470" s="3668"/>
      <c r="C470" s="3668"/>
      <c r="D470" s="3669"/>
      <c r="E470" s="3517" t="s">
        <v>3911</v>
      </c>
      <c r="F470" s="3526">
        <v>40.43</v>
      </c>
      <c r="G470" s="3511">
        <v>6.55</v>
      </c>
      <c r="H470" s="3505" t="s">
        <v>3557</v>
      </c>
      <c r="I470" s="3561">
        <f ca="1">典型户型修正车!S361</f>
        <v>19</v>
      </c>
    </row>
    <row r="471" spans="1:9" s="3472" customFormat="1">
      <c r="A471" s="3671"/>
      <c r="B471" s="3668"/>
      <c r="C471" s="3668"/>
      <c r="D471" s="3669"/>
      <c r="E471" s="3517" t="s">
        <v>3912</v>
      </c>
      <c r="F471" s="3526">
        <v>40.43</v>
      </c>
      <c r="G471" s="3511">
        <v>6.55</v>
      </c>
      <c r="H471" s="3505" t="s">
        <v>3557</v>
      </c>
      <c r="I471" s="3561">
        <f ca="1">典型户型修正车!S362</f>
        <v>19</v>
      </c>
    </row>
    <row r="472" spans="1:9" s="3472" customFormat="1">
      <c r="A472" s="3671"/>
      <c r="B472" s="3668"/>
      <c r="C472" s="3668"/>
      <c r="D472" s="3669"/>
      <c r="E472" s="3517" t="s">
        <v>3913</v>
      </c>
      <c r="F472" s="3526">
        <v>40.43</v>
      </c>
      <c r="G472" s="3511">
        <v>6.55</v>
      </c>
      <c r="H472" s="3505" t="s">
        <v>3557</v>
      </c>
      <c r="I472" s="3561">
        <f ca="1">典型户型修正车!S363</f>
        <v>19</v>
      </c>
    </row>
    <row r="473" spans="1:9" s="3472" customFormat="1">
      <c r="A473" s="3671"/>
      <c r="B473" s="3668"/>
      <c r="C473" s="3668"/>
      <c r="D473" s="3669"/>
      <c r="E473" s="3517" t="s">
        <v>3914</v>
      </c>
      <c r="F473" s="3526">
        <v>80.86</v>
      </c>
      <c r="G473" s="3511">
        <v>13.12</v>
      </c>
      <c r="H473" s="3505" t="s">
        <v>3557</v>
      </c>
      <c r="I473" s="3561">
        <f ca="1">典型户型修正车!S364</f>
        <v>38</v>
      </c>
    </row>
    <row r="474" spans="1:9" s="3472" customFormat="1">
      <c r="A474" s="3671"/>
      <c r="B474" s="3668" t="s">
        <v>3818</v>
      </c>
      <c r="C474" s="3668" t="s">
        <v>3819</v>
      </c>
      <c r="D474" s="3669" t="s">
        <v>3820</v>
      </c>
      <c r="E474" s="3517" t="s">
        <v>3915</v>
      </c>
      <c r="F474" s="3526">
        <v>80.86</v>
      </c>
      <c r="G474" s="3511">
        <v>13.12</v>
      </c>
      <c r="H474" s="3505" t="s">
        <v>3557</v>
      </c>
      <c r="I474" s="3561">
        <f ca="1">典型户型修正车!S365</f>
        <v>38</v>
      </c>
    </row>
    <row r="475" spans="1:9" s="3472" customFormat="1">
      <c r="A475" s="3671"/>
      <c r="B475" s="3668"/>
      <c r="C475" s="3668"/>
      <c r="D475" s="3669"/>
      <c r="E475" s="3517" t="s">
        <v>3916</v>
      </c>
      <c r="F475" s="3526">
        <v>80.86</v>
      </c>
      <c r="G475" s="3511">
        <v>13.12</v>
      </c>
      <c r="H475" s="3505" t="s">
        <v>3557</v>
      </c>
      <c r="I475" s="3561">
        <f ca="1">典型户型修正车!S366</f>
        <v>38</v>
      </c>
    </row>
    <row r="476" spans="1:9" s="3472" customFormat="1">
      <c r="A476" s="3671"/>
      <c r="B476" s="3668"/>
      <c r="C476" s="3668"/>
      <c r="D476" s="3669"/>
      <c r="E476" s="3517" t="s">
        <v>3917</v>
      </c>
      <c r="F476" s="3526">
        <v>40.43</v>
      </c>
      <c r="G476" s="3511">
        <v>6.55</v>
      </c>
      <c r="H476" s="3505" t="s">
        <v>3557</v>
      </c>
      <c r="I476" s="3561">
        <f ca="1">典型户型修正车!S367</f>
        <v>19</v>
      </c>
    </row>
    <row r="477" spans="1:9" s="3472" customFormat="1">
      <c r="A477" s="3671"/>
      <c r="B477" s="3668"/>
      <c r="C477" s="3668"/>
      <c r="D477" s="3669"/>
      <c r="E477" s="3517" t="s">
        <v>3918</v>
      </c>
      <c r="F477" s="3526">
        <v>40.43</v>
      </c>
      <c r="G477" s="3511">
        <v>6.55</v>
      </c>
      <c r="H477" s="3505" t="s">
        <v>3557</v>
      </c>
      <c r="I477" s="3561">
        <f ca="1">典型户型修正车!S368</f>
        <v>19</v>
      </c>
    </row>
    <row r="478" spans="1:9" s="3472" customFormat="1">
      <c r="A478" s="3671"/>
      <c r="B478" s="3668"/>
      <c r="C478" s="3668"/>
      <c r="D478" s="3669"/>
      <c r="E478" s="3517" t="s">
        <v>3919</v>
      </c>
      <c r="F478" s="3526">
        <v>40.43</v>
      </c>
      <c r="G478" s="3511">
        <v>6.55</v>
      </c>
      <c r="H478" s="3505" t="s">
        <v>3557</v>
      </c>
      <c r="I478" s="3561">
        <f ca="1">典型户型修正车!S369</f>
        <v>19</v>
      </c>
    </row>
    <row r="479" spans="1:9" s="3472" customFormat="1">
      <c r="A479" s="3671"/>
      <c r="B479" s="3668"/>
      <c r="C479" s="3668"/>
      <c r="D479" s="3669"/>
      <c r="E479" s="3517" t="s">
        <v>3920</v>
      </c>
      <c r="F479" s="3526">
        <v>40.43</v>
      </c>
      <c r="G479" s="3511">
        <v>6.55</v>
      </c>
      <c r="H479" s="3505" t="s">
        <v>3557</v>
      </c>
      <c r="I479" s="3561">
        <f ca="1">典型户型修正车!S370</f>
        <v>19</v>
      </c>
    </row>
    <row r="480" spans="1:9" s="3472" customFormat="1">
      <c r="A480" s="3671"/>
      <c r="B480" s="3668"/>
      <c r="C480" s="3668"/>
      <c r="D480" s="3669"/>
      <c r="E480" s="3517" t="s">
        <v>3921</v>
      </c>
      <c r="F480" s="3526">
        <v>40.43</v>
      </c>
      <c r="G480" s="3511">
        <v>6.55</v>
      </c>
      <c r="H480" s="3505" t="s">
        <v>3557</v>
      </c>
      <c r="I480" s="3561">
        <f ca="1">典型户型修正车!S371</f>
        <v>19</v>
      </c>
    </row>
    <row r="481" spans="1:9" s="3472" customFormat="1">
      <c r="A481" s="3671"/>
      <c r="B481" s="3668"/>
      <c r="C481" s="3668"/>
      <c r="D481" s="3669"/>
      <c r="E481" s="3517" t="s">
        <v>3922</v>
      </c>
      <c r="F481" s="3526">
        <v>40.43</v>
      </c>
      <c r="G481" s="3511">
        <v>6.55</v>
      </c>
      <c r="H481" s="3505" t="s">
        <v>3557</v>
      </c>
      <c r="I481" s="3561">
        <f ca="1">典型户型修正车!S372</f>
        <v>19</v>
      </c>
    </row>
    <row r="482" spans="1:9" s="3472" customFormat="1">
      <c r="A482" s="3671"/>
      <c r="B482" s="3668"/>
      <c r="C482" s="3668"/>
      <c r="D482" s="3669"/>
      <c r="E482" s="3517" t="s">
        <v>3923</v>
      </c>
      <c r="F482" s="3526">
        <v>40.43</v>
      </c>
      <c r="G482" s="3511">
        <v>6.55</v>
      </c>
      <c r="H482" s="3505" t="s">
        <v>3557</v>
      </c>
      <c r="I482" s="3561">
        <f ca="1">典型户型修正车!S373</f>
        <v>19</v>
      </c>
    </row>
    <row r="483" spans="1:9" s="3472" customFormat="1">
      <c r="A483" s="3671"/>
      <c r="B483" s="3668"/>
      <c r="C483" s="3668"/>
      <c r="D483" s="3669"/>
      <c r="E483" s="3517" t="s">
        <v>3924</v>
      </c>
      <c r="F483" s="3526">
        <v>40.43</v>
      </c>
      <c r="G483" s="3511">
        <v>6.55</v>
      </c>
      <c r="H483" s="3505" t="s">
        <v>3557</v>
      </c>
      <c r="I483" s="3561">
        <f ca="1">典型户型修正车!S374</f>
        <v>19</v>
      </c>
    </row>
    <row r="484" spans="1:9" s="3472" customFormat="1">
      <c r="A484" s="3671"/>
      <c r="B484" s="3668"/>
      <c r="C484" s="3668"/>
      <c r="D484" s="3669"/>
      <c r="E484" s="3517" t="s">
        <v>3925</v>
      </c>
      <c r="F484" s="3526">
        <v>40.43</v>
      </c>
      <c r="G484" s="3511">
        <v>6.55</v>
      </c>
      <c r="H484" s="3505" t="s">
        <v>3557</v>
      </c>
      <c r="I484" s="3561">
        <f ca="1">典型户型修正车!S375</f>
        <v>19</v>
      </c>
    </row>
    <row r="485" spans="1:9" s="3472" customFormat="1">
      <c r="A485" s="3671"/>
      <c r="B485" s="3668"/>
      <c r="C485" s="3668"/>
      <c r="D485" s="3669"/>
      <c r="E485" s="3517" t="s">
        <v>3926</v>
      </c>
      <c r="F485" s="3526">
        <v>40.43</v>
      </c>
      <c r="G485" s="3511">
        <v>6.55</v>
      </c>
      <c r="H485" s="3505" t="s">
        <v>3557</v>
      </c>
      <c r="I485" s="3561">
        <f ca="1">典型户型修正车!S376</f>
        <v>19</v>
      </c>
    </row>
    <row r="486" spans="1:9" s="3472" customFormat="1">
      <c r="A486" s="3671"/>
      <c r="B486" s="3668"/>
      <c r="C486" s="3668"/>
      <c r="D486" s="3669"/>
      <c r="E486" s="3517" t="s">
        <v>3927</v>
      </c>
      <c r="F486" s="3526">
        <v>40.43</v>
      </c>
      <c r="G486" s="3511">
        <v>6.55</v>
      </c>
      <c r="H486" s="3505" t="s">
        <v>3557</v>
      </c>
      <c r="I486" s="3561">
        <f ca="1">典型户型修正车!S377</f>
        <v>19</v>
      </c>
    </row>
    <row r="487" spans="1:9" s="3472" customFormat="1">
      <c r="A487" s="3671"/>
      <c r="B487" s="3668"/>
      <c r="C487" s="3668"/>
      <c r="D487" s="3669"/>
      <c r="E487" s="3517" t="s">
        <v>3928</v>
      </c>
      <c r="F487" s="3526">
        <v>40.43</v>
      </c>
      <c r="G487" s="3511">
        <v>6.55</v>
      </c>
      <c r="H487" s="3505" t="s">
        <v>3557</v>
      </c>
      <c r="I487" s="3561">
        <f ca="1">典型户型修正车!S378</f>
        <v>19</v>
      </c>
    </row>
    <row r="488" spans="1:9" s="3472" customFormat="1">
      <c r="A488" s="3671"/>
      <c r="B488" s="3668"/>
      <c r="C488" s="3668"/>
      <c r="D488" s="3669"/>
      <c r="E488" s="3517" t="s">
        <v>3929</v>
      </c>
      <c r="F488" s="3526">
        <v>40.43</v>
      </c>
      <c r="G488" s="3511">
        <v>6.55</v>
      </c>
      <c r="H488" s="3505" t="s">
        <v>3557</v>
      </c>
      <c r="I488" s="3561">
        <f ca="1">典型户型修正车!S379</f>
        <v>19</v>
      </c>
    </row>
    <row r="489" spans="1:9" s="3472" customFormat="1">
      <c r="A489" s="3671"/>
      <c r="B489" s="3668"/>
      <c r="C489" s="3668"/>
      <c r="D489" s="3669"/>
      <c r="E489" s="3517" t="s">
        <v>3930</v>
      </c>
      <c r="F489" s="3526">
        <v>40.43</v>
      </c>
      <c r="G489" s="3511">
        <v>6.55</v>
      </c>
      <c r="H489" s="3505" t="s">
        <v>3557</v>
      </c>
      <c r="I489" s="3561">
        <f ca="1">典型户型修正车!S380</f>
        <v>19</v>
      </c>
    </row>
    <row r="490" spans="1:9" s="3472" customFormat="1">
      <c r="A490" s="3671"/>
      <c r="B490" s="3668"/>
      <c r="C490" s="3668"/>
      <c r="D490" s="3669"/>
      <c r="E490" s="3517" t="s">
        <v>3931</v>
      </c>
      <c r="F490" s="3526">
        <v>40.43</v>
      </c>
      <c r="G490" s="3511">
        <v>6.55</v>
      </c>
      <c r="H490" s="3505" t="s">
        <v>3557</v>
      </c>
      <c r="I490" s="3561">
        <f ca="1">典型户型修正车!S381</f>
        <v>19</v>
      </c>
    </row>
    <row r="491" spans="1:9" s="3472" customFormat="1">
      <c r="A491" s="3671"/>
      <c r="B491" s="3668"/>
      <c r="C491" s="3668"/>
      <c r="D491" s="3669"/>
      <c r="E491" s="3517" t="s">
        <v>3932</v>
      </c>
      <c r="F491" s="3526">
        <v>40.43</v>
      </c>
      <c r="G491" s="3511">
        <v>6.55</v>
      </c>
      <c r="H491" s="3505" t="s">
        <v>3557</v>
      </c>
      <c r="I491" s="3561">
        <f ca="1">典型户型修正车!S382</f>
        <v>19</v>
      </c>
    </row>
    <row r="492" spans="1:9" s="3472" customFormat="1">
      <c r="A492" s="3671"/>
      <c r="B492" s="3668"/>
      <c r="C492" s="3668"/>
      <c r="D492" s="3669"/>
      <c r="E492" s="3517" t="s">
        <v>3933</v>
      </c>
      <c r="F492" s="3526">
        <v>40.43</v>
      </c>
      <c r="G492" s="3511">
        <v>6.55</v>
      </c>
      <c r="H492" s="3505" t="s">
        <v>3557</v>
      </c>
      <c r="I492" s="3561">
        <f ca="1">典型户型修正车!S383</f>
        <v>19</v>
      </c>
    </row>
    <row r="493" spans="1:9" s="3472" customFormat="1">
      <c r="A493" s="3671"/>
      <c r="B493" s="3668"/>
      <c r="C493" s="3668"/>
      <c r="D493" s="3669"/>
      <c r="E493" s="3517" t="s">
        <v>3934</v>
      </c>
      <c r="F493" s="3526">
        <v>40.43</v>
      </c>
      <c r="G493" s="3511">
        <v>6.55</v>
      </c>
      <c r="H493" s="3505" t="s">
        <v>3557</v>
      </c>
      <c r="I493" s="3561">
        <f ca="1">典型户型修正车!S384</f>
        <v>19</v>
      </c>
    </row>
    <row r="494" spans="1:9" s="3472" customFormat="1">
      <c r="A494" s="3671"/>
      <c r="B494" s="3668"/>
      <c r="C494" s="3668"/>
      <c r="D494" s="3669"/>
      <c r="E494" s="3517" t="s">
        <v>3935</v>
      </c>
      <c r="F494" s="3526">
        <v>40.43</v>
      </c>
      <c r="G494" s="3511">
        <v>6.55</v>
      </c>
      <c r="H494" s="3505" t="s">
        <v>3557</v>
      </c>
      <c r="I494" s="3561">
        <f ca="1">典型户型修正车!S385</f>
        <v>19</v>
      </c>
    </row>
    <row r="495" spans="1:9" s="3472" customFormat="1">
      <c r="A495" s="3671"/>
      <c r="B495" s="3668"/>
      <c r="C495" s="3668"/>
      <c r="D495" s="3669"/>
      <c r="E495" s="3517" t="s">
        <v>3936</v>
      </c>
      <c r="F495" s="3526">
        <v>40.43</v>
      </c>
      <c r="G495" s="3511">
        <v>6.55</v>
      </c>
      <c r="H495" s="3505" t="s">
        <v>3557</v>
      </c>
      <c r="I495" s="3561">
        <f ca="1">典型户型修正车!S386</f>
        <v>19</v>
      </c>
    </row>
    <row r="496" spans="1:9" s="3472" customFormat="1">
      <c r="A496" s="3671"/>
      <c r="B496" s="3668"/>
      <c r="C496" s="3668"/>
      <c r="D496" s="3669"/>
      <c r="E496" s="3517" t="s">
        <v>3937</v>
      </c>
      <c r="F496" s="3526">
        <v>40.43</v>
      </c>
      <c r="G496" s="3511">
        <v>6.55</v>
      </c>
      <c r="H496" s="3505" t="s">
        <v>3557</v>
      </c>
      <c r="I496" s="3561">
        <f ca="1">典型户型修正车!S387</f>
        <v>19</v>
      </c>
    </row>
    <row r="497" spans="1:9" s="3472" customFormat="1">
      <c r="A497" s="3671"/>
      <c r="B497" s="3668"/>
      <c r="C497" s="3668"/>
      <c r="D497" s="3669"/>
      <c r="E497" s="3517" t="s">
        <v>3938</v>
      </c>
      <c r="F497" s="3526">
        <v>40.43</v>
      </c>
      <c r="G497" s="3511">
        <v>6.55</v>
      </c>
      <c r="H497" s="3505" t="s">
        <v>3557</v>
      </c>
      <c r="I497" s="3561">
        <f ca="1">典型户型修正车!S388</f>
        <v>19</v>
      </c>
    </row>
    <row r="498" spans="1:9" s="3472" customFormat="1">
      <c r="A498" s="3671"/>
      <c r="B498" s="3668"/>
      <c r="C498" s="3668"/>
      <c r="D498" s="3669"/>
      <c r="E498" s="3517" t="s">
        <v>3939</v>
      </c>
      <c r="F498" s="3526">
        <v>40.43</v>
      </c>
      <c r="G498" s="3511">
        <v>6.55</v>
      </c>
      <c r="H498" s="3505" t="s">
        <v>3557</v>
      </c>
      <c r="I498" s="3561">
        <f ca="1">典型户型修正车!S389</f>
        <v>19</v>
      </c>
    </row>
    <row r="499" spans="1:9" s="3472" customFormat="1">
      <c r="A499" s="3671"/>
      <c r="B499" s="3668"/>
      <c r="C499" s="3668"/>
      <c r="D499" s="3669"/>
      <c r="E499" s="3517" t="s">
        <v>3940</v>
      </c>
      <c r="F499" s="3526">
        <v>40.43</v>
      </c>
      <c r="G499" s="3511">
        <v>6.55</v>
      </c>
      <c r="H499" s="3505" t="s">
        <v>3557</v>
      </c>
      <c r="I499" s="3561">
        <f ca="1">典型户型修正车!S390</f>
        <v>19</v>
      </c>
    </row>
    <row r="500" spans="1:9" s="3472" customFormat="1">
      <c r="A500" s="3671"/>
      <c r="B500" s="3668"/>
      <c r="C500" s="3668"/>
      <c r="D500" s="3669"/>
      <c r="E500" s="3517" t="s">
        <v>3941</v>
      </c>
      <c r="F500" s="3526">
        <v>40.43</v>
      </c>
      <c r="G500" s="3511">
        <v>6.55</v>
      </c>
      <c r="H500" s="3505" t="s">
        <v>3557</v>
      </c>
      <c r="I500" s="3561">
        <f ca="1">典型户型修正车!S391</f>
        <v>19</v>
      </c>
    </row>
    <row r="501" spans="1:9" s="3472" customFormat="1">
      <c r="A501" s="3671"/>
      <c r="B501" s="3668"/>
      <c r="C501" s="3668"/>
      <c r="D501" s="3669"/>
      <c r="E501" s="3517" t="s">
        <v>3942</v>
      </c>
      <c r="F501" s="3526">
        <v>40.43</v>
      </c>
      <c r="G501" s="3511">
        <v>6.55</v>
      </c>
      <c r="H501" s="3505" t="s">
        <v>3557</v>
      </c>
      <c r="I501" s="3561">
        <f ca="1">典型户型修正车!S392</f>
        <v>19</v>
      </c>
    </row>
    <row r="502" spans="1:9" s="3472" customFormat="1">
      <c r="A502" s="3671"/>
      <c r="B502" s="3668"/>
      <c r="C502" s="3668"/>
      <c r="D502" s="3669"/>
      <c r="E502" s="3517" t="s">
        <v>3943</v>
      </c>
      <c r="F502" s="3526">
        <v>40.43</v>
      </c>
      <c r="G502" s="3511">
        <v>6.55</v>
      </c>
      <c r="H502" s="3505" t="s">
        <v>3557</v>
      </c>
      <c r="I502" s="3561">
        <f ca="1">典型户型修正车!S393</f>
        <v>19</v>
      </c>
    </row>
    <row r="503" spans="1:9" s="3472" customFormat="1">
      <c r="A503" s="3671"/>
      <c r="B503" s="3668"/>
      <c r="C503" s="3668"/>
      <c r="D503" s="3669"/>
      <c r="E503" s="3517" t="s">
        <v>3944</v>
      </c>
      <c r="F503" s="3526">
        <v>40.43</v>
      </c>
      <c r="G503" s="3511">
        <v>6.55</v>
      </c>
      <c r="H503" s="3505" t="s">
        <v>3557</v>
      </c>
      <c r="I503" s="3561">
        <f ca="1">典型户型修正车!S394</f>
        <v>19</v>
      </c>
    </row>
    <row r="504" spans="1:9" s="3472" customFormat="1">
      <c r="A504" s="3671"/>
      <c r="B504" s="3668"/>
      <c r="C504" s="3668"/>
      <c r="D504" s="3669"/>
      <c r="E504" s="3517" t="s">
        <v>3945</v>
      </c>
      <c r="F504" s="3526">
        <v>40.43</v>
      </c>
      <c r="G504" s="3511">
        <v>6.55</v>
      </c>
      <c r="H504" s="3505" t="s">
        <v>3557</v>
      </c>
      <c r="I504" s="3561">
        <f ca="1">典型户型修正车!S395</f>
        <v>19</v>
      </c>
    </row>
    <row r="505" spans="1:9" s="3472" customFormat="1">
      <c r="A505" s="3671"/>
      <c r="B505" s="3668"/>
      <c r="C505" s="3668"/>
      <c r="D505" s="3669"/>
      <c r="E505" s="3517" t="s">
        <v>3946</v>
      </c>
      <c r="F505" s="3526">
        <v>40.43</v>
      </c>
      <c r="G505" s="3511">
        <v>6.55</v>
      </c>
      <c r="H505" s="3505" t="s">
        <v>3557</v>
      </c>
      <c r="I505" s="3561">
        <f ca="1">典型户型修正车!S396</f>
        <v>19</v>
      </c>
    </row>
    <row r="506" spans="1:9" s="3472" customFormat="1">
      <c r="A506" s="3671"/>
      <c r="B506" s="3668"/>
      <c r="C506" s="3668"/>
      <c r="D506" s="3669"/>
      <c r="E506" s="3517" t="s">
        <v>3947</v>
      </c>
      <c r="F506" s="3526">
        <v>40.43</v>
      </c>
      <c r="G506" s="3511">
        <v>6.55</v>
      </c>
      <c r="H506" s="3505" t="s">
        <v>3557</v>
      </c>
      <c r="I506" s="3561">
        <f ca="1">典型户型修正车!S397</f>
        <v>19</v>
      </c>
    </row>
    <row r="507" spans="1:9" s="3472" customFormat="1">
      <c r="A507" s="3671"/>
      <c r="B507" s="3668"/>
      <c r="C507" s="3668"/>
      <c r="D507" s="3669"/>
      <c r="E507" s="3517" t="s">
        <v>3948</v>
      </c>
      <c r="F507" s="3526">
        <v>40.43</v>
      </c>
      <c r="G507" s="3511">
        <v>6.56</v>
      </c>
      <c r="H507" s="3505" t="s">
        <v>3557</v>
      </c>
      <c r="I507" s="3561">
        <f ca="1">典型户型修正车!S398</f>
        <v>19</v>
      </c>
    </row>
    <row r="508" spans="1:9" s="3472" customFormat="1">
      <c r="A508" s="3671"/>
      <c r="B508" s="3668"/>
      <c r="C508" s="3668"/>
      <c r="D508" s="3669"/>
      <c r="E508" s="3517" t="s">
        <v>3949</v>
      </c>
      <c r="F508" s="3526">
        <v>40.43</v>
      </c>
      <c r="G508" s="3511">
        <v>6.56</v>
      </c>
      <c r="H508" s="3505" t="s">
        <v>3557</v>
      </c>
      <c r="I508" s="3561">
        <f ca="1">典型户型修正车!S399</f>
        <v>19</v>
      </c>
    </row>
    <row r="509" spans="1:9" s="3472" customFormat="1">
      <c r="A509" s="3671"/>
      <c r="B509" s="3668"/>
      <c r="C509" s="3668"/>
      <c r="D509" s="3669"/>
      <c r="E509" s="3517" t="s">
        <v>3950</v>
      </c>
      <c r="F509" s="3526">
        <v>40.43</v>
      </c>
      <c r="G509" s="3511">
        <v>6.56</v>
      </c>
      <c r="H509" s="3505" t="s">
        <v>3557</v>
      </c>
      <c r="I509" s="3561">
        <f ca="1">典型户型修正车!S400</f>
        <v>19</v>
      </c>
    </row>
    <row r="510" spans="1:9" s="3472" customFormat="1">
      <c r="A510" s="3671"/>
      <c r="B510" s="3668"/>
      <c r="C510" s="3668"/>
      <c r="D510" s="3669"/>
      <c r="E510" s="3517" t="s">
        <v>3951</v>
      </c>
      <c r="F510" s="3526">
        <v>40.43</v>
      </c>
      <c r="G510" s="3511">
        <v>6.56</v>
      </c>
      <c r="H510" s="3505" t="s">
        <v>3557</v>
      </c>
      <c r="I510" s="3561">
        <f ca="1">典型户型修正车!S401</f>
        <v>19</v>
      </c>
    </row>
    <row r="511" spans="1:9" s="3472" customFormat="1">
      <c r="A511" s="3671"/>
      <c r="B511" s="3668" t="s">
        <v>3818</v>
      </c>
      <c r="C511" s="3668" t="s">
        <v>3819</v>
      </c>
      <c r="D511" s="3669" t="s">
        <v>3820</v>
      </c>
      <c r="E511" s="3517" t="s">
        <v>3952</v>
      </c>
      <c r="F511" s="3526">
        <v>40.43</v>
      </c>
      <c r="G511" s="3511">
        <v>6.56</v>
      </c>
      <c r="H511" s="3505" t="s">
        <v>3557</v>
      </c>
      <c r="I511" s="3561">
        <f ca="1">典型户型修正车!S402</f>
        <v>19</v>
      </c>
    </row>
    <row r="512" spans="1:9" s="3472" customFormat="1">
      <c r="A512" s="3671"/>
      <c r="B512" s="3668"/>
      <c r="C512" s="3668"/>
      <c r="D512" s="3669"/>
      <c r="E512" s="3517" t="s">
        <v>3953</v>
      </c>
      <c r="F512" s="3526">
        <v>80.86</v>
      </c>
      <c r="G512" s="3511">
        <v>13.12</v>
      </c>
      <c r="H512" s="3505" t="s">
        <v>3557</v>
      </c>
      <c r="I512" s="3561">
        <f ca="1">典型户型修正车!S403</f>
        <v>38</v>
      </c>
    </row>
    <row r="513" spans="1:9" s="3472" customFormat="1">
      <c r="A513" s="3671"/>
      <c r="B513" s="3668"/>
      <c r="C513" s="3668"/>
      <c r="D513" s="3669"/>
      <c r="E513" s="3517" t="s">
        <v>3954</v>
      </c>
      <c r="F513" s="3526">
        <v>80.86</v>
      </c>
      <c r="G513" s="3511">
        <v>13.12</v>
      </c>
      <c r="H513" s="3505" t="s">
        <v>3557</v>
      </c>
      <c r="I513" s="3561">
        <f ca="1">典型户型修正车!S404</f>
        <v>38</v>
      </c>
    </row>
    <row r="514" spans="1:9" s="3472" customFormat="1">
      <c r="A514" s="3671"/>
      <c r="B514" s="3668"/>
      <c r="C514" s="3668"/>
      <c r="D514" s="3669"/>
      <c r="E514" s="3517" t="s">
        <v>3651</v>
      </c>
      <c r="F514" s="3526">
        <v>40.43</v>
      </c>
      <c r="G514" s="3511">
        <v>6.56</v>
      </c>
      <c r="H514" s="3505" t="s">
        <v>3557</v>
      </c>
      <c r="I514" s="3561">
        <f ca="1">典型户型修正车!S405</f>
        <v>18</v>
      </c>
    </row>
    <row r="515" spans="1:9" s="3472" customFormat="1">
      <c r="A515" s="3671"/>
      <c r="B515" s="3668"/>
      <c r="C515" s="3668"/>
      <c r="D515" s="3669"/>
      <c r="E515" s="3517" t="s">
        <v>3652</v>
      </c>
      <c r="F515" s="3526">
        <v>40.43</v>
      </c>
      <c r="G515" s="3511">
        <v>6.56</v>
      </c>
      <c r="H515" s="3505" t="s">
        <v>3557</v>
      </c>
      <c r="I515" s="3561">
        <f ca="1">典型户型修正车!S406</f>
        <v>18</v>
      </c>
    </row>
    <row r="516" spans="1:9" s="3472" customFormat="1">
      <c r="A516" s="3671"/>
      <c r="B516" s="3668"/>
      <c r="C516" s="3668"/>
      <c r="D516" s="3669"/>
      <c r="E516" s="3517" t="s">
        <v>3653</v>
      </c>
      <c r="F516" s="3526">
        <v>40.43</v>
      </c>
      <c r="G516" s="3511">
        <v>6.56</v>
      </c>
      <c r="H516" s="3505" t="s">
        <v>3557</v>
      </c>
      <c r="I516" s="3561">
        <f ca="1">典型户型修正车!S407</f>
        <v>18</v>
      </c>
    </row>
    <row r="517" spans="1:9" s="3472" customFormat="1">
      <c r="A517" s="3671"/>
      <c r="B517" s="3668"/>
      <c r="C517" s="3668"/>
      <c r="D517" s="3669"/>
      <c r="E517" s="3517" t="s">
        <v>3654</v>
      </c>
      <c r="F517" s="3526">
        <v>40.43</v>
      </c>
      <c r="G517" s="3511">
        <v>6.56</v>
      </c>
      <c r="H517" s="3505" t="s">
        <v>3557</v>
      </c>
      <c r="I517" s="3561">
        <f ca="1">典型户型修正车!S408</f>
        <v>18</v>
      </c>
    </row>
    <row r="518" spans="1:9" s="3472" customFormat="1">
      <c r="A518" s="3671"/>
      <c r="B518" s="3668"/>
      <c r="C518" s="3668"/>
      <c r="D518" s="3669"/>
      <c r="E518" s="3517" t="s">
        <v>3655</v>
      </c>
      <c r="F518" s="3526">
        <v>40.43</v>
      </c>
      <c r="G518" s="3511">
        <v>6.56</v>
      </c>
      <c r="H518" s="3505" t="s">
        <v>3557</v>
      </c>
      <c r="I518" s="3561">
        <f ca="1">典型户型修正车!S409</f>
        <v>18</v>
      </c>
    </row>
    <row r="519" spans="1:9" s="3472" customFormat="1">
      <c r="A519" s="3671"/>
      <c r="B519" s="3668"/>
      <c r="C519" s="3668"/>
      <c r="D519" s="3669"/>
      <c r="E519" s="3517" t="s">
        <v>3656</v>
      </c>
      <c r="F519" s="3526">
        <v>40.43</v>
      </c>
      <c r="G519" s="3511">
        <v>6.56</v>
      </c>
      <c r="H519" s="3505" t="s">
        <v>3557</v>
      </c>
      <c r="I519" s="3561">
        <f ca="1">典型户型修正车!S410</f>
        <v>18</v>
      </c>
    </row>
    <row r="520" spans="1:9" s="3472" customFormat="1">
      <c r="A520" s="3671"/>
      <c r="B520" s="3668"/>
      <c r="C520" s="3668"/>
      <c r="D520" s="3669"/>
      <c r="E520" s="3517" t="s">
        <v>3657</v>
      </c>
      <c r="F520" s="3526">
        <v>40.43</v>
      </c>
      <c r="G520" s="3511">
        <v>6.56</v>
      </c>
      <c r="H520" s="3505" t="s">
        <v>3557</v>
      </c>
      <c r="I520" s="3561">
        <f ca="1">典型户型修正车!S411</f>
        <v>18</v>
      </c>
    </row>
    <row r="521" spans="1:9" s="3472" customFormat="1">
      <c r="A521" s="3671"/>
      <c r="B521" s="3668"/>
      <c r="C521" s="3668"/>
      <c r="D521" s="3669"/>
      <c r="E521" s="3517" t="s">
        <v>3658</v>
      </c>
      <c r="F521" s="3526">
        <v>40.43</v>
      </c>
      <c r="G521" s="3511">
        <v>6.56</v>
      </c>
      <c r="H521" s="3505" t="s">
        <v>3557</v>
      </c>
      <c r="I521" s="3561">
        <f ca="1">典型户型修正车!S412</f>
        <v>18</v>
      </c>
    </row>
    <row r="522" spans="1:9" s="3472" customFormat="1">
      <c r="A522" s="3671"/>
      <c r="B522" s="3668"/>
      <c r="C522" s="3668"/>
      <c r="D522" s="3669"/>
      <c r="E522" s="3517" t="s">
        <v>3659</v>
      </c>
      <c r="F522" s="3526">
        <v>40.43</v>
      </c>
      <c r="G522" s="3511">
        <v>6.56</v>
      </c>
      <c r="H522" s="3505" t="s">
        <v>3557</v>
      </c>
      <c r="I522" s="3561">
        <f ca="1">典型户型修正车!S413</f>
        <v>18</v>
      </c>
    </row>
    <row r="523" spans="1:9" s="3472" customFormat="1">
      <c r="A523" s="3671"/>
      <c r="B523" s="3668"/>
      <c r="C523" s="3668"/>
      <c r="D523" s="3669"/>
      <c r="E523" s="3517" t="s">
        <v>3660</v>
      </c>
      <c r="F523" s="3526">
        <v>40.43</v>
      </c>
      <c r="G523" s="3511">
        <v>6.56</v>
      </c>
      <c r="H523" s="3505" t="s">
        <v>3557</v>
      </c>
      <c r="I523" s="3561">
        <f ca="1">典型户型修正车!S414</f>
        <v>18</v>
      </c>
    </row>
    <row r="524" spans="1:9" s="3472" customFormat="1">
      <c r="A524" s="3671"/>
      <c r="B524" s="3668"/>
      <c r="C524" s="3668"/>
      <c r="D524" s="3669"/>
      <c r="E524" s="3517" t="s">
        <v>3661</v>
      </c>
      <c r="F524" s="3526">
        <v>40.43</v>
      </c>
      <c r="G524" s="3511">
        <v>6.56</v>
      </c>
      <c r="H524" s="3505" t="s">
        <v>3557</v>
      </c>
      <c r="I524" s="3561">
        <f ca="1">典型户型修正车!S415</f>
        <v>18</v>
      </c>
    </row>
    <row r="525" spans="1:9" s="3472" customFormat="1">
      <c r="A525" s="3671"/>
      <c r="B525" s="3668"/>
      <c r="C525" s="3668"/>
      <c r="D525" s="3669"/>
      <c r="E525" s="3517" t="s">
        <v>3662</v>
      </c>
      <c r="F525" s="3526">
        <v>40.43</v>
      </c>
      <c r="G525" s="3511">
        <v>6.56</v>
      </c>
      <c r="H525" s="3505" t="s">
        <v>3557</v>
      </c>
      <c r="I525" s="3561">
        <f ca="1">典型户型修正车!S416</f>
        <v>18</v>
      </c>
    </row>
    <row r="526" spans="1:9" s="3472" customFormat="1">
      <c r="A526" s="3671"/>
      <c r="B526" s="3668"/>
      <c r="C526" s="3668"/>
      <c r="D526" s="3669"/>
      <c r="E526" s="3517" t="s">
        <v>3663</v>
      </c>
      <c r="F526" s="3526">
        <v>40.43</v>
      </c>
      <c r="G526" s="3511">
        <v>6.56</v>
      </c>
      <c r="H526" s="3505" t="s">
        <v>3557</v>
      </c>
      <c r="I526" s="3561">
        <f ca="1">典型户型修正车!S417</f>
        <v>18</v>
      </c>
    </row>
    <row r="527" spans="1:9" s="3472" customFormat="1">
      <c r="A527" s="3671"/>
      <c r="B527" s="3668"/>
      <c r="C527" s="3668"/>
      <c r="D527" s="3669"/>
      <c r="E527" s="3517" t="s">
        <v>3664</v>
      </c>
      <c r="F527" s="3526">
        <v>40.43</v>
      </c>
      <c r="G527" s="3511">
        <v>6.56</v>
      </c>
      <c r="H527" s="3505" t="s">
        <v>3557</v>
      </c>
      <c r="I527" s="3561">
        <f ca="1">典型户型修正车!S418</f>
        <v>18</v>
      </c>
    </row>
    <row r="528" spans="1:9" s="3472" customFormat="1">
      <c r="A528" s="3671"/>
      <c r="B528" s="3668"/>
      <c r="C528" s="3668"/>
      <c r="D528" s="3669"/>
      <c r="E528" s="3517" t="s">
        <v>3955</v>
      </c>
      <c r="F528" s="3526">
        <v>80.86</v>
      </c>
      <c r="G528" s="3511">
        <v>13.12</v>
      </c>
      <c r="H528" s="3505" t="s">
        <v>3557</v>
      </c>
      <c r="I528" s="3561">
        <f ca="1">典型户型修正车!S419</f>
        <v>36</v>
      </c>
    </row>
    <row r="529" spans="1:9" s="3472" customFormat="1">
      <c r="A529" s="3671"/>
      <c r="B529" s="3668"/>
      <c r="C529" s="3668"/>
      <c r="D529" s="3669"/>
      <c r="E529" s="3517" t="s">
        <v>3956</v>
      </c>
      <c r="F529" s="3526">
        <v>40.43</v>
      </c>
      <c r="G529" s="3511">
        <v>6.56</v>
      </c>
      <c r="H529" s="3505" t="s">
        <v>3557</v>
      </c>
      <c r="I529" s="3561">
        <f ca="1">典型户型修正车!S420</f>
        <v>18</v>
      </c>
    </row>
    <row r="530" spans="1:9" s="3472" customFormat="1">
      <c r="A530" s="3671"/>
      <c r="B530" s="3668"/>
      <c r="C530" s="3668"/>
      <c r="D530" s="3669"/>
      <c r="E530" s="3517" t="s">
        <v>3957</v>
      </c>
      <c r="F530" s="3526">
        <v>40.43</v>
      </c>
      <c r="G530" s="3511">
        <v>6.56</v>
      </c>
      <c r="H530" s="3505" t="s">
        <v>3557</v>
      </c>
      <c r="I530" s="3561">
        <f ca="1">典型户型修正车!S421</f>
        <v>18</v>
      </c>
    </row>
    <row r="531" spans="1:9" s="3472" customFormat="1">
      <c r="A531" s="3671"/>
      <c r="B531" s="3668"/>
      <c r="C531" s="3668"/>
      <c r="D531" s="3669"/>
      <c r="E531" s="3517" t="s">
        <v>3958</v>
      </c>
      <c r="F531" s="3526">
        <v>40.43</v>
      </c>
      <c r="G531" s="3511">
        <v>6.56</v>
      </c>
      <c r="H531" s="3505" t="s">
        <v>3557</v>
      </c>
      <c r="I531" s="3561">
        <f ca="1">典型户型修正车!S422</f>
        <v>18</v>
      </c>
    </row>
    <row r="532" spans="1:9" s="3472" customFormat="1">
      <c r="A532" s="3671"/>
      <c r="B532" s="3668"/>
      <c r="C532" s="3668"/>
      <c r="D532" s="3669"/>
      <c r="E532" s="3517" t="s">
        <v>3668</v>
      </c>
      <c r="F532" s="3526">
        <v>40.43</v>
      </c>
      <c r="G532" s="3511">
        <v>6.56</v>
      </c>
      <c r="H532" s="3505" t="s">
        <v>3557</v>
      </c>
      <c r="I532" s="3561">
        <f ca="1">典型户型修正车!S423</f>
        <v>18</v>
      </c>
    </row>
    <row r="533" spans="1:9" s="3472" customFormat="1">
      <c r="A533" s="3671"/>
      <c r="B533" s="3668"/>
      <c r="C533" s="3668"/>
      <c r="D533" s="3669"/>
      <c r="E533" s="3517" t="s">
        <v>3669</v>
      </c>
      <c r="F533" s="3526">
        <v>40.43</v>
      </c>
      <c r="G533" s="3511">
        <v>6.56</v>
      </c>
      <c r="H533" s="3505" t="s">
        <v>3557</v>
      </c>
      <c r="I533" s="3561">
        <f ca="1">典型户型修正车!S424</f>
        <v>18</v>
      </c>
    </row>
    <row r="534" spans="1:9" s="3472" customFormat="1">
      <c r="A534" s="3671"/>
      <c r="B534" s="3668"/>
      <c r="C534" s="3668"/>
      <c r="D534" s="3669"/>
      <c r="E534" s="3517" t="s">
        <v>3670</v>
      </c>
      <c r="F534" s="3526">
        <v>40.43</v>
      </c>
      <c r="G534" s="3511">
        <v>6.56</v>
      </c>
      <c r="H534" s="3505" t="s">
        <v>3557</v>
      </c>
      <c r="I534" s="3561">
        <f ca="1">典型户型修正车!S425</f>
        <v>18</v>
      </c>
    </row>
    <row r="535" spans="1:9" s="3472" customFormat="1">
      <c r="A535" s="3671"/>
      <c r="B535" s="3668"/>
      <c r="C535" s="3668"/>
      <c r="D535" s="3669"/>
      <c r="E535" s="3517" t="s">
        <v>3671</v>
      </c>
      <c r="F535" s="3526">
        <v>40.43</v>
      </c>
      <c r="G535" s="3511">
        <v>6.56</v>
      </c>
      <c r="H535" s="3505" t="s">
        <v>3557</v>
      </c>
      <c r="I535" s="3561">
        <f ca="1">典型户型修正车!S426</f>
        <v>18</v>
      </c>
    </row>
    <row r="536" spans="1:9" s="3472" customFormat="1">
      <c r="A536" s="3671"/>
      <c r="B536" s="3668"/>
      <c r="C536" s="3668"/>
      <c r="D536" s="3669"/>
      <c r="E536" s="3517" t="s">
        <v>3672</v>
      </c>
      <c r="F536" s="3526">
        <v>40.43</v>
      </c>
      <c r="G536" s="3511">
        <v>6.56</v>
      </c>
      <c r="H536" s="3505" t="s">
        <v>3557</v>
      </c>
      <c r="I536" s="3561">
        <f ca="1">典型户型修正车!S427</f>
        <v>18</v>
      </c>
    </row>
    <row r="537" spans="1:9" s="3472" customFormat="1">
      <c r="A537" s="3671"/>
      <c r="B537" s="3668"/>
      <c r="C537" s="3668"/>
      <c r="D537" s="3669"/>
      <c r="E537" s="3517" t="s">
        <v>3673</v>
      </c>
      <c r="F537" s="3526">
        <v>40.43</v>
      </c>
      <c r="G537" s="3511">
        <v>6.56</v>
      </c>
      <c r="H537" s="3505" t="s">
        <v>3557</v>
      </c>
      <c r="I537" s="3561">
        <f ca="1">典型户型修正车!S428</f>
        <v>18</v>
      </c>
    </row>
    <row r="538" spans="1:9" s="3472" customFormat="1">
      <c r="A538" s="3671"/>
      <c r="B538" s="3668"/>
      <c r="C538" s="3668"/>
      <c r="D538" s="3669"/>
      <c r="E538" s="3517" t="s">
        <v>3674</v>
      </c>
      <c r="F538" s="3526">
        <v>40.43</v>
      </c>
      <c r="G538" s="3511">
        <v>6.56</v>
      </c>
      <c r="H538" s="3505" t="s">
        <v>3557</v>
      </c>
      <c r="I538" s="3561">
        <f ca="1">典型户型修正车!S429</f>
        <v>18</v>
      </c>
    </row>
    <row r="539" spans="1:9" s="3472" customFormat="1">
      <c r="A539" s="3671"/>
      <c r="B539" s="3668"/>
      <c r="C539" s="3668"/>
      <c r="D539" s="3669"/>
      <c r="E539" s="3517" t="s">
        <v>3675</v>
      </c>
      <c r="F539" s="3526">
        <v>40.43</v>
      </c>
      <c r="G539" s="3511">
        <v>6.56</v>
      </c>
      <c r="H539" s="3505" t="s">
        <v>3557</v>
      </c>
      <c r="I539" s="3561">
        <f ca="1">典型户型修正车!S430</f>
        <v>18</v>
      </c>
    </row>
    <row r="540" spans="1:9" s="3472" customFormat="1">
      <c r="A540" s="3671"/>
      <c r="B540" s="3668"/>
      <c r="C540" s="3668"/>
      <c r="D540" s="3669"/>
      <c r="E540" s="3517" t="s">
        <v>3676</v>
      </c>
      <c r="F540" s="3526">
        <v>40.43</v>
      </c>
      <c r="G540" s="3511">
        <v>6.56</v>
      </c>
      <c r="H540" s="3505" t="s">
        <v>3557</v>
      </c>
      <c r="I540" s="3561">
        <f ca="1">典型户型修正车!S431</f>
        <v>18</v>
      </c>
    </row>
    <row r="541" spans="1:9" s="3472" customFormat="1">
      <c r="A541" s="3671"/>
      <c r="B541" s="3668"/>
      <c r="C541" s="3668"/>
      <c r="D541" s="3669"/>
      <c r="E541" s="3517" t="s">
        <v>3677</v>
      </c>
      <c r="F541" s="3526">
        <v>40.43</v>
      </c>
      <c r="G541" s="3511">
        <v>6.56</v>
      </c>
      <c r="H541" s="3505" t="s">
        <v>3557</v>
      </c>
      <c r="I541" s="3561">
        <f ca="1">典型户型修正车!S432</f>
        <v>18</v>
      </c>
    </row>
    <row r="542" spans="1:9" s="3472" customFormat="1">
      <c r="A542" s="3671"/>
      <c r="B542" s="3668"/>
      <c r="C542" s="3668"/>
      <c r="D542" s="3669"/>
      <c r="E542" s="3517" t="s">
        <v>3678</v>
      </c>
      <c r="F542" s="3526">
        <v>40.43</v>
      </c>
      <c r="G542" s="3511">
        <v>6.56</v>
      </c>
      <c r="H542" s="3505" t="s">
        <v>3557</v>
      </c>
      <c r="I542" s="3561">
        <f ca="1">典型户型修正车!S433</f>
        <v>18</v>
      </c>
    </row>
    <row r="543" spans="1:9" s="3472" customFormat="1">
      <c r="A543" s="3671"/>
      <c r="B543" s="3668"/>
      <c r="C543" s="3668"/>
      <c r="D543" s="3669"/>
      <c r="E543" s="3517" t="s">
        <v>3679</v>
      </c>
      <c r="F543" s="3526">
        <v>40.43</v>
      </c>
      <c r="G543" s="3511">
        <v>6.56</v>
      </c>
      <c r="H543" s="3505" t="s">
        <v>3557</v>
      </c>
      <c r="I543" s="3561">
        <f ca="1">典型户型修正车!S434</f>
        <v>18</v>
      </c>
    </row>
    <row r="544" spans="1:9" s="3472" customFormat="1">
      <c r="A544" s="3671"/>
      <c r="B544" s="3668"/>
      <c r="C544" s="3668"/>
      <c r="D544" s="3669"/>
      <c r="E544" s="3517" t="s">
        <v>3680</v>
      </c>
      <c r="F544" s="3526">
        <v>40.43</v>
      </c>
      <c r="G544" s="3511">
        <v>6.56</v>
      </c>
      <c r="H544" s="3505" t="s">
        <v>3557</v>
      </c>
      <c r="I544" s="3561">
        <f ca="1">典型户型修正车!S435</f>
        <v>18</v>
      </c>
    </row>
    <row r="545" spans="1:9" s="3472" customFormat="1">
      <c r="A545" s="3671"/>
      <c r="B545" s="3668"/>
      <c r="C545" s="3668"/>
      <c r="D545" s="3669"/>
      <c r="E545" s="3517" t="s">
        <v>3681</v>
      </c>
      <c r="F545" s="3526">
        <v>40.43</v>
      </c>
      <c r="G545" s="3511">
        <v>6.56</v>
      </c>
      <c r="H545" s="3505" t="s">
        <v>3557</v>
      </c>
      <c r="I545" s="3561">
        <f ca="1">典型户型修正车!S436</f>
        <v>18</v>
      </c>
    </row>
    <row r="546" spans="1:9" s="3472" customFormat="1">
      <c r="A546" s="3671"/>
      <c r="B546" s="3668"/>
      <c r="C546" s="3668"/>
      <c r="D546" s="3669"/>
      <c r="E546" s="3517" t="s">
        <v>3682</v>
      </c>
      <c r="F546" s="3526">
        <v>40.43</v>
      </c>
      <c r="G546" s="3511">
        <v>6.56</v>
      </c>
      <c r="H546" s="3505" t="s">
        <v>3557</v>
      </c>
      <c r="I546" s="3561">
        <f ca="1">典型户型修正车!S437</f>
        <v>18</v>
      </c>
    </row>
    <row r="547" spans="1:9" s="3472" customFormat="1">
      <c r="A547" s="3671"/>
      <c r="B547" s="3668"/>
      <c r="C547" s="3668"/>
      <c r="D547" s="3669"/>
      <c r="E547" s="3517" t="s">
        <v>3683</v>
      </c>
      <c r="F547" s="3526">
        <v>40.43</v>
      </c>
      <c r="G547" s="3511">
        <v>6.56</v>
      </c>
      <c r="H547" s="3505" t="s">
        <v>3557</v>
      </c>
      <c r="I547" s="3561">
        <f ca="1">典型户型修正车!S438</f>
        <v>18</v>
      </c>
    </row>
    <row r="548" spans="1:9" s="3472" customFormat="1">
      <c r="A548" s="3671"/>
      <c r="B548" s="3668" t="s">
        <v>3818</v>
      </c>
      <c r="C548" s="3668" t="s">
        <v>3819</v>
      </c>
      <c r="D548" s="3669" t="s">
        <v>3820</v>
      </c>
      <c r="E548" s="3517" t="s">
        <v>3684</v>
      </c>
      <c r="F548" s="3526">
        <v>40.43</v>
      </c>
      <c r="G548" s="3511">
        <v>6.56</v>
      </c>
      <c r="H548" s="3505" t="s">
        <v>3557</v>
      </c>
      <c r="I548" s="3561">
        <f ca="1">典型户型修正车!S439</f>
        <v>18</v>
      </c>
    </row>
    <row r="549" spans="1:9" s="3472" customFormat="1">
      <c r="A549" s="3671"/>
      <c r="B549" s="3668"/>
      <c r="C549" s="3668"/>
      <c r="D549" s="3669"/>
      <c r="E549" s="3517" t="s">
        <v>3685</v>
      </c>
      <c r="F549" s="3526">
        <v>40.43</v>
      </c>
      <c r="G549" s="3511">
        <v>6.56</v>
      </c>
      <c r="H549" s="3505" t="s">
        <v>3557</v>
      </c>
      <c r="I549" s="3561">
        <f ca="1">典型户型修正车!S440</f>
        <v>18</v>
      </c>
    </row>
    <row r="550" spans="1:9" s="3472" customFormat="1">
      <c r="A550" s="3671"/>
      <c r="B550" s="3668"/>
      <c r="C550" s="3668"/>
      <c r="D550" s="3669"/>
      <c r="E550" s="3517" t="s">
        <v>3686</v>
      </c>
      <c r="F550" s="3526">
        <v>40.43</v>
      </c>
      <c r="G550" s="3511">
        <v>6.56</v>
      </c>
      <c r="H550" s="3505" t="s">
        <v>3557</v>
      </c>
      <c r="I550" s="3561">
        <f ca="1">典型户型修正车!S441</f>
        <v>18</v>
      </c>
    </row>
    <row r="551" spans="1:9" s="3472" customFormat="1">
      <c r="A551" s="3671"/>
      <c r="B551" s="3668"/>
      <c r="C551" s="3668"/>
      <c r="D551" s="3669"/>
      <c r="E551" s="3517" t="s">
        <v>3687</v>
      </c>
      <c r="F551" s="3526">
        <v>40.43</v>
      </c>
      <c r="G551" s="3511">
        <v>6.56</v>
      </c>
      <c r="H551" s="3505" t="s">
        <v>3557</v>
      </c>
      <c r="I551" s="3561">
        <f ca="1">典型户型修正车!S442</f>
        <v>18</v>
      </c>
    </row>
    <row r="552" spans="1:9" s="3472" customFormat="1">
      <c r="A552" s="3671"/>
      <c r="B552" s="3668"/>
      <c r="C552" s="3668"/>
      <c r="D552" s="3669"/>
      <c r="E552" s="3517" t="s">
        <v>3688</v>
      </c>
      <c r="F552" s="3526">
        <v>40.43</v>
      </c>
      <c r="G552" s="3511">
        <v>6.56</v>
      </c>
      <c r="H552" s="3505" t="s">
        <v>3557</v>
      </c>
      <c r="I552" s="3561">
        <f ca="1">典型户型修正车!S443</f>
        <v>18</v>
      </c>
    </row>
    <row r="553" spans="1:9" s="3472" customFormat="1">
      <c r="A553" s="3671"/>
      <c r="B553" s="3668"/>
      <c r="C553" s="3668"/>
      <c r="D553" s="3669"/>
      <c r="E553" s="3517" t="s">
        <v>3689</v>
      </c>
      <c r="F553" s="3526">
        <v>40.43</v>
      </c>
      <c r="G553" s="3511">
        <v>6.56</v>
      </c>
      <c r="H553" s="3505" t="s">
        <v>3557</v>
      </c>
      <c r="I553" s="3561">
        <f ca="1">典型户型修正车!S444</f>
        <v>18</v>
      </c>
    </row>
    <row r="554" spans="1:9" s="3472" customFormat="1">
      <c r="A554" s="3671"/>
      <c r="B554" s="3668"/>
      <c r="C554" s="3668"/>
      <c r="D554" s="3669"/>
      <c r="E554" s="3517" t="s">
        <v>3690</v>
      </c>
      <c r="F554" s="3526">
        <v>40.43</v>
      </c>
      <c r="G554" s="3511">
        <v>6.56</v>
      </c>
      <c r="H554" s="3505" t="s">
        <v>3557</v>
      </c>
      <c r="I554" s="3561">
        <f ca="1">典型户型修正车!S445</f>
        <v>18</v>
      </c>
    </row>
    <row r="555" spans="1:9" s="3472" customFormat="1">
      <c r="A555" s="3671"/>
      <c r="B555" s="3668"/>
      <c r="C555" s="3668"/>
      <c r="D555" s="3669"/>
      <c r="E555" s="3517" t="s">
        <v>3691</v>
      </c>
      <c r="F555" s="3526">
        <v>40.43</v>
      </c>
      <c r="G555" s="3511">
        <v>6.56</v>
      </c>
      <c r="H555" s="3505" t="s">
        <v>3557</v>
      </c>
      <c r="I555" s="3561">
        <f ca="1">典型户型修正车!S446</f>
        <v>18</v>
      </c>
    </row>
    <row r="556" spans="1:9" s="3472" customFormat="1">
      <c r="A556" s="3671"/>
      <c r="B556" s="3668"/>
      <c r="C556" s="3668"/>
      <c r="D556" s="3669"/>
      <c r="E556" s="3517" t="s">
        <v>3692</v>
      </c>
      <c r="F556" s="3526">
        <v>40.43</v>
      </c>
      <c r="G556" s="3511">
        <v>6.56</v>
      </c>
      <c r="H556" s="3505" t="s">
        <v>3557</v>
      </c>
      <c r="I556" s="3561">
        <f ca="1">典型户型修正车!S447</f>
        <v>18</v>
      </c>
    </row>
    <row r="557" spans="1:9" s="3472" customFormat="1">
      <c r="A557" s="3671"/>
      <c r="B557" s="3668"/>
      <c r="C557" s="3668"/>
      <c r="D557" s="3669"/>
      <c r="E557" s="3517" t="s">
        <v>3693</v>
      </c>
      <c r="F557" s="3526">
        <v>40.43</v>
      </c>
      <c r="G557" s="3511">
        <v>6.56</v>
      </c>
      <c r="H557" s="3505" t="s">
        <v>3557</v>
      </c>
      <c r="I557" s="3561">
        <f ca="1">典型户型修正车!S448</f>
        <v>18</v>
      </c>
    </row>
    <row r="558" spans="1:9" s="3472" customFormat="1">
      <c r="A558" s="3671"/>
      <c r="B558" s="3668"/>
      <c r="C558" s="3668"/>
      <c r="D558" s="3669"/>
      <c r="E558" s="3517" t="s">
        <v>3694</v>
      </c>
      <c r="F558" s="3526">
        <v>40.43</v>
      </c>
      <c r="G558" s="3511">
        <v>6.56</v>
      </c>
      <c r="H558" s="3505" t="s">
        <v>3557</v>
      </c>
      <c r="I558" s="3561">
        <f ca="1">典型户型修正车!S449</f>
        <v>18</v>
      </c>
    </row>
    <row r="559" spans="1:9" s="3472" customFormat="1">
      <c r="A559" s="3671"/>
      <c r="B559" s="3668"/>
      <c r="C559" s="3668"/>
      <c r="D559" s="3669"/>
      <c r="E559" s="3517" t="s">
        <v>3695</v>
      </c>
      <c r="F559" s="3526">
        <v>40.43</v>
      </c>
      <c r="G559" s="3511">
        <v>6.56</v>
      </c>
      <c r="H559" s="3505" t="s">
        <v>3557</v>
      </c>
      <c r="I559" s="3561">
        <f ca="1">典型户型修正车!S450</f>
        <v>18</v>
      </c>
    </row>
    <row r="560" spans="1:9" s="3472" customFormat="1">
      <c r="A560" s="3671"/>
      <c r="B560" s="3668"/>
      <c r="C560" s="3668"/>
      <c r="D560" s="3669"/>
      <c r="E560" s="3517" t="s">
        <v>3696</v>
      </c>
      <c r="F560" s="3526">
        <v>40.43</v>
      </c>
      <c r="G560" s="3511">
        <v>6.56</v>
      </c>
      <c r="H560" s="3505" t="s">
        <v>3557</v>
      </c>
      <c r="I560" s="3561">
        <f ca="1">典型户型修正车!S451</f>
        <v>18</v>
      </c>
    </row>
    <row r="561" spans="1:9" s="3472" customFormat="1">
      <c r="A561" s="3671"/>
      <c r="B561" s="3668"/>
      <c r="C561" s="3668"/>
      <c r="D561" s="3669"/>
      <c r="E561" s="3517" t="s">
        <v>3697</v>
      </c>
      <c r="F561" s="3526">
        <v>40.43</v>
      </c>
      <c r="G561" s="3511">
        <v>6.56</v>
      </c>
      <c r="H561" s="3505" t="s">
        <v>3557</v>
      </c>
      <c r="I561" s="3561">
        <f ca="1">典型户型修正车!S452</f>
        <v>18</v>
      </c>
    </row>
    <row r="562" spans="1:9" s="3472" customFormat="1">
      <c r="A562" s="3671"/>
      <c r="B562" s="3668"/>
      <c r="C562" s="3668"/>
      <c r="D562" s="3669"/>
      <c r="E562" s="3517" t="s">
        <v>3959</v>
      </c>
      <c r="F562" s="3526">
        <v>80.86</v>
      </c>
      <c r="G562" s="3511">
        <v>13.12</v>
      </c>
      <c r="H562" s="3505" t="s">
        <v>3557</v>
      </c>
      <c r="I562" s="3561">
        <f ca="1">典型户型修正车!S453</f>
        <v>36</v>
      </c>
    </row>
    <row r="563" spans="1:9" s="3472" customFormat="1">
      <c r="A563" s="3671"/>
      <c r="B563" s="3668"/>
      <c r="C563" s="3668"/>
      <c r="D563" s="3669"/>
      <c r="E563" s="3517" t="s">
        <v>3960</v>
      </c>
      <c r="F563" s="3526">
        <v>80.86</v>
      </c>
      <c r="G563" s="3511">
        <v>13.12</v>
      </c>
      <c r="H563" s="3505" t="s">
        <v>3557</v>
      </c>
      <c r="I563" s="3561">
        <f ca="1">典型户型修正车!S454</f>
        <v>36</v>
      </c>
    </row>
    <row r="564" spans="1:9" s="3472" customFormat="1">
      <c r="A564" s="3671"/>
      <c r="B564" s="3668"/>
      <c r="C564" s="3668"/>
      <c r="D564" s="3669"/>
      <c r="E564" s="3517" t="s">
        <v>3961</v>
      </c>
      <c r="F564" s="3526">
        <v>80.86</v>
      </c>
      <c r="G564" s="3511">
        <v>13.12</v>
      </c>
      <c r="H564" s="3505" t="s">
        <v>3557</v>
      </c>
      <c r="I564" s="3561">
        <f ca="1">典型户型修正车!S455</f>
        <v>36</v>
      </c>
    </row>
    <row r="565" spans="1:9" s="3472" customFormat="1">
      <c r="A565" s="3671"/>
      <c r="B565" s="3668"/>
      <c r="C565" s="3668"/>
      <c r="D565" s="3669"/>
      <c r="E565" s="3517" t="s">
        <v>3704</v>
      </c>
      <c r="F565" s="3526">
        <v>40.43</v>
      </c>
      <c r="G565" s="3511">
        <v>6.56</v>
      </c>
      <c r="H565" s="3505" t="s">
        <v>3557</v>
      </c>
      <c r="I565" s="3561">
        <f ca="1">典型户型修正车!S456</f>
        <v>18</v>
      </c>
    </row>
    <row r="566" spans="1:9" s="3472" customFormat="1">
      <c r="A566" s="3671"/>
      <c r="B566" s="3668"/>
      <c r="C566" s="3668"/>
      <c r="D566" s="3669"/>
      <c r="E566" s="3517" t="s">
        <v>3705</v>
      </c>
      <c r="F566" s="3526">
        <v>40.43</v>
      </c>
      <c r="G566" s="3511">
        <v>6.56</v>
      </c>
      <c r="H566" s="3505" t="s">
        <v>3557</v>
      </c>
      <c r="I566" s="3561">
        <f ca="1">典型户型修正车!S457</f>
        <v>18</v>
      </c>
    </row>
    <row r="567" spans="1:9" s="3472" customFormat="1">
      <c r="A567" s="3671"/>
      <c r="B567" s="3668"/>
      <c r="C567" s="3668"/>
      <c r="D567" s="3669"/>
      <c r="E567" s="3517" t="s">
        <v>3706</v>
      </c>
      <c r="F567" s="3526">
        <v>40.43</v>
      </c>
      <c r="G567" s="3511">
        <v>6.56</v>
      </c>
      <c r="H567" s="3505" t="s">
        <v>3557</v>
      </c>
      <c r="I567" s="3561">
        <f ca="1">典型户型修正车!S458</f>
        <v>18</v>
      </c>
    </row>
    <row r="568" spans="1:9" s="3472" customFormat="1">
      <c r="A568" s="3671"/>
      <c r="B568" s="3668"/>
      <c r="C568" s="3668"/>
      <c r="D568" s="3669"/>
      <c r="E568" s="3517" t="s">
        <v>3707</v>
      </c>
      <c r="F568" s="3526">
        <v>38.75</v>
      </c>
      <c r="G568" s="3511">
        <v>6.29</v>
      </c>
      <c r="H568" s="3505" t="s">
        <v>3557</v>
      </c>
      <c r="I568" s="3561">
        <f ca="1">典型户型修正车!S459</f>
        <v>17</v>
      </c>
    </row>
    <row r="569" spans="1:9" s="3472" customFormat="1">
      <c r="A569" s="3671"/>
      <c r="B569" s="3668"/>
      <c r="C569" s="3668"/>
      <c r="D569" s="3669"/>
      <c r="E569" s="3517" t="s">
        <v>3708</v>
      </c>
      <c r="F569" s="3526">
        <v>40.43</v>
      </c>
      <c r="G569" s="3511">
        <v>6.56</v>
      </c>
      <c r="H569" s="3505" t="s">
        <v>3557</v>
      </c>
      <c r="I569" s="3561">
        <f ca="1">典型户型修正车!S460</f>
        <v>18</v>
      </c>
    </row>
    <row r="570" spans="1:9" s="3472" customFormat="1">
      <c r="A570" s="3671"/>
      <c r="B570" s="3668"/>
      <c r="C570" s="3668"/>
      <c r="D570" s="3669"/>
      <c r="E570" s="3517" t="s">
        <v>3709</v>
      </c>
      <c r="F570" s="3526">
        <v>40.43</v>
      </c>
      <c r="G570" s="3511">
        <v>6.56</v>
      </c>
      <c r="H570" s="3505" t="s">
        <v>3557</v>
      </c>
      <c r="I570" s="3561">
        <f ca="1">典型户型修正车!S461</f>
        <v>18</v>
      </c>
    </row>
    <row r="571" spans="1:9" s="3472" customFormat="1">
      <c r="A571" s="3671"/>
      <c r="B571" s="3668"/>
      <c r="C571" s="3668"/>
      <c r="D571" s="3669"/>
      <c r="E571" s="3517" t="s">
        <v>3710</v>
      </c>
      <c r="F571" s="3526">
        <v>40.43</v>
      </c>
      <c r="G571" s="3511">
        <v>6.56</v>
      </c>
      <c r="H571" s="3505" t="s">
        <v>3557</v>
      </c>
      <c r="I571" s="3561">
        <f ca="1">典型户型修正车!S462</f>
        <v>18</v>
      </c>
    </row>
    <row r="572" spans="1:9" s="3472" customFormat="1">
      <c r="A572" s="3671"/>
      <c r="B572" s="3668"/>
      <c r="C572" s="3668"/>
      <c r="D572" s="3669"/>
      <c r="E572" s="3517" t="s">
        <v>3711</v>
      </c>
      <c r="F572" s="3526">
        <v>40.43</v>
      </c>
      <c r="G572" s="3511">
        <v>6.56</v>
      </c>
      <c r="H572" s="3505" t="s">
        <v>3557</v>
      </c>
      <c r="I572" s="3561">
        <f ca="1">典型户型修正车!S463</f>
        <v>18</v>
      </c>
    </row>
    <row r="573" spans="1:9" s="3472" customFormat="1">
      <c r="A573" s="3671"/>
      <c r="B573" s="3668"/>
      <c r="C573" s="3668"/>
      <c r="D573" s="3669"/>
      <c r="E573" s="3517" t="s">
        <v>3712</v>
      </c>
      <c r="F573" s="3526">
        <v>40.43</v>
      </c>
      <c r="G573" s="3511">
        <v>6.56</v>
      </c>
      <c r="H573" s="3505" t="s">
        <v>3557</v>
      </c>
      <c r="I573" s="3561">
        <f ca="1">典型户型修正车!S464</f>
        <v>18</v>
      </c>
    </row>
    <row r="574" spans="1:9" s="3472" customFormat="1">
      <c r="A574" s="3671"/>
      <c r="B574" s="3668"/>
      <c r="C574" s="3668"/>
      <c r="D574" s="3669"/>
      <c r="E574" s="3517" t="s">
        <v>3713</v>
      </c>
      <c r="F574" s="3526">
        <v>40.43</v>
      </c>
      <c r="G574" s="3511">
        <v>6.56</v>
      </c>
      <c r="H574" s="3505" t="s">
        <v>3557</v>
      </c>
      <c r="I574" s="3561">
        <f ca="1">典型户型修正车!S465</f>
        <v>18</v>
      </c>
    </row>
    <row r="575" spans="1:9" s="3472" customFormat="1">
      <c r="A575" s="3671"/>
      <c r="B575" s="3668"/>
      <c r="C575" s="3668"/>
      <c r="D575" s="3669"/>
      <c r="E575" s="3517" t="s">
        <v>3714</v>
      </c>
      <c r="F575" s="3526">
        <v>40.43</v>
      </c>
      <c r="G575" s="3511">
        <v>6.56</v>
      </c>
      <c r="H575" s="3505" t="s">
        <v>3557</v>
      </c>
      <c r="I575" s="3561">
        <f ca="1">典型户型修正车!S466</f>
        <v>18</v>
      </c>
    </row>
    <row r="576" spans="1:9" s="3472" customFormat="1">
      <c r="A576" s="3671"/>
      <c r="B576" s="3668"/>
      <c r="C576" s="3668"/>
      <c r="D576" s="3669"/>
      <c r="E576" s="3517" t="s">
        <v>3715</v>
      </c>
      <c r="F576" s="3526">
        <v>40.43</v>
      </c>
      <c r="G576" s="3511">
        <v>6.56</v>
      </c>
      <c r="H576" s="3505" t="s">
        <v>3557</v>
      </c>
      <c r="I576" s="3561">
        <f ca="1">典型户型修正车!S467</f>
        <v>18</v>
      </c>
    </row>
    <row r="577" spans="1:9" s="3472" customFormat="1">
      <c r="A577" s="3671"/>
      <c r="B577" s="3668"/>
      <c r="C577" s="3668"/>
      <c r="D577" s="3669"/>
      <c r="E577" s="3517" t="s">
        <v>3716</v>
      </c>
      <c r="F577" s="3526">
        <v>40.43</v>
      </c>
      <c r="G577" s="3511">
        <v>6.56</v>
      </c>
      <c r="H577" s="3505" t="s">
        <v>3557</v>
      </c>
      <c r="I577" s="3561">
        <f ca="1">典型户型修正车!S468</f>
        <v>18</v>
      </c>
    </row>
    <row r="578" spans="1:9" s="3472" customFormat="1">
      <c r="A578" s="3671"/>
      <c r="B578" s="3668"/>
      <c r="C578" s="3668"/>
      <c r="D578" s="3669"/>
      <c r="E578" s="3517" t="s">
        <v>3717</v>
      </c>
      <c r="F578" s="3526">
        <v>40.43</v>
      </c>
      <c r="G578" s="3511">
        <v>6.56</v>
      </c>
      <c r="H578" s="3505" t="s">
        <v>3557</v>
      </c>
      <c r="I578" s="3561">
        <f ca="1">典型户型修正车!S469</f>
        <v>18</v>
      </c>
    </row>
    <row r="579" spans="1:9" s="3472" customFormat="1">
      <c r="A579" s="3671"/>
      <c r="B579" s="3668"/>
      <c r="C579" s="3668"/>
      <c r="D579" s="3669"/>
      <c r="E579" s="3517" t="s">
        <v>3718</v>
      </c>
      <c r="F579" s="3526">
        <v>40.43</v>
      </c>
      <c r="G579" s="3511">
        <v>6.56</v>
      </c>
      <c r="H579" s="3505" t="s">
        <v>3557</v>
      </c>
      <c r="I579" s="3561">
        <f ca="1">典型户型修正车!S470</f>
        <v>18</v>
      </c>
    </row>
    <row r="580" spans="1:9" s="3472" customFormat="1">
      <c r="A580" s="3671"/>
      <c r="B580" s="3668"/>
      <c r="C580" s="3668"/>
      <c r="D580" s="3669"/>
      <c r="E580" s="3517" t="s">
        <v>3719</v>
      </c>
      <c r="F580" s="3526">
        <v>40.43</v>
      </c>
      <c r="G580" s="3511">
        <v>6.56</v>
      </c>
      <c r="H580" s="3505" t="s">
        <v>3557</v>
      </c>
      <c r="I580" s="3561">
        <f ca="1">典型户型修正车!S471</f>
        <v>18</v>
      </c>
    </row>
    <row r="581" spans="1:9" s="3472" customFormat="1">
      <c r="A581" s="3671"/>
      <c r="B581" s="3668"/>
      <c r="C581" s="3668"/>
      <c r="D581" s="3669"/>
      <c r="E581" s="3517" t="s">
        <v>3962</v>
      </c>
      <c r="F581" s="3526">
        <v>80.86</v>
      </c>
      <c r="G581" s="3511">
        <v>13.12</v>
      </c>
      <c r="H581" s="3505" t="s">
        <v>3557</v>
      </c>
      <c r="I581" s="3561">
        <f ca="1">典型户型修正车!S472</f>
        <v>36</v>
      </c>
    </row>
    <row r="582" spans="1:9" s="3472" customFormat="1">
      <c r="A582" s="3671"/>
      <c r="B582" s="3668"/>
      <c r="C582" s="3668"/>
      <c r="D582" s="3669"/>
      <c r="E582" s="3517" t="s">
        <v>3963</v>
      </c>
      <c r="F582" s="3526">
        <v>80.86</v>
      </c>
      <c r="G582" s="3511">
        <v>13.12</v>
      </c>
      <c r="H582" s="3505" t="s">
        <v>3557</v>
      </c>
      <c r="I582" s="3561">
        <f ca="1">典型户型修正车!S473</f>
        <v>36</v>
      </c>
    </row>
    <row r="583" spans="1:9" s="3472" customFormat="1">
      <c r="A583" s="3671"/>
      <c r="B583" s="3668"/>
      <c r="C583" s="3668"/>
      <c r="D583" s="3669"/>
      <c r="E583" s="3517" t="s">
        <v>3964</v>
      </c>
      <c r="F583" s="3526">
        <v>80.86</v>
      </c>
      <c r="G583" s="3511">
        <v>13.12</v>
      </c>
      <c r="H583" s="3505" t="s">
        <v>3557</v>
      </c>
      <c r="I583" s="3561">
        <f ca="1">典型户型修正车!S474</f>
        <v>36</v>
      </c>
    </row>
    <row r="584" spans="1:9" s="3472" customFormat="1">
      <c r="A584" s="3671"/>
      <c r="B584" s="3668"/>
      <c r="C584" s="3668"/>
      <c r="D584" s="3669"/>
      <c r="E584" s="3517" t="s">
        <v>3965</v>
      </c>
      <c r="F584" s="3526">
        <v>80.86</v>
      </c>
      <c r="G584" s="3511">
        <v>13.12</v>
      </c>
      <c r="H584" s="3505" t="s">
        <v>3557</v>
      </c>
      <c r="I584" s="3561">
        <f ca="1">典型户型修正车!S475</f>
        <v>36</v>
      </c>
    </row>
    <row r="585" spans="1:9" s="3472" customFormat="1">
      <c r="A585" s="3671"/>
      <c r="B585" s="3668" t="s">
        <v>3818</v>
      </c>
      <c r="C585" s="3668" t="s">
        <v>3819</v>
      </c>
      <c r="D585" s="3669" t="s">
        <v>3820</v>
      </c>
      <c r="E585" s="3517" t="s">
        <v>3966</v>
      </c>
      <c r="F585" s="3526">
        <v>80.86</v>
      </c>
      <c r="G585" s="3511">
        <v>13.12</v>
      </c>
      <c r="H585" s="3505" t="s">
        <v>3557</v>
      </c>
      <c r="I585" s="3561">
        <f ca="1">典型户型修正车!S476</f>
        <v>36</v>
      </c>
    </row>
    <row r="586" spans="1:9" s="3472" customFormat="1">
      <c r="A586" s="3671"/>
      <c r="B586" s="3668"/>
      <c r="C586" s="3668"/>
      <c r="D586" s="3669"/>
      <c r="E586" s="3517" t="s">
        <v>3967</v>
      </c>
      <c r="F586" s="3526">
        <v>80.86</v>
      </c>
      <c r="G586" s="3511">
        <v>13.12</v>
      </c>
      <c r="H586" s="3505" t="s">
        <v>3557</v>
      </c>
      <c r="I586" s="3561">
        <f ca="1">典型户型修正车!S477</f>
        <v>36</v>
      </c>
    </row>
    <row r="587" spans="1:9" s="3472" customFormat="1">
      <c r="A587" s="3671"/>
      <c r="B587" s="3668"/>
      <c r="C587" s="3668"/>
      <c r="D587" s="3669"/>
      <c r="E587" s="3517" t="s">
        <v>3732</v>
      </c>
      <c r="F587" s="3526">
        <v>40.43</v>
      </c>
      <c r="G587" s="3511">
        <v>6.56</v>
      </c>
      <c r="H587" s="3505" t="s">
        <v>3557</v>
      </c>
      <c r="I587" s="3561">
        <f ca="1">典型户型修正车!S478</f>
        <v>18</v>
      </c>
    </row>
    <row r="588" spans="1:9" s="3472" customFormat="1">
      <c r="A588" s="3671"/>
      <c r="B588" s="3668"/>
      <c r="C588" s="3668"/>
      <c r="D588" s="3669"/>
      <c r="E588" s="3517" t="s">
        <v>3733</v>
      </c>
      <c r="F588" s="3526">
        <v>40.43</v>
      </c>
      <c r="G588" s="3511">
        <v>6.56</v>
      </c>
      <c r="H588" s="3505" t="s">
        <v>3557</v>
      </c>
      <c r="I588" s="3561">
        <f ca="1">典型户型修正车!S479</f>
        <v>18</v>
      </c>
    </row>
    <row r="589" spans="1:9" s="3472" customFormat="1">
      <c r="A589" s="3671"/>
      <c r="B589" s="3668"/>
      <c r="C589" s="3668"/>
      <c r="D589" s="3669"/>
      <c r="E589" s="3517" t="s">
        <v>3734</v>
      </c>
      <c r="F589" s="3526">
        <v>40.43</v>
      </c>
      <c r="G589" s="3511">
        <v>6.56</v>
      </c>
      <c r="H589" s="3505" t="s">
        <v>3557</v>
      </c>
      <c r="I589" s="3561">
        <f ca="1">典型户型修正车!S480</f>
        <v>18</v>
      </c>
    </row>
    <row r="590" spans="1:9" s="3472" customFormat="1">
      <c r="A590" s="3671"/>
      <c r="B590" s="3668"/>
      <c r="C590" s="3668"/>
      <c r="D590" s="3669"/>
      <c r="E590" s="3517" t="s">
        <v>3735</v>
      </c>
      <c r="F590" s="3526">
        <v>40.43</v>
      </c>
      <c r="G590" s="3511">
        <v>6.56</v>
      </c>
      <c r="H590" s="3505" t="s">
        <v>3557</v>
      </c>
      <c r="I590" s="3561">
        <f ca="1">典型户型修正车!S481</f>
        <v>18</v>
      </c>
    </row>
    <row r="591" spans="1:9" s="3472" customFormat="1">
      <c r="A591" s="3671"/>
      <c r="B591" s="3668"/>
      <c r="C591" s="3668"/>
      <c r="D591" s="3669"/>
      <c r="E591" s="3517" t="s">
        <v>3736</v>
      </c>
      <c r="F591" s="3526">
        <v>80.86</v>
      </c>
      <c r="G591" s="3511">
        <v>13.12</v>
      </c>
      <c r="H591" s="3505" t="s">
        <v>3557</v>
      </c>
      <c r="I591" s="3561">
        <f ca="1">典型户型修正车!S482</f>
        <v>36</v>
      </c>
    </row>
    <row r="592" spans="1:9" s="3472" customFormat="1">
      <c r="A592" s="3671"/>
      <c r="B592" s="3668"/>
      <c r="C592" s="3668"/>
      <c r="D592" s="3669"/>
      <c r="E592" s="3517" t="s">
        <v>3737</v>
      </c>
      <c r="F592" s="3526">
        <v>80.86</v>
      </c>
      <c r="G592" s="3511">
        <v>13.12</v>
      </c>
      <c r="H592" s="3505" t="s">
        <v>3557</v>
      </c>
      <c r="I592" s="3561">
        <f ca="1">典型户型修正车!S483</f>
        <v>36</v>
      </c>
    </row>
    <row r="593" spans="1:9" s="3472" customFormat="1">
      <c r="A593" s="3671"/>
      <c r="B593" s="3668"/>
      <c r="C593" s="3668"/>
      <c r="D593" s="3669"/>
      <c r="E593" s="3517" t="s">
        <v>3968</v>
      </c>
      <c r="F593" s="3526">
        <v>40.43</v>
      </c>
      <c r="G593" s="3511">
        <v>6.56</v>
      </c>
      <c r="H593" s="3505" t="s">
        <v>3557</v>
      </c>
      <c r="I593" s="3561">
        <f ca="1">典型户型修正车!S484</f>
        <v>18</v>
      </c>
    </row>
    <row r="594" spans="1:9" s="3472" customFormat="1">
      <c r="A594" s="3671"/>
      <c r="B594" s="3668"/>
      <c r="C594" s="3668"/>
      <c r="D594" s="3669"/>
      <c r="E594" s="3517" t="s">
        <v>3969</v>
      </c>
      <c r="F594" s="3526">
        <v>40.43</v>
      </c>
      <c r="G594" s="3511">
        <v>6.56</v>
      </c>
      <c r="H594" s="3505" t="s">
        <v>3557</v>
      </c>
      <c r="I594" s="3561">
        <f ca="1">典型户型修正车!S485</f>
        <v>18</v>
      </c>
    </row>
    <row r="595" spans="1:9" s="3472" customFormat="1">
      <c r="A595" s="3671"/>
      <c r="B595" s="3668"/>
      <c r="C595" s="3668"/>
      <c r="D595" s="3669"/>
      <c r="E595" s="3517" t="s">
        <v>3739</v>
      </c>
      <c r="F595" s="3526">
        <v>40.43</v>
      </c>
      <c r="G595" s="3511">
        <v>6.56</v>
      </c>
      <c r="H595" s="3505" t="s">
        <v>3557</v>
      </c>
      <c r="I595" s="3561">
        <f ca="1">典型户型修正车!S486</f>
        <v>18</v>
      </c>
    </row>
    <row r="596" spans="1:9" s="3472" customFormat="1">
      <c r="A596" s="3671"/>
      <c r="B596" s="3668"/>
      <c r="C596" s="3668"/>
      <c r="D596" s="3669"/>
      <c r="E596" s="3517" t="s">
        <v>3970</v>
      </c>
      <c r="F596" s="3526">
        <v>40.43</v>
      </c>
      <c r="G596" s="3511">
        <v>6.56</v>
      </c>
      <c r="H596" s="3505" t="s">
        <v>3557</v>
      </c>
      <c r="I596" s="3561">
        <f ca="1">典型户型修正车!S487</f>
        <v>18</v>
      </c>
    </row>
    <row r="597" spans="1:9" s="3472" customFormat="1">
      <c r="A597" s="3671"/>
      <c r="B597" s="3668"/>
      <c r="C597" s="3668"/>
      <c r="D597" s="3669"/>
      <c r="E597" s="3517" t="s">
        <v>3971</v>
      </c>
      <c r="F597" s="3526">
        <v>40.43</v>
      </c>
      <c r="G597" s="3511">
        <v>6.56</v>
      </c>
      <c r="H597" s="3505" t="s">
        <v>3557</v>
      </c>
      <c r="I597" s="3561">
        <f ca="1">典型户型修正车!S488</f>
        <v>18</v>
      </c>
    </row>
    <row r="598" spans="1:9" s="3472" customFormat="1">
      <c r="A598" s="3671"/>
      <c r="B598" s="3668"/>
      <c r="C598" s="3668"/>
      <c r="D598" s="3669"/>
      <c r="E598" s="3517" t="s">
        <v>3972</v>
      </c>
      <c r="F598" s="3526">
        <v>40.43</v>
      </c>
      <c r="G598" s="3511">
        <v>6.56</v>
      </c>
      <c r="H598" s="3505" t="s">
        <v>3557</v>
      </c>
      <c r="I598" s="3561">
        <f ca="1">典型户型修正车!S489</f>
        <v>18</v>
      </c>
    </row>
    <row r="599" spans="1:9" s="3472" customFormat="1">
      <c r="A599" s="3671"/>
      <c r="B599" s="3668"/>
      <c r="C599" s="3668"/>
      <c r="D599" s="3669"/>
      <c r="E599" s="3517" t="s">
        <v>3973</v>
      </c>
      <c r="F599" s="3526">
        <v>40.43</v>
      </c>
      <c r="G599" s="3511">
        <v>6.56</v>
      </c>
      <c r="H599" s="3505" t="s">
        <v>3557</v>
      </c>
      <c r="I599" s="3561">
        <f ca="1">典型户型修正车!S490</f>
        <v>18</v>
      </c>
    </row>
    <row r="600" spans="1:9" s="3472" customFormat="1">
      <c r="A600" s="3671"/>
      <c r="B600" s="3668"/>
      <c r="C600" s="3668"/>
      <c r="D600" s="3669"/>
      <c r="E600" s="3517" t="s">
        <v>3974</v>
      </c>
      <c r="F600" s="3526">
        <v>40.43</v>
      </c>
      <c r="G600" s="3511">
        <v>6.56</v>
      </c>
      <c r="H600" s="3505" t="s">
        <v>3557</v>
      </c>
      <c r="I600" s="3561">
        <f ca="1">典型户型修正车!S491</f>
        <v>18</v>
      </c>
    </row>
    <row r="601" spans="1:9" s="3472" customFormat="1">
      <c r="A601" s="3671"/>
      <c r="B601" s="3668"/>
      <c r="C601" s="3668"/>
      <c r="D601" s="3669"/>
      <c r="E601" s="3517" t="s">
        <v>3975</v>
      </c>
      <c r="F601" s="3526">
        <v>40.43</v>
      </c>
      <c r="G601" s="3511">
        <v>6.56</v>
      </c>
      <c r="H601" s="3505" t="s">
        <v>3557</v>
      </c>
      <c r="I601" s="3561">
        <f ca="1">典型户型修正车!S492</f>
        <v>18</v>
      </c>
    </row>
    <row r="602" spans="1:9" s="3472" customFormat="1">
      <c r="A602" s="3671"/>
      <c r="B602" s="3668"/>
      <c r="C602" s="3668"/>
      <c r="D602" s="3669"/>
      <c r="E602" s="3517" t="s">
        <v>3976</v>
      </c>
      <c r="F602" s="3526">
        <v>40.43</v>
      </c>
      <c r="G602" s="3511">
        <v>6.56</v>
      </c>
      <c r="H602" s="3505" t="s">
        <v>3557</v>
      </c>
      <c r="I602" s="3561">
        <f ca="1">典型户型修正车!S493</f>
        <v>18</v>
      </c>
    </row>
    <row r="603" spans="1:9" s="3472" customFormat="1">
      <c r="A603" s="3671"/>
      <c r="B603" s="3668"/>
      <c r="C603" s="3668"/>
      <c r="D603" s="3669"/>
      <c r="E603" s="3517" t="s">
        <v>3977</v>
      </c>
      <c r="F603" s="3526">
        <v>40.43</v>
      </c>
      <c r="G603" s="3511">
        <v>6.56</v>
      </c>
      <c r="H603" s="3505" t="s">
        <v>3557</v>
      </c>
      <c r="I603" s="3561">
        <f ca="1">典型户型修正车!S494</f>
        <v>18</v>
      </c>
    </row>
    <row r="604" spans="1:9" s="3472" customFormat="1">
      <c r="A604" s="3671"/>
      <c r="B604" s="3668"/>
      <c r="C604" s="3668"/>
      <c r="D604" s="3669"/>
      <c r="E604" s="3517" t="s">
        <v>3978</v>
      </c>
      <c r="F604" s="3526">
        <v>40.43</v>
      </c>
      <c r="G604" s="3511">
        <v>6.56</v>
      </c>
      <c r="H604" s="3505" t="s">
        <v>3557</v>
      </c>
      <c r="I604" s="3561">
        <f ca="1">典型户型修正车!S495</f>
        <v>18</v>
      </c>
    </row>
    <row r="605" spans="1:9" s="3472" customFormat="1">
      <c r="A605" s="3671"/>
      <c r="B605" s="3668"/>
      <c r="C605" s="3668"/>
      <c r="D605" s="3669"/>
      <c r="E605" s="3517" t="s">
        <v>3979</v>
      </c>
      <c r="F605" s="3526">
        <v>80.86</v>
      </c>
      <c r="G605" s="3511">
        <v>13.12</v>
      </c>
      <c r="H605" s="3505" t="s">
        <v>3557</v>
      </c>
      <c r="I605" s="3561">
        <f ca="1">典型户型修正车!S496</f>
        <v>36</v>
      </c>
    </row>
    <row r="606" spans="1:9" s="3472" customFormat="1">
      <c r="A606" s="3671"/>
      <c r="B606" s="3668"/>
      <c r="C606" s="3668"/>
      <c r="D606" s="3669"/>
      <c r="E606" s="3517" t="s">
        <v>3980</v>
      </c>
      <c r="F606" s="3526">
        <v>80.86</v>
      </c>
      <c r="G606" s="3511">
        <v>13.12</v>
      </c>
      <c r="H606" s="3505" t="s">
        <v>3557</v>
      </c>
      <c r="I606" s="3561">
        <f ca="1">典型户型修正车!S497</f>
        <v>36</v>
      </c>
    </row>
    <row r="607" spans="1:9" s="3472" customFormat="1">
      <c r="A607" s="3671"/>
      <c r="B607" s="3668"/>
      <c r="C607" s="3668"/>
      <c r="D607" s="3669"/>
      <c r="E607" s="3517" t="s">
        <v>3981</v>
      </c>
      <c r="F607" s="3526">
        <v>80.86</v>
      </c>
      <c r="G607" s="3511">
        <v>13.12</v>
      </c>
      <c r="H607" s="3505" t="s">
        <v>3557</v>
      </c>
      <c r="I607" s="3561">
        <f ca="1">典型户型修正车!S498</f>
        <v>36</v>
      </c>
    </row>
    <row r="608" spans="1:9" s="3472" customFormat="1">
      <c r="A608" s="3671"/>
      <c r="B608" s="3668"/>
      <c r="C608" s="3668"/>
      <c r="D608" s="3669"/>
      <c r="E608" s="3517" t="s">
        <v>3982</v>
      </c>
      <c r="F608" s="3526">
        <v>40.43</v>
      </c>
      <c r="G608" s="3511">
        <v>6.56</v>
      </c>
      <c r="H608" s="3505" t="s">
        <v>3557</v>
      </c>
      <c r="I608" s="3561">
        <f ca="1">典型户型修正车!S499</f>
        <v>18</v>
      </c>
    </row>
    <row r="609" spans="1:9" s="3472" customFormat="1">
      <c r="A609" s="3671"/>
      <c r="B609" s="3668"/>
      <c r="C609" s="3668"/>
      <c r="D609" s="3669"/>
      <c r="E609" s="3517" t="s">
        <v>3983</v>
      </c>
      <c r="F609" s="3526">
        <v>80.86</v>
      </c>
      <c r="G609" s="3511">
        <v>13.12</v>
      </c>
      <c r="H609" s="3505" t="s">
        <v>3557</v>
      </c>
      <c r="I609" s="3561">
        <f ca="1">典型户型修正车!S500</f>
        <v>36</v>
      </c>
    </row>
    <row r="610" spans="1:9" s="3472" customFormat="1">
      <c r="A610" s="3671"/>
      <c r="B610" s="3668"/>
      <c r="C610" s="3668"/>
      <c r="D610" s="3669"/>
      <c r="E610" s="3517" t="s">
        <v>3984</v>
      </c>
      <c r="F610" s="3526">
        <v>80.86</v>
      </c>
      <c r="G610" s="3511">
        <v>13.12</v>
      </c>
      <c r="H610" s="3505" t="s">
        <v>3557</v>
      </c>
      <c r="I610" s="3561">
        <f ca="1">典型户型修正车!S501</f>
        <v>36</v>
      </c>
    </row>
    <row r="611" spans="1:9" s="3472" customFormat="1">
      <c r="A611" s="3671"/>
      <c r="B611" s="3668"/>
      <c r="C611" s="3668"/>
      <c r="D611" s="3669"/>
      <c r="E611" s="3517" t="s">
        <v>3985</v>
      </c>
      <c r="F611" s="3526">
        <v>80.86</v>
      </c>
      <c r="G611" s="3511">
        <v>13.12</v>
      </c>
      <c r="H611" s="3505" t="s">
        <v>3557</v>
      </c>
      <c r="I611" s="3561">
        <f ca="1">典型户型修正车!S502</f>
        <v>36</v>
      </c>
    </row>
    <row r="612" spans="1:9" s="3472" customFormat="1">
      <c r="A612" s="3671"/>
      <c r="B612" s="3668"/>
      <c r="C612" s="3668"/>
      <c r="D612" s="3669"/>
      <c r="E612" s="3517" t="s">
        <v>3986</v>
      </c>
      <c r="F612" s="3526">
        <v>80.86</v>
      </c>
      <c r="G612" s="3511">
        <v>13.12</v>
      </c>
      <c r="H612" s="3505" t="s">
        <v>3557</v>
      </c>
      <c r="I612" s="3561">
        <f ca="1">典型户型修正车!S503</f>
        <v>36</v>
      </c>
    </row>
    <row r="613" spans="1:9" s="3472" customFormat="1">
      <c r="A613" s="3671"/>
      <c r="B613" s="3668"/>
      <c r="C613" s="3668"/>
      <c r="D613" s="3669"/>
      <c r="E613" s="3517" t="s">
        <v>3987</v>
      </c>
      <c r="F613" s="3526">
        <v>80.86</v>
      </c>
      <c r="G613" s="3511">
        <v>13.12</v>
      </c>
      <c r="H613" s="3505" t="s">
        <v>3557</v>
      </c>
      <c r="I613" s="3561">
        <f ca="1">典型户型修正车!S504</f>
        <v>36</v>
      </c>
    </row>
    <row r="614" spans="1:9" s="3472" customFormat="1">
      <c r="A614" s="3671"/>
      <c r="B614" s="3668"/>
      <c r="C614" s="3668"/>
      <c r="D614" s="3669"/>
      <c r="E614" s="3517" t="s">
        <v>3988</v>
      </c>
      <c r="F614" s="3526">
        <v>40.43</v>
      </c>
      <c r="G614" s="3511">
        <v>6.56</v>
      </c>
      <c r="H614" s="3505" t="s">
        <v>3557</v>
      </c>
      <c r="I614" s="3561">
        <f ca="1">典型户型修正车!S505</f>
        <v>18</v>
      </c>
    </row>
    <row r="615" spans="1:9" s="3472" customFormat="1">
      <c r="A615" s="3671"/>
      <c r="B615" s="3668"/>
      <c r="C615" s="3668"/>
      <c r="D615" s="3669"/>
      <c r="E615" s="3517" t="s">
        <v>3989</v>
      </c>
      <c r="F615" s="3526">
        <v>40.43</v>
      </c>
      <c r="G615" s="3511">
        <v>6.56</v>
      </c>
      <c r="H615" s="3505" t="s">
        <v>3557</v>
      </c>
      <c r="I615" s="3561">
        <f ca="1">典型户型修正车!S506</f>
        <v>18</v>
      </c>
    </row>
    <row r="616" spans="1:9" s="3472" customFormat="1">
      <c r="A616" s="3671"/>
      <c r="B616" s="3668"/>
      <c r="C616" s="3668"/>
      <c r="D616" s="3669"/>
      <c r="E616" s="3517" t="s">
        <v>3990</v>
      </c>
      <c r="F616" s="3526">
        <v>40.43</v>
      </c>
      <c r="G616" s="3511">
        <v>6.56</v>
      </c>
      <c r="H616" s="3505" t="s">
        <v>3557</v>
      </c>
      <c r="I616" s="3561">
        <f ca="1">典型户型修正车!S507</f>
        <v>18</v>
      </c>
    </row>
    <row r="617" spans="1:9" s="3472" customFormat="1">
      <c r="A617" s="3671"/>
      <c r="B617" s="3668"/>
      <c r="C617" s="3668"/>
      <c r="D617" s="3669"/>
      <c r="E617" s="3517" t="s">
        <v>3991</v>
      </c>
      <c r="F617" s="3526">
        <v>40.43</v>
      </c>
      <c r="G617" s="3511">
        <v>6.56</v>
      </c>
      <c r="H617" s="3505" t="s">
        <v>3557</v>
      </c>
      <c r="I617" s="3561">
        <f ca="1">典型户型修正车!S508</f>
        <v>18</v>
      </c>
    </row>
    <row r="618" spans="1:9" s="3472" customFormat="1">
      <c r="A618" s="3671"/>
      <c r="B618" s="3668"/>
      <c r="C618" s="3668"/>
      <c r="D618" s="3669"/>
      <c r="E618" s="3517" t="s">
        <v>3992</v>
      </c>
      <c r="F618" s="3526">
        <v>68.27</v>
      </c>
      <c r="G618" s="3511">
        <v>11.07</v>
      </c>
      <c r="H618" s="3505" t="s">
        <v>3557</v>
      </c>
      <c r="I618" s="3561">
        <f ca="1">典型户型修正车!S509</f>
        <v>31</v>
      </c>
    </row>
    <row r="619" spans="1:9" s="3472" customFormat="1">
      <c r="A619" s="3671"/>
      <c r="B619" s="3668"/>
      <c r="C619" s="3668"/>
      <c r="D619" s="3669"/>
      <c r="E619" s="3517" t="s">
        <v>3993</v>
      </c>
      <c r="F619" s="3526">
        <v>40.43</v>
      </c>
      <c r="G619" s="3511">
        <v>6.56</v>
      </c>
      <c r="H619" s="3505" t="s">
        <v>3557</v>
      </c>
      <c r="I619" s="3561">
        <f ca="1">典型户型修正车!S510</f>
        <v>18</v>
      </c>
    </row>
    <row r="620" spans="1:9" s="3472" customFormat="1">
      <c r="A620" s="3671"/>
      <c r="B620" s="3668"/>
      <c r="C620" s="3668"/>
      <c r="D620" s="3669"/>
      <c r="E620" s="3517" t="s">
        <v>3994</v>
      </c>
      <c r="F620" s="3526">
        <v>80.86</v>
      </c>
      <c r="G620" s="3511">
        <v>13.12</v>
      </c>
      <c r="H620" s="3505" t="s">
        <v>3557</v>
      </c>
      <c r="I620" s="3561">
        <f ca="1">典型户型修正车!S511</f>
        <v>36</v>
      </c>
    </row>
    <row r="621" spans="1:9" s="3472" customFormat="1">
      <c r="A621" s="3671"/>
      <c r="B621" s="3668"/>
      <c r="C621" s="3668"/>
      <c r="D621" s="3669"/>
      <c r="E621" s="3517" t="s">
        <v>3995</v>
      </c>
      <c r="F621" s="3526">
        <v>80.86</v>
      </c>
      <c r="G621" s="3511">
        <v>13.12</v>
      </c>
      <c r="H621" s="3505" t="s">
        <v>3557</v>
      </c>
      <c r="I621" s="3561">
        <f ca="1">典型户型修正车!S512</f>
        <v>36</v>
      </c>
    </row>
    <row r="622" spans="1:9" s="3472" customFormat="1">
      <c r="A622" s="3671"/>
      <c r="B622" s="3668" t="s">
        <v>3818</v>
      </c>
      <c r="C622" s="3668" t="s">
        <v>3819</v>
      </c>
      <c r="D622" s="3669" t="s">
        <v>3820</v>
      </c>
      <c r="E622" s="3507" t="s">
        <v>3996</v>
      </c>
      <c r="F622" s="3526">
        <v>80.86</v>
      </c>
      <c r="G622" s="3511">
        <v>13.12</v>
      </c>
      <c r="H622" s="3505" t="s">
        <v>3557</v>
      </c>
      <c r="I622" s="3561">
        <f ca="1">典型户型修正车!S513</f>
        <v>36</v>
      </c>
    </row>
    <row r="623" spans="1:9" s="3472" customFormat="1">
      <c r="A623" s="3671"/>
      <c r="B623" s="3668"/>
      <c r="C623" s="3668"/>
      <c r="D623" s="3669"/>
      <c r="E623" s="3507" t="s">
        <v>3997</v>
      </c>
      <c r="F623" s="3526">
        <v>80.86</v>
      </c>
      <c r="G623" s="3511">
        <v>13.12</v>
      </c>
      <c r="H623" s="3505" t="s">
        <v>3557</v>
      </c>
      <c r="I623" s="3561">
        <f ca="1">典型户型修正车!S514</f>
        <v>36</v>
      </c>
    </row>
    <row r="624" spans="1:9" s="3472" customFormat="1">
      <c r="A624" s="3671"/>
      <c r="B624" s="3668"/>
      <c r="C624" s="3668"/>
      <c r="D624" s="3669"/>
      <c r="E624" s="3507" t="s">
        <v>3998</v>
      </c>
      <c r="F624" s="3526">
        <v>68.27</v>
      </c>
      <c r="G624" s="3511">
        <v>11.07</v>
      </c>
      <c r="H624" s="3505" t="s">
        <v>3557</v>
      </c>
      <c r="I624" s="3561">
        <f ca="1">典型户型修正车!S515</f>
        <v>31</v>
      </c>
    </row>
    <row r="625" spans="1:9" s="3472" customFormat="1">
      <c r="A625" s="3671"/>
      <c r="B625" s="3668"/>
      <c r="C625" s="3668"/>
      <c r="D625" s="3669"/>
      <c r="E625" s="3507" t="s">
        <v>3999</v>
      </c>
      <c r="F625" s="3526">
        <v>40.43</v>
      </c>
      <c r="G625" s="3511">
        <v>6.56</v>
      </c>
      <c r="H625" s="3505" t="s">
        <v>3557</v>
      </c>
      <c r="I625" s="3561">
        <f ca="1">典型户型修正车!S516</f>
        <v>18</v>
      </c>
    </row>
    <row r="626" spans="1:9" s="3472" customFormat="1">
      <c r="A626" s="3671"/>
      <c r="B626" s="3668"/>
      <c r="C626" s="3668"/>
      <c r="D626" s="3669"/>
      <c r="E626" s="3507" t="s">
        <v>4000</v>
      </c>
      <c r="F626" s="3526">
        <v>80.86</v>
      </c>
      <c r="G626" s="3511">
        <v>13.12</v>
      </c>
      <c r="H626" s="3505" t="s">
        <v>3557</v>
      </c>
      <c r="I626" s="3561">
        <f ca="1">典型户型修正车!S517</f>
        <v>36</v>
      </c>
    </row>
    <row r="627" spans="1:9" s="3472" customFormat="1">
      <c r="A627" s="3671"/>
      <c r="B627" s="3668"/>
      <c r="C627" s="3668"/>
      <c r="D627" s="3669"/>
      <c r="E627" s="3507" t="s">
        <v>4001</v>
      </c>
      <c r="F627" s="3526">
        <v>80.86</v>
      </c>
      <c r="G627" s="3511">
        <v>13.12</v>
      </c>
      <c r="H627" s="3505" t="s">
        <v>3557</v>
      </c>
      <c r="I627" s="3561">
        <f ca="1">典型户型修正车!S518</f>
        <v>36</v>
      </c>
    </row>
    <row r="628" spans="1:9" s="3472" customFormat="1">
      <c r="A628" s="3671"/>
      <c r="B628" s="3668"/>
      <c r="C628" s="3668"/>
      <c r="D628" s="3669"/>
      <c r="E628" s="3507" t="s">
        <v>4002</v>
      </c>
      <c r="F628" s="3526">
        <v>40.43</v>
      </c>
      <c r="G628" s="3511">
        <v>6.56</v>
      </c>
      <c r="H628" s="3505" t="s">
        <v>3557</v>
      </c>
      <c r="I628" s="3561">
        <f ca="1">典型户型修正车!S519</f>
        <v>18</v>
      </c>
    </row>
    <row r="629" spans="1:9" s="3472" customFormat="1">
      <c r="A629" s="3671"/>
      <c r="B629" s="3668"/>
      <c r="C629" s="3668"/>
      <c r="D629" s="3669"/>
      <c r="E629" s="3507" t="s">
        <v>4003</v>
      </c>
      <c r="F629" s="3526">
        <v>40.43</v>
      </c>
      <c r="G629" s="3511">
        <v>6.56</v>
      </c>
      <c r="H629" s="3505" t="s">
        <v>3557</v>
      </c>
      <c r="I629" s="3561">
        <f ca="1">典型户型修正车!S520</f>
        <v>18</v>
      </c>
    </row>
    <row r="630" spans="1:9" s="3472" customFormat="1">
      <c r="A630" s="3671"/>
      <c r="B630" s="3668"/>
      <c r="C630" s="3668"/>
      <c r="D630" s="3669"/>
      <c r="E630" s="3507" t="s">
        <v>4004</v>
      </c>
      <c r="F630" s="3526">
        <v>40.43</v>
      </c>
      <c r="G630" s="3511">
        <v>6.56</v>
      </c>
      <c r="H630" s="3505" t="s">
        <v>3557</v>
      </c>
      <c r="I630" s="3561">
        <f ca="1">典型户型修正车!S521</f>
        <v>18</v>
      </c>
    </row>
    <row r="631" spans="1:9" s="3472" customFormat="1">
      <c r="A631" s="3671"/>
      <c r="B631" s="3668"/>
      <c r="C631" s="3668"/>
      <c r="D631" s="3669"/>
      <c r="E631" s="3507" t="s">
        <v>4005</v>
      </c>
      <c r="F631" s="3526">
        <v>40.43</v>
      </c>
      <c r="G631" s="3511">
        <v>6.56</v>
      </c>
      <c r="H631" s="3505" t="s">
        <v>3557</v>
      </c>
      <c r="I631" s="3561">
        <f ca="1">典型户型修正车!S522</f>
        <v>18</v>
      </c>
    </row>
    <row r="632" spans="1:9" s="3472" customFormat="1">
      <c r="A632" s="3671"/>
      <c r="B632" s="3668"/>
      <c r="C632" s="3668"/>
      <c r="D632" s="3669"/>
      <c r="E632" s="3507" t="s">
        <v>4006</v>
      </c>
      <c r="F632" s="3526">
        <v>40.43</v>
      </c>
      <c r="G632" s="3511">
        <v>6.56</v>
      </c>
      <c r="H632" s="3505" t="s">
        <v>3557</v>
      </c>
      <c r="I632" s="3561">
        <f ca="1">典型户型修正车!S523</f>
        <v>18</v>
      </c>
    </row>
    <row r="633" spans="1:9" s="3472" customFormat="1">
      <c r="A633" s="3671"/>
      <c r="B633" s="3668"/>
      <c r="C633" s="3668"/>
      <c r="D633" s="3669"/>
      <c r="E633" s="3507" t="s">
        <v>4007</v>
      </c>
      <c r="F633" s="3526">
        <v>40.43</v>
      </c>
      <c r="G633" s="3511">
        <v>6.56</v>
      </c>
      <c r="H633" s="3505" t="s">
        <v>3557</v>
      </c>
      <c r="I633" s="3561">
        <f ca="1">典型户型修正车!S524</f>
        <v>18</v>
      </c>
    </row>
    <row r="634" spans="1:9" s="3472" customFormat="1">
      <c r="A634" s="3671"/>
      <c r="B634" s="3668"/>
      <c r="C634" s="3668"/>
      <c r="D634" s="3669"/>
      <c r="E634" s="3507" t="s">
        <v>4008</v>
      </c>
      <c r="F634" s="3526">
        <v>40.43</v>
      </c>
      <c r="G634" s="3511">
        <v>6.56</v>
      </c>
      <c r="H634" s="3505" t="s">
        <v>3557</v>
      </c>
      <c r="I634" s="3561">
        <f ca="1">典型户型修正车!S525</f>
        <v>18</v>
      </c>
    </row>
    <row r="635" spans="1:9" s="3472" customFormat="1">
      <c r="A635" s="3671"/>
      <c r="B635" s="3668"/>
      <c r="C635" s="3668"/>
      <c r="D635" s="3669"/>
      <c r="E635" s="3507" t="s">
        <v>4009</v>
      </c>
      <c r="F635" s="3526">
        <v>40.43</v>
      </c>
      <c r="G635" s="3511">
        <v>6.56</v>
      </c>
      <c r="H635" s="3505" t="s">
        <v>3557</v>
      </c>
      <c r="I635" s="3561">
        <f ca="1">典型户型修正车!S526</f>
        <v>18</v>
      </c>
    </row>
    <row r="636" spans="1:9" s="3472" customFormat="1">
      <c r="A636" s="3671"/>
      <c r="B636" s="3668"/>
      <c r="C636" s="3668"/>
      <c r="D636" s="3669"/>
      <c r="E636" s="3507" t="s">
        <v>4010</v>
      </c>
      <c r="F636" s="3526">
        <v>40.43</v>
      </c>
      <c r="G636" s="3511">
        <v>6.56</v>
      </c>
      <c r="H636" s="3505" t="s">
        <v>3557</v>
      </c>
      <c r="I636" s="3561">
        <f ca="1">典型户型修正车!S527</f>
        <v>18</v>
      </c>
    </row>
    <row r="637" spans="1:9" s="3472" customFormat="1">
      <c r="A637" s="3671"/>
      <c r="B637" s="3668"/>
      <c r="C637" s="3668"/>
      <c r="D637" s="3669"/>
      <c r="E637" s="3507" t="s">
        <v>4011</v>
      </c>
      <c r="F637" s="3526">
        <v>40.43</v>
      </c>
      <c r="G637" s="3511">
        <v>6.56</v>
      </c>
      <c r="H637" s="3505" t="s">
        <v>3557</v>
      </c>
      <c r="I637" s="3561">
        <f ca="1">典型户型修正车!S528</f>
        <v>18</v>
      </c>
    </row>
    <row r="638" spans="1:9" s="3472" customFormat="1">
      <c r="A638" s="3671"/>
      <c r="B638" s="3668"/>
      <c r="C638" s="3668"/>
      <c r="D638" s="3669"/>
      <c r="E638" s="3507" t="s">
        <v>4012</v>
      </c>
      <c r="F638" s="3526">
        <v>40.43</v>
      </c>
      <c r="G638" s="3511">
        <v>6.56</v>
      </c>
      <c r="H638" s="3505" t="s">
        <v>3557</v>
      </c>
      <c r="I638" s="3561">
        <f ca="1">典型户型修正车!S529</f>
        <v>18</v>
      </c>
    </row>
    <row r="639" spans="1:9" s="3472" customFormat="1">
      <c r="A639" s="3671"/>
      <c r="B639" s="3668"/>
      <c r="C639" s="3668"/>
      <c r="D639" s="3669"/>
      <c r="E639" s="3507" t="s">
        <v>4013</v>
      </c>
      <c r="F639" s="3526">
        <v>40.43</v>
      </c>
      <c r="G639" s="3511">
        <v>6.56</v>
      </c>
      <c r="H639" s="3505" t="s">
        <v>3557</v>
      </c>
      <c r="I639" s="3561">
        <f ca="1">典型户型修正车!S530</f>
        <v>18</v>
      </c>
    </row>
    <row r="640" spans="1:9" s="3472" customFormat="1">
      <c r="A640" s="3671"/>
      <c r="B640" s="3668"/>
      <c r="C640" s="3668"/>
      <c r="D640" s="3669"/>
      <c r="E640" s="3507" t="s">
        <v>4014</v>
      </c>
      <c r="F640" s="3526">
        <v>40.43</v>
      </c>
      <c r="G640" s="3511">
        <v>6.56</v>
      </c>
      <c r="H640" s="3505" t="s">
        <v>3557</v>
      </c>
      <c r="I640" s="3561">
        <f ca="1">典型户型修正车!S531</f>
        <v>18</v>
      </c>
    </row>
    <row r="641" spans="1:9" s="3472" customFormat="1">
      <c r="A641" s="3671"/>
      <c r="B641" s="3668"/>
      <c r="C641" s="3668"/>
      <c r="D641" s="3669"/>
      <c r="E641" s="3507" t="s">
        <v>4015</v>
      </c>
      <c r="F641" s="3526">
        <v>40.43</v>
      </c>
      <c r="G641" s="3511">
        <v>6.56</v>
      </c>
      <c r="H641" s="3505" t="s">
        <v>3557</v>
      </c>
      <c r="I641" s="3561">
        <f ca="1">典型户型修正车!S532</f>
        <v>18</v>
      </c>
    </row>
    <row r="642" spans="1:9" s="3472" customFormat="1">
      <c r="A642" s="3671"/>
      <c r="B642" s="3668"/>
      <c r="C642" s="3668"/>
      <c r="D642" s="3669"/>
      <c r="E642" s="3507" t="s">
        <v>4016</v>
      </c>
      <c r="F642" s="3526">
        <v>40.43</v>
      </c>
      <c r="G642" s="3511">
        <v>6.56</v>
      </c>
      <c r="H642" s="3505" t="s">
        <v>3557</v>
      </c>
      <c r="I642" s="3561">
        <f ca="1">典型户型修正车!S533</f>
        <v>18</v>
      </c>
    </row>
    <row r="643" spans="1:9" s="3472" customFormat="1">
      <c r="A643" s="3671"/>
      <c r="B643" s="3668"/>
      <c r="C643" s="3668"/>
      <c r="D643" s="3669"/>
      <c r="E643" s="3507" t="s">
        <v>4017</v>
      </c>
      <c r="F643" s="3526">
        <v>40.43</v>
      </c>
      <c r="G643" s="3511">
        <v>6.56</v>
      </c>
      <c r="H643" s="3505" t="s">
        <v>3557</v>
      </c>
      <c r="I643" s="3561">
        <f ca="1">典型户型修正车!S534</f>
        <v>18</v>
      </c>
    </row>
    <row r="644" spans="1:9" s="3472" customFormat="1">
      <c r="A644" s="3671"/>
      <c r="B644" s="3668"/>
      <c r="C644" s="3668"/>
      <c r="D644" s="3669"/>
      <c r="E644" s="3507" t="s">
        <v>4018</v>
      </c>
      <c r="F644" s="3526">
        <v>40.43</v>
      </c>
      <c r="G644" s="3511">
        <v>6.56</v>
      </c>
      <c r="H644" s="3505" t="s">
        <v>3557</v>
      </c>
      <c r="I644" s="3561">
        <f ca="1">典型户型修正车!S535</f>
        <v>18</v>
      </c>
    </row>
    <row r="645" spans="1:9" s="3472" customFormat="1">
      <c r="A645" s="3671"/>
      <c r="B645" s="3668"/>
      <c r="C645" s="3668"/>
      <c r="D645" s="3669"/>
      <c r="E645" s="3507" t="s">
        <v>4019</v>
      </c>
      <c r="F645" s="3526">
        <v>40.43</v>
      </c>
      <c r="G645" s="3511">
        <v>6.56</v>
      </c>
      <c r="H645" s="3505" t="s">
        <v>3557</v>
      </c>
      <c r="I645" s="3561">
        <f ca="1">典型户型修正车!S536</f>
        <v>18</v>
      </c>
    </row>
    <row r="646" spans="1:9" s="3472" customFormat="1">
      <c r="A646" s="3671"/>
      <c r="B646" s="3668"/>
      <c r="C646" s="3668"/>
      <c r="D646" s="3669"/>
      <c r="E646" s="3507" t="s">
        <v>4020</v>
      </c>
      <c r="F646" s="3526">
        <v>40.43</v>
      </c>
      <c r="G646" s="3511">
        <v>6.56</v>
      </c>
      <c r="H646" s="3505" t="s">
        <v>3557</v>
      </c>
      <c r="I646" s="3561">
        <f ca="1">典型户型修正车!S537</f>
        <v>18</v>
      </c>
    </row>
    <row r="647" spans="1:9" s="3472" customFormat="1">
      <c r="A647" s="3671"/>
      <c r="B647" s="3668"/>
      <c r="C647" s="3668"/>
      <c r="D647" s="3669"/>
      <c r="E647" s="3507" t="s">
        <v>4021</v>
      </c>
      <c r="F647" s="3526">
        <v>40.43</v>
      </c>
      <c r="G647" s="3511">
        <v>6.56</v>
      </c>
      <c r="H647" s="3505" t="s">
        <v>3557</v>
      </c>
      <c r="I647" s="3561">
        <f ca="1">典型户型修正车!S538</f>
        <v>18</v>
      </c>
    </row>
    <row r="648" spans="1:9" s="3472" customFormat="1">
      <c r="A648" s="3671"/>
      <c r="B648" s="3668"/>
      <c r="C648" s="3668"/>
      <c r="D648" s="3669"/>
      <c r="E648" s="3507" t="s">
        <v>4022</v>
      </c>
      <c r="F648" s="3526">
        <v>40.43</v>
      </c>
      <c r="G648" s="3511">
        <v>6.56</v>
      </c>
      <c r="H648" s="3505" t="s">
        <v>3557</v>
      </c>
      <c r="I648" s="3561">
        <f ca="1">典型户型修正车!S539</f>
        <v>18</v>
      </c>
    </row>
    <row r="649" spans="1:9" s="3472" customFormat="1">
      <c r="A649" s="3671"/>
      <c r="B649" s="3668"/>
      <c r="C649" s="3668"/>
      <c r="D649" s="3669"/>
      <c r="E649" s="3507" t="s">
        <v>4023</v>
      </c>
      <c r="F649" s="3526">
        <v>40.43</v>
      </c>
      <c r="G649" s="3511">
        <v>6.56</v>
      </c>
      <c r="H649" s="3505" t="s">
        <v>3557</v>
      </c>
      <c r="I649" s="3561">
        <f ca="1">典型户型修正车!S540</f>
        <v>18</v>
      </c>
    </row>
    <row r="650" spans="1:9" s="3472" customFormat="1">
      <c r="A650" s="3671"/>
      <c r="B650" s="3668"/>
      <c r="C650" s="3668"/>
      <c r="D650" s="3669"/>
      <c r="E650" s="3507" t="s">
        <v>4024</v>
      </c>
      <c r="F650" s="3526">
        <v>40.43</v>
      </c>
      <c r="G650" s="3511">
        <v>6.56</v>
      </c>
      <c r="H650" s="3505" t="s">
        <v>3557</v>
      </c>
      <c r="I650" s="3561">
        <f ca="1">典型户型修正车!S541</f>
        <v>18</v>
      </c>
    </row>
    <row r="651" spans="1:9" s="3472" customFormat="1">
      <c r="A651" s="3671"/>
      <c r="B651" s="3668"/>
      <c r="C651" s="3668"/>
      <c r="D651" s="3669"/>
      <c r="E651" s="3507" t="s">
        <v>4025</v>
      </c>
      <c r="F651" s="3526">
        <v>40.43</v>
      </c>
      <c r="G651" s="3511">
        <v>6.56</v>
      </c>
      <c r="H651" s="3505" t="s">
        <v>3557</v>
      </c>
      <c r="I651" s="3561">
        <f ca="1">典型户型修正车!S542</f>
        <v>18</v>
      </c>
    </row>
    <row r="652" spans="1:9" s="3472" customFormat="1">
      <c r="A652" s="3671"/>
      <c r="B652" s="3668"/>
      <c r="C652" s="3668"/>
      <c r="D652" s="3669"/>
      <c r="E652" s="3507" t="s">
        <v>4026</v>
      </c>
      <c r="F652" s="3526">
        <v>40.43</v>
      </c>
      <c r="G652" s="3511">
        <v>6.56</v>
      </c>
      <c r="H652" s="3505" t="s">
        <v>3557</v>
      </c>
      <c r="I652" s="3561">
        <f ca="1">典型户型修正车!S543</f>
        <v>18</v>
      </c>
    </row>
    <row r="653" spans="1:9" s="3472" customFormat="1">
      <c r="A653" s="3671"/>
      <c r="B653" s="3668"/>
      <c r="C653" s="3668"/>
      <c r="D653" s="3669"/>
      <c r="E653" s="3507" t="s">
        <v>4027</v>
      </c>
      <c r="F653" s="3526">
        <v>40.43</v>
      </c>
      <c r="G653" s="3511">
        <v>6.56</v>
      </c>
      <c r="H653" s="3505" t="s">
        <v>3557</v>
      </c>
      <c r="I653" s="3561">
        <f ca="1">典型户型修正车!S544</f>
        <v>18</v>
      </c>
    </row>
    <row r="654" spans="1:9" s="3472" customFormat="1">
      <c r="A654" s="3671"/>
      <c r="B654" s="3668"/>
      <c r="C654" s="3668"/>
      <c r="D654" s="3669"/>
      <c r="E654" s="3507" t="s">
        <v>4028</v>
      </c>
      <c r="F654" s="3526">
        <v>40.43</v>
      </c>
      <c r="G654" s="3511">
        <v>6.56</v>
      </c>
      <c r="H654" s="3505" t="s">
        <v>3557</v>
      </c>
      <c r="I654" s="3561">
        <f ca="1">典型户型修正车!S545</f>
        <v>18</v>
      </c>
    </row>
    <row r="655" spans="1:9" s="3472" customFormat="1">
      <c r="A655" s="3671"/>
      <c r="B655" s="3668"/>
      <c r="C655" s="3668"/>
      <c r="D655" s="3669"/>
      <c r="E655" s="3507" t="s">
        <v>4029</v>
      </c>
      <c r="F655" s="3526">
        <v>40.43</v>
      </c>
      <c r="G655" s="3511">
        <v>6.56</v>
      </c>
      <c r="H655" s="3505" t="s">
        <v>3557</v>
      </c>
      <c r="I655" s="3561">
        <f ca="1">典型户型修正车!S546</f>
        <v>18</v>
      </c>
    </row>
    <row r="656" spans="1:9" s="3472" customFormat="1">
      <c r="A656" s="3671"/>
      <c r="B656" s="3668"/>
      <c r="C656" s="3668"/>
      <c r="D656" s="3669"/>
      <c r="E656" s="3507" t="s">
        <v>4030</v>
      </c>
      <c r="F656" s="3526">
        <v>40.43</v>
      </c>
      <c r="G656" s="3511">
        <v>6.56</v>
      </c>
      <c r="H656" s="3505" t="s">
        <v>3557</v>
      </c>
      <c r="I656" s="3561">
        <f ca="1">典型户型修正车!S547</f>
        <v>18</v>
      </c>
    </row>
    <row r="657" spans="1:9" s="3472" customFormat="1">
      <c r="A657" s="3671"/>
      <c r="B657" s="3668"/>
      <c r="C657" s="3668"/>
      <c r="D657" s="3669"/>
      <c r="E657" s="3507" t="s">
        <v>4031</v>
      </c>
      <c r="F657" s="3526">
        <v>40.43</v>
      </c>
      <c r="G657" s="3511">
        <v>6.56</v>
      </c>
      <c r="H657" s="3505" t="s">
        <v>3557</v>
      </c>
      <c r="I657" s="3561">
        <f ca="1">典型户型修正车!S548</f>
        <v>18</v>
      </c>
    </row>
    <row r="658" spans="1:9" s="3472" customFormat="1">
      <c r="A658" s="3671"/>
      <c r="B658" s="3668"/>
      <c r="C658" s="3668"/>
      <c r="D658" s="3669"/>
      <c r="E658" s="3507" t="s">
        <v>4032</v>
      </c>
      <c r="F658" s="3526">
        <v>40.43</v>
      </c>
      <c r="G658" s="3511">
        <v>6.56</v>
      </c>
      <c r="H658" s="3505" t="s">
        <v>3557</v>
      </c>
      <c r="I658" s="3561">
        <f ca="1">典型户型修正车!S549</f>
        <v>18</v>
      </c>
    </row>
    <row r="659" spans="1:9" s="3472" customFormat="1">
      <c r="A659" s="3671"/>
      <c r="B659" s="3668" t="s">
        <v>3818</v>
      </c>
      <c r="C659" s="3668" t="s">
        <v>3819</v>
      </c>
      <c r="D659" s="3669" t="s">
        <v>3820</v>
      </c>
      <c r="E659" s="3507" t="s">
        <v>4033</v>
      </c>
      <c r="F659" s="3526">
        <v>40.43</v>
      </c>
      <c r="G659" s="3511">
        <v>6.56</v>
      </c>
      <c r="H659" s="3505" t="s">
        <v>3557</v>
      </c>
      <c r="I659" s="3561">
        <f ca="1">典型户型修正车!S550</f>
        <v>18</v>
      </c>
    </row>
    <row r="660" spans="1:9" s="3472" customFormat="1">
      <c r="A660" s="3671"/>
      <c r="B660" s="3668"/>
      <c r="C660" s="3668"/>
      <c r="D660" s="3669"/>
      <c r="E660" s="3507" t="s">
        <v>4034</v>
      </c>
      <c r="F660" s="3526">
        <v>40.43</v>
      </c>
      <c r="G660" s="3511">
        <v>6.56</v>
      </c>
      <c r="H660" s="3505" t="s">
        <v>3557</v>
      </c>
      <c r="I660" s="3561">
        <f ca="1">典型户型修正车!S551</f>
        <v>18</v>
      </c>
    </row>
    <row r="661" spans="1:9" s="3472" customFormat="1">
      <c r="A661" s="3671"/>
      <c r="B661" s="3668"/>
      <c r="C661" s="3668"/>
      <c r="D661" s="3669"/>
      <c r="E661" s="3507" t="s">
        <v>4035</v>
      </c>
      <c r="F661" s="3526">
        <v>40.43</v>
      </c>
      <c r="G661" s="3511">
        <v>6.56</v>
      </c>
      <c r="H661" s="3505" t="s">
        <v>3557</v>
      </c>
      <c r="I661" s="3561">
        <f ca="1">典型户型修正车!S552</f>
        <v>18</v>
      </c>
    </row>
    <row r="662" spans="1:9" s="3472" customFormat="1">
      <c r="A662" s="3671"/>
      <c r="B662" s="3668"/>
      <c r="C662" s="3668"/>
      <c r="D662" s="3669"/>
      <c r="E662" s="3507" t="s">
        <v>4036</v>
      </c>
      <c r="F662" s="3526">
        <v>40.43</v>
      </c>
      <c r="G662" s="3511">
        <v>6.56</v>
      </c>
      <c r="H662" s="3505" t="s">
        <v>3557</v>
      </c>
      <c r="I662" s="3561">
        <f ca="1">典型户型修正车!S553</f>
        <v>18</v>
      </c>
    </row>
    <row r="663" spans="1:9" s="3472" customFormat="1">
      <c r="A663" s="3671"/>
      <c r="B663" s="3668"/>
      <c r="C663" s="3668"/>
      <c r="D663" s="3669"/>
      <c r="E663" s="3507" t="s">
        <v>4037</v>
      </c>
      <c r="F663" s="3526">
        <v>40.43</v>
      </c>
      <c r="G663" s="3511">
        <v>6.56</v>
      </c>
      <c r="H663" s="3505" t="s">
        <v>3557</v>
      </c>
      <c r="I663" s="3561">
        <f ca="1">典型户型修正车!S554</f>
        <v>18</v>
      </c>
    </row>
    <row r="664" spans="1:9" s="3472" customFormat="1">
      <c r="A664" s="3671"/>
      <c r="B664" s="3668"/>
      <c r="C664" s="3668"/>
      <c r="D664" s="3669"/>
      <c r="E664" s="3507" t="s">
        <v>4038</v>
      </c>
      <c r="F664" s="3526">
        <v>40.43</v>
      </c>
      <c r="G664" s="3511">
        <v>6.56</v>
      </c>
      <c r="H664" s="3505" t="s">
        <v>3557</v>
      </c>
      <c r="I664" s="3561">
        <f ca="1">典型户型修正车!S555</f>
        <v>18</v>
      </c>
    </row>
    <row r="665" spans="1:9" s="3472" customFormat="1">
      <c r="A665" s="3671"/>
      <c r="B665" s="3668"/>
      <c r="C665" s="3668"/>
      <c r="D665" s="3669"/>
      <c r="E665" s="3507" t="s">
        <v>4039</v>
      </c>
      <c r="F665" s="3526">
        <v>40.43</v>
      </c>
      <c r="G665" s="3511">
        <v>6.56</v>
      </c>
      <c r="H665" s="3505" t="s">
        <v>3557</v>
      </c>
      <c r="I665" s="3561">
        <f ca="1">典型户型修正车!S556</f>
        <v>18</v>
      </c>
    </row>
    <row r="666" spans="1:9" s="3472" customFormat="1">
      <c r="A666" s="3671"/>
      <c r="B666" s="3668"/>
      <c r="C666" s="3668"/>
      <c r="D666" s="3669"/>
      <c r="E666" s="3507" t="s">
        <v>4040</v>
      </c>
      <c r="F666" s="3526">
        <v>40.43</v>
      </c>
      <c r="G666" s="3511">
        <v>6.56</v>
      </c>
      <c r="H666" s="3505" t="s">
        <v>3557</v>
      </c>
      <c r="I666" s="3561">
        <f ca="1">典型户型修正车!S557</f>
        <v>18</v>
      </c>
    </row>
    <row r="667" spans="1:9" s="3472" customFormat="1">
      <c r="A667" s="3671"/>
      <c r="B667" s="3668"/>
      <c r="C667" s="3668"/>
      <c r="D667" s="3669"/>
      <c r="E667" s="3507" t="s">
        <v>4041</v>
      </c>
      <c r="F667" s="3526">
        <v>40.43</v>
      </c>
      <c r="G667" s="3511">
        <v>6.56</v>
      </c>
      <c r="H667" s="3505" t="s">
        <v>3557</v>
      </c>
      <c r="I667" s="3561">
        <f ca="1">典型户型修正车!S558</f>
        <v>18</v>
      </c>
    </row>
    <row r="668" spans="1:9" s="3472" customFormat="1">
      <c r="A668" s="3671"/>
      <c r="B668" s="3668"/>
      <c r="C668" s="3668"/>
      <c r="D668" s="3669"/>
      <c r="E668" s="3507" t="s">
        <v>4042</v>
      </c>
      <c r="F668" s="3526">
        <v>40.43</v>
      </c>
      <c r="G668" s="3511">
        <v>6.56</v>
      </c>
      <c r="H668" s="3505" t="s">
        <v>3557</v>
      </c>
      <c r="I668" s="3561">
        <f ca="1">典型户型修正车!S559</f>
        <v>18</v>
      </c>
    </row>
    <row r="669" spans="1:9" s="3472" customFormat="1">
      <c r="A669" s="3671"/>
      <c r="B669" s="3668"/>
      <c r="C669" s="3668"/>
      <c r="D669" s="3669"/>
      <c r="E669" s="3507" t="s">
        <v>4043</v>
      </c>
      <c r="F669" s="3526">
        <v>40.43</v>
      </c>
      <c r="G669" s="3511">
        <v>6.56</v>
      </c>
      <c r="H669" s="3505" t="s">
        <v>3557</v>
      </c>
      <c r="I669" s="3561">
        <f ca="1">典型户型修正车!S560</f>
        <v>18</v>
      </c>
    </row>
    <row r="670" spans="1:9" s="3472" customFormat="1">
      <c r="A670" s="3671"/>
      <c r="B670" s="3668"/>
      <c r="C670" s="3668"/>
      <c r="D670" s="3669"/>
      <c r="E670" s="3507" t="s">
        <v>4044</v>
      </c>
      <c r="F670" s="3526">
        <v>40.43</v>
      </c>
      <c r="G670" s="3511">
        <v>6.56</v>
      </c>
      <c r="H670" s="3505" t="s">
        <v>3557</v>
      </c>
      <c r="I670" s="3561">
        <f ca="1">典型户型修正车!S561</f>
        <v>18</v>
      </c>
    </row>
    <row r="671" spans="1:9" s="3472" customFormat="1">
      <c r="A671" s="3671"/>
      <c r="B671" s="3668"/>
      <c r="C671" s="3668"/>
      <c r="D671" s="3669"/>
      <c r="E671" s="3507" t="s">
        <v>4045</v>
      </c>
      <c r="F671" s="3526">
        <v>40.43</v>
      </c>
      <c r="G671" s="3511">
        <v>6.56</v>
      </c>
      <c r="H671" s="3505" t="s">
        <v>3557</v>
      </c>
      <c r="I671" s="3561">
        <f ca="1">典型户型修正车!S562</f>
        <v>18</v>
      </c>
    </row>
    <row r="672" spans="1:9" s="3472" customFormat="1">
      <c r="A672" s="3671"/>
      <c r="B672" s="3668"/>
      <c r="C672" s="3668"/>
      <c r="D672" s="3669"/>
      <c r="E672" s="3507" t="s">
        <v>4046</v>
      </c>
      <c r="F672" s="3526">
        <v>40.43</v>
      </c>
      <c r="G672" s="3511">
        <v>6.56</v>
      </c>
      <c r="H672" s="3505" t="s">
        <v>3557</v>
      </c>
      <c r="I672" s="3561">
        <f ca="1">典型户型修正车!S563</f>
        <v>18</v>
      </c>
    </row>
    <row r="673" spans="1:9" s="3472" customFormat="1">
      <c r="A673" s="3671"/>
      <c r="B673" s="3668"/>
      <c r="C673" s="3668"/>
      <c r="D673" s="3669"/>
      <c r="E673" s="3507" t="s">
        <v>4047</v>
      </c>
      <c r="F673" s="3526">
        <v>40.43</v>
      </c>
      <c r="G673" s="3511">
        <v>6.56</v>
      </c>
      <c r="H673" s="3505" t="s">
        <v>3557</v>
      </c>
      <c r="I673" s="3561">
        <f ca="1">典型户型修正车!S564</f>
        <v>18</v>
      </c>
    </row>
    <row r="674" spans="1:9" s="3472" customFormat="1">
      <c r="A674" s="3671"/>
      <c r="B674" s="3668"/>
      <c r="C674" s="3668"/>
      <c r="D674" s="3669"/>
      <c r="E674" s="3507" t="s">
        <v>4048</v>
      </c>
      <c r="F674" s="3526">
        <v>40.43</v>
      </c>
      <c r="G674" s="3511">
        <v>6.56</v>
      </c>
      <c r="H674" s="3505" t="s">
        <v>3557</v>
      </c>
      <c r="I674" s="3561">
        <f ca="1">典型户型修正车!S565</f>
        <v>18</v>
      </c>
    </row>
    <row r="675" spans="1:9" s="3472" customFormat="1">
      <c r="A675" s="3671"/>
      <c r="B675" s="3668"/>
      <c r="C675" s="3668"/>
      <c r="D675" s="3669"/>
      <c r="E675" s="3507" t="s">
        <v>4049</v>
      </c>
      <c r="F675" s="3526">
        <v>40.43</v>
      </c>
      <c r="G675" s="3511">
        <v>6.56</v>
      </c>
      <c r="H675" s="3505" t="s">
        <v>3557</v>
      </c>
      <c r="I675" s="3561">
        <f ca="1">典型户型修正车!S566</f>
        <v>18</v>
      </c>
    </row>
    <row r="676" spans="1:9" s="3472" customFormat="1">
      <c r="A676" s="3671"/>
      <c r="B676" s="3668"/>
      <c r="C676" s="3668"/>
      <c r="D676" s="3669"/>
      <c r="E676" s="3507" t="s">
        <v>4050</v>
      </c>
      <c r="F676" s="3526">
        <v>40.43</v>
      </c>
      <c r="G676" s="3511">
        <v>6.56</v>
      </c>
      <c r="H676" s="3505" t="s">
        <v>3557</v>
      </c>
      <c r="I676" s="3561">
        <f ca="1">典型户型修正车!S567</f>
        <v>18</v>
      </c>
    </row>
    <row r="677" spans="1:9" s="3472" customFormat="1">
      <c r="A677" s="3671"/>
      <c r="B677" s="3668"/>
      <c r="C677" s="3668"/>
      <c r="D677" s="3669"/>
      <c r="E677" s="3507" t="s">
        <v>4051</v>
      </c>
      <c r="F677" s="3526">
        <v>40.43</v>
      </c>
      <c r="G677" s="3511">
        <v>6.56</v>
      </c>
      <c r="H677" s="3505" t="s">
        <v>3557</v>
      </c>
      <c r="I677" s="3561">
        <f ca="1">典型户型修正车!S568</f>
        <v>18</v>
      </c>
    </row>
    <row r="678" spans="1:9" s="3472" customFormat="1">
      <c r="A678" s="3671"/>
      <c r="B678" s="3668"/>
      <c r="C678" s="3668"/>
      <c r="D678" s="3669"/>
      <c r="E678" s="3507" t="s">
        <v>4052</v>
      </c>
      <c r="F678" s="3526">
        <v>40.43</v>
      </c>
      <c r="G678" s="3511">
        <v>6.56</v>
      </c>
      <c r="H678" s="3505" t="s">
        <v>3557</v>
      </c>
      <c r="I678" s="3561">
        <f ca="1">典型户型修正车!S569</f>
        <v>18</v>
      </c>
    </row>
    <row r="679" spans="1:9" s="3472" customFormat="1">
      <c r="A679" s="3671"/>
      <c r="B679" s="3668"/>
      <c r="C679" s="3668"/>
      <c r="D679" s="3669"/>
      <c r="E679" s="3507" t="s">
        <v>4053</v>
      </c>
      <c r="F679" s="3526">
        <v>40.43</v>
      </c>
      <c r="G679" s="3511">
        <v>6.56</v>
      </c>
      <c r="H679" s="3505" t="s">
        <v>3557</v>
      </c>
      <c r="I679" s="3561">
        <f ca="1">典型户型修正车!S570</f>
        <v>18</v>
      </c>
    </row>
    <row r="680" spans="1:9" s="3472" customFormat="1">
      <c r="A680" s="3671"/>
      <c r="B680" s="3668"/>
      <c r="C680" s="3668"/>
      <c r="D680" s="3669"/>
      <c r="E680" s="3507" t="s">
        <v>4054</v>
      </c>
      <c r="F680" s="3526">
        <v>40.43</v>
      </c>
      <c r="G680" s="3511">
        <v>6.56</v>
      </c>
      <c r="H680" s="3505" t="s">
        <v>3557</v>
      </c>
      <c r="I680" s="3561">
        <f ca="1">典型户型修正车!S571</f>
        <v>18</v>
      </c>
    </row>
    <row r="681" spans="1:9" s="3472" customFormat="1">
      <c r="A681" s="3671"/>
      <c r="B681" s="3668"/>
      <c r="C681" s="3668"/>
      <c r="D681" s="3669"/>
      <c r="E681" s="3507" t="s">
        <v>4055</v>
      </c>
      <c r="F681" s="3526">
        <v>40.43</v>
      </c>
      <c r="G681" s="3511">
        <v>6.56</v>
      </c>
      <c r="H681" s="3505" t="s">
        <v>3557</v>
      </c>
      <c r="I681" s="3561">
        <f ca="1">典型户型修正车!S572</f>
        <v>18</v>
      </c>
    </row>
    <row r="682" spans="1:9" s="3472" customFormat="1">
      <c r="A682" s="3671"/>
      <c r="B682" s="3668"/>
      <c r="C682" s="3668"/>
      <c r="D682" s="3669"/>
      <c r="E682" s="3507" t="s">
        <v>4056</v>
      </c>
      <c r="F682" s="3526">
        <v>40.43</v>
      </c>
      <c r="G682" s="3511">
        <v>6.56</v>
      </c>
      <c r="H682" s="3505" t="s">
        <v>3557</v>
      </c>
      <c r="I682" s="3561">
        <f ca="1">典型户型修正车!S573</f>
        <v>18</v>
      </c>
    </row>
    <row r="683" spans="1:9" s="3472" customFormat="1">
      <c r="A683" s="3671"/>
      <c r="B683" s="3668"/>
      <c r="C683" s="3668"/>
      <c r="D683" s="3669"/>
      <c r="E683" s="3507" t="s">
        <v>4057</v>
      </c>
      <c r="F683" s="3526">
        <v>40.43</v>
      </c>
      <c r="G683" s="3511">
        <v>6.56</v>
      </c>
      <c r="H683" s="3505" t="s">
        <v>3557</v>
      </c>
      <c r="I683" s="3561">
        <f ca="1">典型户型修正车!S574</f>
        <v>18</v>
      </c>
    </row>
    <row r="684" spans="1:9" s="3472" customFormat="1">
      <c r="A684" s="3671"/>
      <c r="B684" s="3668"/>
      <c r="C684" s="3668"/>
      <c r="D684" s="3669"/>
      <c r="E684" s="3507" t="s">
        <v>4058</v>
      </c>
      <c r="F684" s="3526">
        <v>40.43</v>
      </c>
      <c r="G684" s="3511">
        <v>6.56</v>
      </c>
      <c r="H684" s="3505" t="s">
        <v>3557</v>
      </c>
      <c r="I684" s="3561">
        <f ca="1">典型户型修正车!S575</f>
        <v>18</v>
      </c>
    </row>
    <row r="685" spans="1:9" s="3472" customFormat="1">
      <c r="A685" s="3671"/>
      <c r="B685" s="3668"/>
      <c r="C685" s="3668"/>
      <c r="D685" s="3669"/>
      <c r="E685" s="3507" t="s">
        <v>4059</v>
      </c>
      <c r="F685" s="3526">
        <v>40.43</v>
      </c>
      <c r="G685" s="3511">
        <v>6.56</v>
      </c>
      <c r="H685" s="3505" t="s">
        <v>3557</v>
      </c>
      <c r="I685" s="3561">
        <f ca="1">典型户型修正车!S576</f>
        <v>18</v>
      </c>
    </row>
    <row r="686" spans="1:9" s="3472" customFormat="1">
      <c r="A686" s="3671"/>
      <c r="B686" s="3668"/>
      <c r="C686" s="3668"/>
      <c r="D686" s="3669"/>
      <c r="E686" s="3507" t="s">
        <v>4060</v>
      </c>
      <c r="F686" s="3526">
        <v>40.43</v>
      </c>
      <c r="G686" s="3511">
        <v>6.56</v>
      </c>
      <c r="H686" s="3505" t="s">
        <v>3557</v>
      </c>
      <c r="I686" s="3561">
        <f ca="1">典型户型修正车!S577</f>
        <v>18</v>
      </c>
    </row>
    <row r="687" spans="1:9" s="3472" customFormat="1">
      <c r="A687" s="3671"/>
      <c r="B687" s="3668"/>
      <c r="C687" s="3668"/>
      <c r="D687" s="3669"/>
      <c r="E687" s="3507" t="s">
        <v>4061</v>
      </c>
      <c r="F687" s="3526">
        <v>40.43</v>
      </c>
      <c r="G687" s="3511">
        <v>6.56</v>
      </c>
      <c r="H687" s="3505" t="s">
        <v>3557</v>
      </c>
      <c r="I687" s="3561">
        <f ca="1">典型户型修正车!S578</f>
        <v>18</v>
      </c>
    </row>
    <row r="688" spans="1:9" s="3472" customFormat="1">
      <c r="A688" s="3671"/>
      <c r="B688" s="3668"/>
      <c r="C688" s="3668"/>
      <c r="D688" s="3669"/>
      <c r="E688" s="3507" t="s">
        <v>4062</v>
      </c>
      <c r="F688" s="3526">
        <v>40.43</v>
      </c>
      <c r="G688" s="3511">
        <v>6.56</v>
      </c>
      <c r="H688" s="3505" t="s">
        <v>3557</v>
      </c>
      <c r="I688" s="3561">
        <f ca="1">典型户型修正车!S579</f>
        <v>18</v>
      </c>
    </row>
    <row r="689" spans="1:9" s="3472" customFormat="1">
      <c r="A689" s="3671"/>
      <c r="B689" s="3668"/>
      <c r="C689" s="3668"/>
      <c r="D689" s="3669"/>
      <c r="E689" s="3507" t="s">
        <v>4063</v>
      </c>
      <c r="F689" s="3526">
        <v>40.43</v>
      </c>
      <c r="G689" s="3511">
        <v>6.56</v>
      </c>
      <c r="H689" s="3505" t="s">
        <v>3557</v>
      </c>
      <c r="I689" s="3561">
        <f ca="1">典型户型修正车!S580</f>
        <v>18</v>
      </c>
    </row>
    <row r="690" spans="1:9" s="3472" customFormat="1">
      <c r="A690" s="3671"/>
      <c r="B690" s="3668"/>
      <c r="C690" s="3668"/>
      <c r="D690" s="3669"/>
      <c r="E690" s="3507" t="s">
        <v>4064</v>
      </c>
      <c r="F690" s="3526">
        <v>40.43</v>
      </c>
      <c r="G690" s="3511">
        <v>6.56</v>
      </c>
      <c r="H690" s="3505" t="s">
        <v>3557</v>
      </c>
      <c r="I690" s="3561">
        <f ca="1">典型户型修正车!S581</f>
        <v>18</v>
      </c>
    </row>
    <row r="691" spans="1:9" s="3472" customFormat="1">
      <c r="A691" s="3671"/>
      <c r="B691" s="3668"/>
      <c r="C691" s="3668"/>
      <c r="D691" s="3669"/>
      <c r="E691" s="3507" t="s">
        <v>4065</v>
      </c>
      <c r="F691" s="3526">
        <v>40.43</v>
      </c>
      <c r="G691" s="3511">
        <v>6.56</v>
      </c>
      <c r="H691" s="3505" t="s">
        <v>3557</v>
      </c>
      <c r="I691" s="3561">
        <f ca="1">典型户型修正车!S582</f>
        <v>18</v>
      </c>
    </row>
    <row r="692" spans="1:9" s="3472" customFormat="1">
      <c r="A692" s="3671"/>
      <c r="B692" s="3668"/>
      <c r="C692" s="3668"/>
      <c r="D692" s="3669"/>
      <c r="E692" s="3507" t="s">
        <v>4066</v>
      </c>
      <c r="F692" s="3526">
        <v>40.43</v>
      </c>
      <c r="G692" s="3511">
        <v>6.56</v>
      </c>
      <c r="H692" s="3505" t="s">
        <v>3557</v>
      </c>
      <c r="I692" s="3561">
        <f ca="1">典型户型修正车!S583</f>
        <v>18</v>
      </c>
    </row>
    <row r="693" spans="1:9" s="3472" customFormat="1">
      <c r="A693" s="3671"/>
      <c r="B693" s="3668"/>
      <c r="C693" s="3668"/>
      <c r="D693" s="3669"/>
      <c r="E693" s="3507" t="s">
        <v>4067</v>
      </c>
      <c r="F693" s="3526">
        <v>40.43</v>
      </c>
      <c r="G693" s="3511">
        <v>6.56</v>
      </c>
      <c r="H693" s="3505" t="s">
        <v>3557</v>
      </c>
      <c r="I693" s="3561">
        <f ca="1">典型户型修正车!S584</f>
        <v>18</v>
      </c>
    </row>
    <row r="694" spans="1:9" s="3472" customFormat="1">
      <c r="A694" s="3671"/>
      <c r="B694" s="3668"/>
      <c r="C694" s="3668"/>
      <c r="D694" s="3669"/>
      <c r="E694" s="3507" t="s">
        <v>4068</v>
      </c>
      <c r="F694" s="3526">
        <v>40.43</v>
      </c>
      <c r="G694" s="3511">
        <v>6.56</v>
      </c>
      <c r="H694" s="3505" t="s">
        <v>3557</v>
      </c>
      <c r="I694" s="3561">
        <f ca="1">典型户型修正车!S585</f>
        <v>18</v>
      </c>
    </row>
    <row r="695" spans="1:9" s="3472" customFormat="1">
      <c r="A695" s="3671"/>
      <c r="B695" s="3668"/>
      <c r="C695" s="3668"/>
      <c r="D695" s="3669"/>
      <c r="E695" s="3507" t="s">
        <v>4069</v>
      </c>
      <c r="F695" s="3526">
        <v>40.43</v>
      </c>
      <c r="G695" s="3511">
        <v>6.56</v>
      </c>
      <c r="H695" s="3505" t="s">
        <v>3557</v>
      </c>
      <c r="I695" s="3561">
        <f ca="1">典型户型修正车!S586</f>
        <v>18</v>
      </c>
    </row>
    <row r="696" spans="1:9" s="3472" customFormat="1">
      <c r="A696" s="3671"/>
      <c r="B696" s="3668" t="s">
        <v>3818</v>
      </c>
      <c r="C696" s="3668" t="s">
        <v>3819</v>
      </c>
      <c r="D696" s="3669" t="s">
        <v>3820</v>
      </c>
      <c r="E696" s="3507" t="s">
        <v>4070</v>
      </c>
      <c r="F696" s="3526">
        <v>40.43</v>
      </c>
      <c r="G696" s="3511">
        <v>6.56</v>
      </c>
      <c r="H696" s="3505" t="s">
        <v>3557</v>
      </c>
      <c r="I696" s="3561">
        <f ca="1">典型户型修正车!S587</f>
        <v>18</v>
      </c>
    </row>
    <row r="697" spans="1:9" s="3472" customFormat="1">
      <c r="A697" s="3671"/>
      <c r="B697" s="3668"/>
      <c r="C697" s="3668"/>
      <c r="D697" s="3669"/>
      <c r="E697" s="3507" t="s">
        <v>4071</v>
      </c>
      <c r="F697" s="3526">
        <v>40.43</v>
      </c>
      <c r="G697" s="3511">
        <v>6.56</v>
      </c>
      <c r="H697" s="3505" t="s">
        <v>3557</v>
      </c>
      <c r="I697" s="3561">
        <f ca="1">典型户型修正车!S588</f>
        <v>18</v>
      </c>
    </row>
    <row r="698" spans="1:9" s="3472" customFormat="1">
      <c r="A698" s="3671"/>
      <c r="B698" s="3668"/>
      <c r="C698" s="3668"/>
      <c r="D698" s="3669"/>
      <c r="E698" s="3507" t="s">
        <v>4072</v>
      </c>
      <c r="F698" s="3526">
        <v>40.43</v>
      </c>
      <c r="G698" s="3511">
        <v>6.56</v>
      </c>
      <c r="H698" s="3505" t="s">
        <v>3557</v>
      </c>
      <c r="I698" s="3561">
        <f ca="1">典型户型修正车!S589</f>
        <v>18</v>
      </c>
    </row>
    <row r="699" spans="1:9" s="3472" customFormat="1">
      <c r="A699" s="3671"/>
      <c r="B699" s="3668"/>
      <c r="C699" s="3668"/>
      <c r="D699" s="3669"/>
      <c r="E699" s="3507" t="s">
        <v>4073</v>
      </c>
      <c r="F699" s="3526">
        <v>40.43</v>
      </c>
      <c r="G699" s="3511">
        <v>6.56</v>
      </c>
      <c r="H699" s="3505" t="s">
        <v>3557</v>
      </c>
      <c r="I699" s="3561">
        <f ca="1">典型户型修正车!S590</f>
        <v>18</v>
      </c>
    </row>
    <row r="700" spans="1:9" s="3472" customFormat="1">
      <c r="A700" s="3671"/>
      <c r="B700" s="3668"/>
      <c r="C700" s="3668"/>
      <c r="D700" s="3669"/>
      <c r="E700" s="3507" t="s">
        <v>4074</v>
      </c>
      <c r="F700" s="3526">
        <v>40.43</v>
      </c>
      <c r="G700" s="3511">
        <v>6.56</v>
      </c>
      <c r="H700" s="3505" t="s">
        <v>3557</v>
      </c>
      <c r="I700" s="3561">
        <f ca="1">典型户型修正车!S591</f>
        <v>18</v>
      </c>
    </row>
    <row r="701" spans="1:9" s="3472" customFormat="1">
      <c r="A701" s="3671"/>
      <c r="B701" s="3668"/>
      <c r="C701" s="3668"/>
      <c r="D701" s="3669"/>
      <c r="E701" s="3507" t="s">
        <v>4075</v>
      </c>
      <c r="F701" s="3526">
        <v>40.43</v>
      </c>
      <c r="G701" s="3511">
        <v>6.56</v>
      </c>
      <c r="H701" s="3505" t="s">
        <v>3557</v>
      </c>
      <c r="I701" s="3561">
        <f ca="1">典型户型修正车!S592</f>
        <v>18</v>
      </c>
    </row>
    <row r="702" spans="1:9" s="3472" customFormat="1">
      <c r="A702" s="3671"/>
      <c r="B702" s="3668"/>
      <c r="C702" s="3668"/>
      <c r="D702" s="3669"/>
      <c r="E702" s="3507" t="s">
        <v>4076</v>
      </c>
      <c r="F702" s="3526">
        <v>40.43</v>
      </c>
      <c r="G702" s="3511">
        <v>6.56</v>
      </c>
      <c r="H702" s="3505" t="s">
        <v>3557</v>
      </c>
      <c r="I702" s="3561">
        <f ca="1">典型户型修正车!S593</f>
        <v>18</v>
      </c>
    </row>
    <row r="703" spans="1:9" s="3472" customFormat="1">
      <c r="A703" s="3671"/>
      <c r="B703" s="3668"/>
      <c r="C703" s="3668"/>
      <c r="D703" s="3669"/>
      <c r="E703" s="3507" t="s">
        <v>4077</v>
      </c>
      <c r="F703" s="3526">
        <v>40.43</v>
      </c>
      <c r="G703" s="3511">
        <v>6.56</v>
      </c>
      <c r="H703" s="3505" t="s">
        <v>3557</v>
      </c>
      <c r="I703" s="3561">
        <f ca="1">典型户型修正车!S594</f>
        <v>18</v>
      </c>
    </row>
    <row r="704" spans="1:9" s="3472" customFormat="1">
      <c r="A704" s="3671"/>
      <c r="B704" s="3668"/>
      <c r="C704" s="3668"/>
      <c r="D704" s="3669"/>
      <c r="E704" s="3507" t="s">
        <v>4078</v>
      </c>
      <c r="F704" s="3526">
        <v>40.43</v>
      </c>
      <c r="G704" s="3511">
        <v>6.56</v>
      </c>
      <c r="H704" s="3505" t="s">
        <v>3557</v>
      </c>
      <c r="I704" s="3561">
        <f ca="1">典型户型修正车!S595</f>
        <v>18</v>
      </c>
    </row>
    <row r="705" spans="1:9" s="3472" customFormat="1">
      <c r="A705" s="3671"/>
      <c r="B705" s="3668"/>
      <c r="C705" s="3668"/>
      <c r="D705" s="3669"/>
      <c r="E705" s="3507" t="s">
        <v>4079</v>
      </c>
      <c r="F705" s="3526">
        <v>40.43</v>
      </c>
      <c r="G705" s="3511">
        <v>6.56</v>
      </c>
      <c r="H705" s="3505" t="s">
        <v>3557</v>
      </c>
      <c r="I705" s="3561">
        <f ca="1">典型户型修正车!S596</f>
        <v>18</v>
      </c>
    </row>
    <row r="706" spans="1:9" s="3472" customFormat="1">
      <c r="A706" s="3671"/>
      <c r="B706" s="3668"/>
      <c r="C706" s="3668"/>
      <c r="D706" s="3669"/>
      <c r="E706" s="3507" t="s">
        <v>4080</v>
      </c>
      <c r="F706" s="3526">
        <v>40.43</v>
      </c>
      <c r="G706" s="3511">
        <v>6.56</v>
      </c>
      <c r="H706" s="3505" t="s">
        <v>3557</v>
      </c>
      <c r="I706" s="3561">
        <f ca="1">典型户型修正车!S597</f>
        <v>18</v>
      </c>
    </row>
    <row r="707" spans="1:9" s="3472" customFormat="1">
      <c r="A707" s="3671"/>
      <c r="B707" s="3668"/>
      <c r="C707" s="3668"/>
      <c r="D707" s="3669"/>
      <c r="E707" s="3507" t="s">
        <v>4081</v>
      </c>
      <c r="F707" s="3526">
        <v>40.43</v>
      </c>
      <c r="G707" s="3511">
        <v>6.56</v>
      </c>
      <c r="H707" s="3505" t="s">
        <v>3557</v>
      </c>
      <c r="I707" s="3561">
        <f ca="1">典型户型修正车!S598</f>
        <v>18</v>
      </c>
    </row>
    <row r="708" spans="1:9" s="3472" customFormat="1">
      <c r="A708" s="3671"/>
      <c r="B708" s="3668"/>
      <c r="C708" s="3668"/>
      <c r="D708" s="3669"/>
      <c r="E708" s="3507" t="s">
        <v>4082</v>
      </c>
      <c r="F708" s="3526">
        <v>40.43</v>
      </c>
      <c r="G708" s="3511">
        <v>6.56</v>
      </c>
      <c r="H708" s="3505" t="s">
        <v>3557</v>
      </c>
      <c r="I708" s="3561">
        <f ca="1">典型户型修正车!S599</f>
        <v>18</v>
      </c>
    </row>
    <row r="709" spans="1:9" s="3472" customFormat="1">
      <c r="A709" s="3671"/>
      <c r="B709" s="3668"/>
      <c r="C709" s="3668"/>
      <c r="D709" s="3669"/>
      <c r="E709" s="3507" t="s">
        <v>4083</v>
      </c>
      <c r="F709" s="3526">
        <v>40.43</v>
      </c>
      <c r="G709" s="3511">
        <v>6.56</v>
      </c>
      <c r="H709" s="3505" t="s">
        <v>3557</v>
      </c>
      <c r="I709" s="3561">
        <f ca="1">典型户型修正车!S600</f>
        <v>18</v>
      </c>
    </row>
    <row r="710" spans="1:9" s="3472" customFormat="1">
      <c r="A710" s="3671"/>
      <c r="B710" s="3668"/>
      <c r="C710" s="3668"/>
      <c r="D710" s="3669"/>
      <c r="E710" s="3507" t="s">
        <v>4084</v>
      </c>
      <c r="F710" s="3526">
        <v>40.43</v>
      </c>
      <c r="G710" s="3511">
        <v>6.56</v>
      </c>
      <c r="H710" s="3505" t="s">
        <v>3557</v>
      </c>
      <c r="I710" s="3561">
        <f ca="1">典型户型修正车!S601</f>
        <v>18</v>
      </c>
    </row>
    <row r="711" spans="1:9" s="3472" customFormat="1">
      <c r="A711" s="3671"/>
      <c r="B711" s="3668"/>
      <c r="C711" s="3668"/>
      <c r="D711" s="3669"/>
      <c r="E711" s="3507" t="s">
        <v>4085</v>
      </c>
      <c r="F711" s="3526">
        <v>40.43</v>
      </c>
      <c r="G711" s="3511">
        <v>6.56</v>
      </c>
      <c r="H711" s="3505" t="s">
        <v>3557</v>
      </c>
      <c r="I711" s="3561">
        <f ca="1">典型户型修正车!S602</f>
        <v>18</v>
      </c>
    </row>
    <row r="712" spans="1:9" s="3472" customFormat="1">
      <c r="A712" s="3671"/>
      <c r="B712" s="3668"/>
      <c r="C712" s="3668"/>
      <c r="D712" s="3669"/>
      <c r="E712" s="3507" t="s">
        <v>4086</v>
      </c>
      <c r="F712" s="3526">
        <v>40.43</v>
      </c>
      <c r="G712" s="3511">
        <v>6.56</v>
      </c>
      <c r="H712" s="3505" t="s">
        <v>3557</v>
      </c>
      <c r="I712" s="3561">
        <f ca="1">典型户型修正车!S603</f>
        <v>18</v>
      </c>
    </row>
    <row r="713" spans="1:9" s="3472" customFormat="1">
      <c r="A713" s="3671"/>
      <c r="B713" s="3668"/>
      <c r="C713" s="3668"/>
      <c r="D713" s="3669"/>
      <c r="E713" s="3507" t="s">
        <v>4087</v>
      </c>
      <c r="F713" s="3526">
        <v>40.43</v>
      </c>
      <c r="G713" s="3511">
        <v>6.56</v>
      </c>
      <c r="H713" s="3505" t="s">
        <v>3557</v>
      </c>
      <c r="I713" s="3561">
        <f ca="1">典型户型修正车!S604</f>
        <v>18</v>
      </c>
    </row>
    <row r="714" spans="1:9" s="3472" customFormat="1">
      <c r="A714" s="3671"/>
      <c r="B714" s="3668"/>
      <c r="C714" s="3668"/>
      <c r="D714" s="3669"/>
      <c r="E714" s="3507" t="s">
        <v>4088</v>
      </c>
      <c r="F714" s="3526">
        <v>40.43</v>
      </c>
      <c r="G714" s="3511">
        <v>6.56</v>
      </c>
      <c r="H714" s="3505" t="s">
        <v>3557</v>
      </c>
      <c r="I714" s="3561">
        <f ca="1">典型户型修正车!S605</f>
        <v>18</v>
      </c>
    </row>
    <row r="715" spans="1:9" s="3472" customFormat="1">
      <c r="A715" s="3671"/>
      <c r="B715" s="3668"/>
      <c r="C715" s="3668"/>
      <c r="D715" s="3669"/>
      <c r="E715" s="3507" t="s">
        <v>4089</v>
      </c>
      <c r="F715" s="3526">
        <v>40.43</v>
      </c>
      <c r="G715" s="3511">
        <v>6.56</v>
      </c>
      <c r="H715" s="3505" t="s">
        <v>3557</v>
      </c>
      <c r="I715" s="3561">
        <f ca="1">典型户型修正车!S606</f>
        <v>18</v>
      </c>
    </row>
    <row r="716" spans="1:9" s="3472" customFormat="1">
      <c r="A716" s="3671"/>
      <c r="B716" s="3668"/>
      <c r="C716" s="3668"/>
      <c r="D716" s="3669"/>
      <c r="E716" s="3507" t="s">
        <v>4090</v>
      </c>
      <c r="F716" s="3526">
        <v>40.43</v>
      </c>
      <c r="G716" s="3511">
        <v>6.56</v>
      </c>
      <c r="H716" s="3505" t="s">
        <v>3557</v>
      </c>
      <c r="I716" s="3561">
        <f ca="1">典型户型修正车!S607</f>
        <v>18</v>
      </c>
    </row>
    <row r="717" spans="1:9" s="3472" customFormat="1">
      <c r="A717" s="3671"/>
      <c r="B717" s="3668"/>
      <c r="C717" s="3668"/>
      <c r="D717" s="3669"/>
      <c r="E717" s="3507" t="s">
        <v>4091</v>
      </c>
      <c r="F717" s="3526">
        <v>40.43</v>
      </c>
      <c r="G717" s="3511">
        <v>6.56</v>
      </c>
      <c r="H717" s="3505" t="s">
        <v>3557</v>
      </c>
      <c r="I717" s="3561">
        <f ca="1">典型户型修正车!S608</f>
        <v>18</v>
      </c>
    </row>
    <row r="718" spans="1:9" s="3472" customFormat="1">
      <c r="A718" s="3671"/>
      <c r="B718" s="3668"/>
      <c r="C718" s="3668"/>
      <c r="D718" s="3669"/>
      <c r="E718" s="3507" t="s">
        <v>4092</v>
      </c>
      <c r="F718" s="3526">
        <v>40.43</v>
      </c>
      <c r="G718" s="3511">
        <v>6.56</v>
      </c>
      <c r="H718" s="3505" t="s">
        <v>3557</v>
      </c>
      <c r="I718" s="3561">
        <f ca="1">典型户型修正车!S609</f>
        <v>18</v>
      </c>
    </row>
    <row r="719" spans="1:9" s="3472" customFormat="1">
      <c r="A719" s="3671"/>
      <c r="B719" s="3668"/>
      <c r="C719" s="3668"/>
      <c r="D719" s="3669"/>
      <c r="E719" s="3507" t="s">
        <v>4093</v>
      </c>
      <c r="F719" s="3526">
        <v>40.43</v>
      </c>
      <c r="G719" s="3511">
        <v>6.56</v>
      </c>
      <c r="H719" s="3505" t="s">
        <v>3557</v>
      </c>
      <c r="I719" s="3561">
        <f ca="1">典型户型修正车!S610</f>
        <v>18</v>
      </c>
    </row>
    <row r="720" spans="1:9" s="3472" customFormat="1">
      <c r="A720" s="3671"/>
      <c r="B720" s="3668"/>
      <c r="C720" s="3668"/>
      <c r="D720" s="3669"/>
      <c r="E720" s="3507" t="s">
        <v>4094</v>
      </c>
      <c r="F720" s="3526">
        <v>40.43</v>
      </c>
      <c r="G720" s="3511">
        <v>6.56</v>
      </c>
      <c r="H720" s="3505" t="s">
        <v>3557</v>
      </c>
      <c r="I720" s="3561">
        <f ca="1">典型户型修正车!S611</f>
        <v>18</v>
      </c>
    </row>
    <row r="721" spans="1:9" s="3472" customFormat="1">
      <c r="A721" s="3671"/>
      <c r="B721" s="3668"/>
      <c r="C721" s="3668"/>
      <c r="D721" s="3669"/>
      <c r="E721" s="3507" t="s">
        <v>4095</v>
      </c>
      <c r="F721" s="3526">
        <v>40.43</v>
      </c>
      <c r="G721" s="3511">
        <v>6.56</v>
      </c>
      <c r="H721" s="3505" t="s">
        <v>3557</v>
      </c>
      <c r="I721" s="3561">
        <f ca="1">典型户型修正车!S612</f>
        <v>18</v>
      </c>
    </row>
    <row r="722" spans="1:9" s="3472" customFormat="1">
      <c r="A722" s="3671"/>
      <c r="B722" s="3668"/>
      <c r="C722" s="3668"/>
      <c r="D722" s="3669"/>
      <c r="E722" s="3507" t="s">
        <v>4096</v>
      </c>
      <c r="F722" s="3526">
        <v>40.43</v>
      </c>
      <c r="G722" s="3511">
        <v>6.56</v>
      </c>
      <c r="H722" s="3505" t="s">
        <v>3557</v>
      </c>
      <c r="I722" s="3561">
        <f ca="1">典型户型修正车!S613</f>
        <v>18</v>
      </c>
    </row>
    <row r="723" spans="1:9" s="3472" customFormat="1">
      <c r="A723" s="3671"/>
      <c r="B723" s="3668"/>
      <c r="C723" s="3668"/>
      <c r="D723" s="3669"/>
      <c r="E723" s="3507" t="s">
        <v>4097</v>
      </c>
      <c r="F723" s="3526">
        <v>40.43</v>
      </c>
      <c r="G723" s="3511">
        <v>6.56</v>
      </c>
      <c r="H723" s="3505" t="s">
        <v>3557</v>
      </c>
      <c r="I723" s="3561">
        <f ca="1">典型户型修正车!S614</f>
        <v>18</v>
      </c>
    </row>
    <row r="724" spans="1:9" s="3472" customFormat="1">
      <c r="A724" s="3671"/>
      <c r="B724" s="3668"/>
      <c r="C724" s="3668"/>
      <c r="D724" s="3669"/>
      <c r="E724" s="3507" t="s">
        <v>4098</v>
      </c>
      <c r="F724" s="3526">
        <v>40.43</v>
      </c>
      <c r="G724" s="3511">
        <v>6.56</v>
      </c>
      <c r="H724" s="3505" t="s">
        <v>3557</v>
      </c>
      <c r="I724" s="3561">
        <f ca="1">典型户型修正车!S615</f>
        <v>18</v>
      </c>
    </row>
    <row r="725" spans="1:9" s="3472" customFormat="1">
      <c r="A725" s="3671"/>
      <c r="B725" s="3668"/>
      <c r="C725" s="3668"/>
      <c r="D725" s="3669"/>
      <c r="E725" s="3507" t="s">
        <v>4099</v>
      </c>
      <c r="F725" s="3526">
        <v>40.43</v>
      </c>
      <c r="G725" s="3511">
        <v>6.56</v>
      </c>
      <c r="H725" s="3505" t="s">
        <v>3557</v>
      </c>
      <c r="I725" s="3561">
        <f ca="1">典型户型修正车!S616</f>
        <v>18</v>
      </c>
    </row>
    <row r="726" spans="1:9" s="3472" customFormat="1">
      <c r="A726" s="3671"/>
      <c r="B726" s="3668"/>
      <c r="C726" s="3668"/>
      <c r="D726" s="3669"/>
      <c r="E726" s="3507" t="s">
        <v>4100</v>
      </c>
      <c r="F726" s="3526">
        <v>40.43</v>
      </c>
      <c r="G726" s="3511">
        <v>6.56</v>
      </c>
      <c r="H726" s="3505" t="s">
        <v>3557</v>
      </c>
      <c r="I726" s="3561">
        <f ca="1">典型户型修正车!S617</f>
        <v>18</v>
      </c>
    </row>
    <row r="727" spans="1:9" s="3472" customFormat="1">
      <c r="A727" s="3671"/>
      <c r="B727" s="3668"/>
      <c r="C727" s="3668"/>
      <c r="D727" s="3669"/>
      <c r="E727" s="3507" t="s">
        <v>4101</v>
      </c>
      <c r="F727" s="3526">
        <v>40.43</v>
      </c>
      <c r="G727" s="3511">
        <v>6.56</v>
      </c>
      <c r="H727" s="3505" t="s">
        <v>3557</v>
      </c>
      <c r="I727" s="3561">
        <f ca="1">典型户型修正车!S618</f>
        <v>18</v>
      </c>
    </row>
    <row r="728" spans="1:9" s="3472" customFormat="1">
      <c r="A728" s="3671"/>
      <c r="B728" s="3668"/>
      <c r="C728" s="3668"/>
      <c r="D728" s="3669"/>
      <c r="E728" s="3507" t="s">
        <v>4102</v>
      </c>
      <c r="F728" s="3526">
        <v>40.43</v>
      </c>
      <c r="G728" s="3511">
        <v>6.56</v>
      </c>
      <c r="H728" s="3505" t="s">
        <v>3557</v>
      </c>
      <c r="I728" s="3561">
        <f ca="1">典型户型修正车!S619</f>
        <v>18</v>
      </c>
    </row>
    <row r="729" spans="1:9" s="3472" customFormat="1">
      <c r="A729" s="3671"/>
      <c r="B729" s="3668"/>
      <c r="C729" s="3668"/>
      <c r="D729" s="3669"/>
      <c r="E729" s="3507" t="s">
        <v>4103</v>
      </c>
      <c r="F729" s="3526">
        <v>40.43</v>
      </c>
      <c r="G729" s="3511">
        <v>6.56</v>
      </c>
      <c r="H729" s="3505" t="s">
        <v>3557</v>
      </c>
      <c r="I729" s="3561">
        <f ca="1">典型户型修正车!S620</f>
        <v>18</v>
      </c>
    </row>
    <row r="730" spans="1:9" s="3472" customFormat="1">
      <c r="A730" s="3671"/>
      <c r="B730" s="3668"/>
      <c r="C730" s="3668"/>
      <c r="D730" s="3669"/>
      <c r="E730" s="3507" t="s">
        <v>4104</v>
      </c>
      <c r="F730" s="3526">
        <v>40.43</v>
      </c>
      <c r="G730" s="3511">
        <v>6.56</v>
      </c>
      <c r="H730" s="3505" t="s">
        <v>3557</v>
      </c>
      <c r="I730" s="3561">
        <f ca="1">典型户型修正车!S621</f>
        <v>18</v>
      </c>
    </row>
    <row r="731" spans="1:9" s="3472" customFormat="1">
      <c r="A731" s="3671"/>
      <c r="B731" s="3668"/>
      <c r="C731" s="3668"/>
      <c r="D731" s="3669"/>
      <c r="E731" s="3507" t="s">
        <v>4105</v>
      </c>
      <c r="F731" s="3526">
        <v>40.43</v>
      </c>
      <c r="G731" s="3511">
        <v>6.56</v>
      </c>
      <c r="H731" s="3505" t="s">
        <v>3557</v>
      </c>
      <c r="I731" s="3561">
        <f ca="1">典型户型修正车!S622</f>
        <v>18</v>
      </c>
    </row>
    <row r="732" spans="1:9" s="3472" customFormat="1">
      <c r="A732" s="3671"/>
      <c r="B732" s="3668"/>
      <c r="C732" s="3668"/>
      <c r="D732" s="3669"/>
      <c r="E732" s="3507" t="s">
        <v>4106</v>
      </c>
      <c r="F732" s="3526">
        <v>40.43</v>
      </c>
      <c r="G732" s="3511">
        <v>6.56</v>
      </c>
      <c r="H732" s="3505" t="s">
        <v>3557</v>
      </c>
      <c r="I732" s="3561">
        <f ca="1">典型户型修正车!S623</f>
        <v>18</v>
      </c>
    </row>
    <row r="733" spans="1:9" s="3472" customFormat="1">
      <c r="A733" s="3671"/>
      <c r="B733" s="3668" t="s">
        <v>3818</v>
      </c>
      <c r="C733" s="3668" t="s">
        <v>3819</v>
      </c>
      <c r="D733" s="3669" t="s">
        <v>3820</v>
      </c>
      <c r="E733" s="3507" t="s">
        <v>4107</v>
      </c>
      <c r="F733" s="3526">
        <v>40.43</v>
      </c>
      <c r="G733" s="3511">
        <v>6.56</v>
      </c>
      <c r="H733" s="3505" t="s">
        <v>3557</v>
      </c>
      <c r="I733" s="3561">
        <f ca="1">典型户型修正车!S624</f>
        <v>18</v>
      </c>
    </row>
    <row r="734" spans="1:9" s="3472" customFormat="1">
      <c r="A734" s="3671"/>
      <c r="B734" s="3668"/>
      <c r="C734" s="3668"/>
      <c r="D734" s="3669"/>
      <c r="E734" s="3507" t="s">
        <v>4108</v>
      </c>
      <c r="F734" s="3526">
        <v>40.43</v>
      </c>
      <c r="G734" s="3511">
        <v>6.56</v>
      </c>
      <c r="H734" s="3505" t="s">
        <v>3557</v>
      </c>
      <c r="I734" s="3561">
        <f ca="1">典型户型修正车!S625</f>
        <v>18</v>
      </c>
    </row>
    <row r="735" spans="1:9" s="3472" customFormat="1">
      <c r="A735" s="3671"/>
      <c r="B735" s="3668"/>
      <c r="C735" s="3668"/>
      <c r="D735" s="3669"/>
      <c r="E735" s="3507" t="s">
        <v>4109</v>
      </c>
      <c r="F735" s="3526">
        <v>40.43</v>
      </c>
      <c r="G735" s="3511">
        <v>6.56</v>
      </c>
      <c r="H735" s="3505" t="s">
        <v>3557</v>
      </c>
      <c r="I735" s="3561">
        <f ca="1">典型户型修正车!S626</f>
        <v>18</v>
      </c>
    </row>
    <row r="736" spans="1:9" s="3472" customFormat="1">
      <c r="A736" s="3671"/>
      <c r="B736" s="3668"/>
      <c r="C736" s="3668"/>
      <c r="D736" s="3669"/>
      <c r="E736" s="3507" t="s">
        <v>4110</v>
      </c>
      <c r="F736" s="3526">
        <v>40.43</v>
      </c>
      <c r="G736" s="3511">
        <v>6.56</v>
      </c>
      <c r="H736" s="3505" t="s">
        <v>3557</v>
      </c>
      <c r="I736" s="3561">
        <f ca="1">典型户型修正车!S627</f>
        <v>18</v>
      </c>
    </row>
    <row r="737" spans="1:9" s="3472" customFormat="1">
      <c r="A737" s="3671"/>
      <c r="B737" s="3668"/>
      <c r="C737" s="3668"/>
      <c r="D737" s="3669"/>
      <c r="E737" s="3507" t="s">
        <v>4111</v>
      </c>
      <c r="F737" s="3526">
        <v>40.43</v>
      </c>
      <c r="G737" s="3511">
        <v>6.56</v>
      </c>
      <c r="H737" s="3505" t="s">
        <v>3557</v>
      </c>
      <c r="I737" s="3561">
        <f ca="1">典型户型修正车!S628</f>
        <v>18</v>
      </c>
    </row>
    <row r="738" spans="1:9" s="3472" customFormat="1">
      <c r="A738" s="3671"/>
      <c r="B738" s="3668"/>
      <c r="C738" s="3668"/>
      <c r="D738" s="3669"/>
      <c r="E738" s="3507" t="s">
        <v>4112</v>
      </c>
      <c r="F738" s="3526">
        <v>40.43</v>
      </c>
      <c r="G738" s="3511">
        <v>6.56</v>
      </c>
      <c r="H738" s="3505" t="s">
        <v>3557</v>
      </c>
      <c r="I738" s="3561">
        <f ca="1">典型户型修正车!S629</f>
        <v>18</v>
      </c>
    </row>
    <row r="739" spans="1:9" s="3472" customFormat="1">
      <c r="A739" s="3671"/>
      <c r="B739" s="3668"/>
      <c r="C739" s="3668"/>
      <c r="D739" s="3669"/>
      <c r="E739" s="3507" t="s">
        <v>4113</v>
      </c>
      <c r="F739" s="3526">
        <v>40.43</v>
      </c>
      <c r="G739" s="3511">
        <v>6.56</v>
      </c>
      <c r="H739" s="3505" t="s">
        <v>3557</v>
      </c>
      <c r="I739" s="3561">
        <f ca="1">典型户型修正车!S630</f>
        <v>18</v>
      </c>
    </row>
    <row r="740" spans="1:9" s="3472" customFormat="1">
      <c r="A740" s="3671"/>
      <c r="B740" s="3668"/>
      <c r="C740" s="3668"/>
      <c r="D740" s="3669"/>
      <c r="E740" s="3507" t="s">
        <v>4114</v>
      </c>
      <c r="F740" s="3526">
        <v>40.43</v>
      </c>
      <c r="G740" s="3511">
        <v>6.56</v>
      </c>
      <c r="H740" s="3505" t="s">
        <v>3557</v>
      </c>
      <c r="I740" s="3561">
        <f ca="1">典型户型修正车!S631</f>
        <v>18</v>
      </c>
    </row>
    <row r="741" spans="1:9" s="3472" customFormat="1">
      <c r="A741" s="3671"/>
      <c r="B741" s="3668"/>
      <c r="C741" s="3668"/>
      <c r="D741" s="3669"/>
      <c r="E741" s="3507" t="s">
        <v>4115</v>
      </c>
      <c r="F741" s="3526">
        <v>40.43</v>
      </c>
      <c r="G741" s="3511">
        <v>6.56</v>
      </c>
      <c r="H741" s="3505" t="s">
        <v>3557</v>
      </c>
      <c r="I741" s="3561">
        <f ca="1">典型户型修正车!S632</f>
        <v>18</v>
      </c>
    </row>
    <row r="742" spans="1:9" s="3472" customFormat="1">
      <c r="A742" s="3671"/>
      <c r="B742" s="3668"/>
      <c r="C742" s="3668"/>
      <c r="D742" s="3669"/>
      <c r="E742" s="3507" t="s">
        <v>4116</v>
      </c>
      <c r="F742" s="3526">
        <v>40.43</v>
      </c>
      <c r="G742" s="3511">
        <v>6.56</v>
      </c>
      <c r="H742" s="3505" t="s">
        <v>3557</v>
      </c>
      <c r="I742" s="3561">
        <f ca="1">典型户型修正车!S633</f>
        <v>18</v>
      </c>
    </row>
    <row r="743" spans="1:9" s="3472" customFormat="1">
      <c r="A743" s="3671"/>
      <c r="B743" s="3668"/>
      <c r="C743" s="3668"/>
      <c r="D743" s="3669"/>
      <c r="E743" s="3507" t="s">
        <v>4117</v>
      </c>
      <c r="F743" s="3526">
        <v>40.43</v>
      </c>
      <c r="G743" s="3511">
        <v>6.56</v>
      </c>
      <c r="H743" s="3505" t="s">
        <v>3557</v>
      </c>
      <c r="I743" s="3561">
        <f ca="1">典型户型修正车!S634</f>
        <v>18</v>
      </c>
    </row>
    <row r="744" spans="1:9" s="3472" customFormat="1">
      <c r="A744" s="3671"/>
      <c r="B744" s="3668"/>
      <c r="C744" s="3668"/>
      <c r="D744" s="3669"/>
      <c r="E744" s="3507" t="s">
        <v>4118</v>
      </c>
      <c r="F744" s="3526">
        <v>40.43</v>
      </c>
      <c r="G744" s="3511">
        <v>6.56</v>
      </c>
      <c r="H744" s="3505" t="s">
        <v>3557</v>
      </c>
      <c r="I744" s="3561">
        <f ca="1">典型户型修正车!S635</f>
        <v>18</v>
      </c>
    </row>
    <row r="745" spans="1:9" s="3472" customFormat="1">
      <c r="A745" s="3671"/>
      <c r="B745" s="3668"/>
      <c r="C745" s="3668"/>
      <c r="D745" s="3669"/>
      <c r="E745" s="3507" t="s">
        <v>4119</v>
      </c>
      <c r="F745" s="3526">
        <v>40.43</v>
      </c>
      <c r="G745" s="3511">
        <v>6.56</v>
      </c>
      <c r="H745" s="3505" t="s">
        <v>3557</v>
      </c>
      <c r="I745" s="3561">
        <f ca="1">典型户型修正车!S636</f>
        <v>18</v>
      </c>
    </row>
    <row r="746" spans="1:9" s="3472" customFormat="1">
      <c r="A746" s="3671"/>
      <c r="B746" s="3668"/>
      <c r="C746" s="3668"/>
      <c r="D746" s="3669"/>
      <c r="E746" s="3507" t="s">
        <v>4120</v>
      </c>
      <c r="F746" s="3526">
        <v>40.43</v>
      </c>
      <c r="G746" s="3511">
        <v>6.56</v>
      </c>
      <c r="H746" s="3505" t="s">
        <v>3557</v>
      </c>
      <c r="I746" s="3561">
        <f ca="1">典型户型修正车!S637</f>
        <v>18</v>
      </c>
    </row>
    <row r="747" spans="1:9" s="3472" customFormat="1">
      <c r="A747" s="3671"/>
      <c r="B747" s="3668"/>
      <c r="C747" s="3668"/>
      <c r="D747" s="3669"/>
      <c r="E747" s="3507" t="s">
        <v>4121</v>
      </c>
      <c r="F747" s="3526">
        <v>40.43</v>
      </c>
      <c r="G747" s="3511">
        <v>6.56</v>
      </c>
      <c r="H747" s="3505" t="s">
        <v>3557</v>
      </c>
      <c r="I747" s="3561">
        <f ca="1">典型户型修正车!S638</f>
        <v>18</v>
      </c>
    </row>
    <row r="748" spans="1:9" s="3472" customFormat="1">
      <c r="A748" s="3671"/>
      <c r="B748" s="3668"/>
      <c r="C748" s="3668"/>
      <c r="D748" s="3669"/>
      <c r="E748" s="3507" t="s">
        <v>4122</v>
      </c>
      <c r="F748" s="3526">
        <v>40.43</v>
      </c>
      <c r="G748" s="3511">
        <v>6.56</v>
      </c>
      <c r="H748" s="3505" t="s">
        <v>3557</v>
      </c>
      <c r="I748" s="3561">
        <f ca="1">典型户型修正车!S639</f>
        <v>18</v>
      </c>
    </row>
    <row r="749" spans="1:9" s="3472" customFormat="1">
      <c r="A749" s="3671"/>
      <c r="B749" s="3668"/>
      <c r="C749" s="3668"/>
      <c r="D749" s="3669"/>
      <c r="E749" s="3507" t="s">
        <v>4123</v>
      </c>
      <c r="F749" s="3526">
        <v>40.43</v>
      </c>
      <c r="G749" s="3511">
        <v>6.56</v>
      </c>
      <c r="H749" s="3505" t="s">
        <v>3557</v>
      </c>
      <c r="I749" s="3561">
        <f ca="1">典型户型修正车!S640</f>
        <v>18</v>
      </c>
    </row>
    <row r="750" spans="1:9" s="3472" customFormat="1">
      <c r="A750" s="3671"/>
      <c r="B750" s="3668"/>
      <c r="C750" s="3668"/>
      <c r="D750" s="3669"/>
      <c r="E750" s="3507" t="s">
        <v>4124</v>
      </c>
      <c r="F750" s="3526">
        <v>40.43</v>
      </c>
      <c r="G750" s="3511">
        <v>6.56</v>
      </c>
      <c r="H750" s="3505" t="s">
        <v>3557</v>
      </c>
      <c r="I750" s="3561">
        <f ca="1">典型户型修正车!S641</f>
        <v>18</v>
      </c>
    </row>
    <row r="751" spans="1:9" s="3472" customFormat="1">
      <c r="A751" s="3671"/>
      <c r="B751" s="3668"/>
      <c r="C751" s="3668"/>
      <c r="D751" s="3669"/>
      <c r="E751" s="3507" t="s">
        <v>4125</v>
      </c>
      <c r="F751" s="3526">
        <v>40.43</v>
      </c>
      <c r="G751" s="3511">
        <v>6.56</v>
      </c>
      <c r="H751" s="3505" t="s">
        <v>3557</v>
      </c>
      <c r="I751" s="3561">
        <f ca="1">典型户型修正车!S642</f>
        <v>18</v>
      </c>
    </row>
    <row r="752" spans="1:9" s="3472" customFormat="1">
      <c r="A752" s="3671"/>
      <c r="B752" s="3668"/>
      <c r="C752" s="3668"/>
      <c r="D752" s="3669"/>
      <c r="E752" s="3507" t="s">
        <v>4126</v>
      </c>
      <c r="F752" s="3526">
        <v>40.43</v>
      </c>
      <c r="G752" s="3511">
        <v>6.56</v>
      </c>
      <c r="H752" s="3505" t="s">
        <v>3557</v>
      </c>
      <c r="I752" s="3561">
        <f ca="1">典型户型修正车!S643</f>
        <v>18</v>
      </c>
    </row>
    <row r="753" spans="1:9" s="3472" customFormat="1">
      <c r="A753" s="3671"/>
      <c r="B753" s="3668"/>
      <c r="C753" s="3668"/>
      <c r="D753" s="3669"/>
      <c r="E753" s="3507" t="s">
        <v>4127</v>
      </c>
      <c r="F753" s="3526">
        <v>40.43</v>
      </c>
      <c r="G753" s="3511">
        <v>6.56</v>
      </c>
      <c r="H753" s="3505" t="s">
        <v>3557</v>
      </c>
      <c r="I753" s="3561">
        <f ca="1">典型户型修正车!S644</f>
        <v>18</v>
      </c>
    </row>
    <row r="754" spans="1:9" s="3472" customFormat="1">
      <c r="A754" s="3671"/>
      <c r="B754" s="3668"/>
      <c r="C754" s="3668"/>
      <c r="D754" s="3669"/>
      <c r="E754" s="3507" t="s">
        <v>4128</v>
      </c>
      <c r="F754" s="3526">
        <v>40.43</v>
      </c>
      <c r="G754" s="3511">
        <v>6.56</v>
      </c>
      <c r="H754" s="3505" t="s">
        <v>3557</v>
      </c>
      <c r="I754" s="3561">
        <f ca="1">典型户型修正车!S645</f>
        <v>18</v>
      </c>
    </row>
    <row r="755" spans="1:9" s="3472" customFormat="1">
      <c r="A755" s="3671"/>
      <c r="B755" s="3668"/>
      <c r="C755" s="3668"/>
      <c r="D755" s="3669"/>
      <c r="E755" s="3507" t="s">
        <v>4129</v>
      </c>
      <c r="F755" s="3526">
        <v>40.43</v>
      </c>
      <c r="G755" s="3511">
        <v>6.56</v>
      </c>
      <c r="H755" s="3505" t="s">
        <v>3557</v>
      </c>
      <c r="I755" s="3561">
        <f ca="1">典型户型修正车!S646</f>
        <v>18</v>
      </c>
    </row>
    <row r="756" spans="1:9" s="3472" customFormat="1">
      <c r="A756" s="3671"/>
      <c r="B756" s="3668"/>
      <c r="C756" s="3668"/>
      <c r="D756" s="3669"/>
      <c r="E756" s="3507" t="s">
        <v>4130</v>
      </c>
      <c r="F756" s="3526">
        <v>40.43</v>
      </c>
      <c r="G756" s="3511">
        <v>6.56</v>
      </c>
      <c r="H756" s="3505" t="s">
        <v>3557</v>
      </c>
      <c r="I756" s="3561">
        <f ca="1">典型户型修正车!S647</f>
        <v>18</v>
      </c>
    </row>
    <row r="757" spans="1:9" s="3472" customFormat="1">
      <c r="A757" s="3671"/>
      <c r="B757" s="3668"/>
      <c r="C757" s="3668"/>
      <c r="D757" s="3669"/>
      <c r="E757" s="3507" t="s">
        <v>4131</v>
      </c>
      <c r="F757" s="3526">
        <v>40.43</v>
      </c>
      <c r="G757" s="3511">
        <v>6.56</v>
      </c>
      <c r="H757" s="3505" t="s">
        <v>3557</v>
      </c>
      <c r="I757" s="3561">
        <f ca="1">典型户型修正车!S648</f>
        <v>18</v>
      </c>
    </row>
    <row r="758" spans="1:9" s="3472" customFormat="1">
      <c r="A758" s="3671"/>
      <c r="B758" s="3668"/>
      <c r="C758" s="3668"/>
      <c r="D758" s="3669"/>
      <c r="E758" s="3507" t="s">
        <v>4132</v>
      </c>
      <c r="F758" s="3526">
        <v>40.43</v>
      </c>
      <c r="G758" s="3511">
        <v>6.56</v>
      </c>
      <c r="H758" s="3505" t="s">
        <v>3557</v>
      </c>
      <c r="I758" s="3561">
        <f ca="1">典型户型修正车!S649</f>
        <v>18</v>
      </c>
    </row>
    <row r="759" spans="1:9" s="3472" customFormat="1">
      <c r="A759" s="3671"/>
      <c r="B759" s="3668"/>
      <c r="C759" s="3668"/>
      <c r="D759" s="3669"/>
      <c r="E759" s="3507" t="s">
        <v>4133</v>
      </c>
      <c r="F759" s="3526">
        <v>40.43</v>
      </c>
      <c r="G759" s="3511">
        <v>6.56</v>
      </c>
      <c r="H759" s="3505" t="s">
        <v>3557</v>
      </c>
      <c r="I759" s="3561">
        <f ca="1">典型户型修正车!S650</f>
        <v>18</v>
      </c>
    </row>
    <row r="760" spans="1:9" s="3472" customFormat="1">
      <c r="A760" s="3671"/>
      <c r="B760" s="3668"/>
      <c r="C760" s="3668"/>
      <c r="D760" s="3669"/>
      <c r="E760" s="3507" t="s">
        <v>4134</v>
      </c>
      <c r="F760" s="3526">
        <v>40.43</v>
      </c>
      <c r="G760" s="3511">
        <v>6.56</v>
      </c>
      <c r="H760" s="3505" t="s">
        <v>3557</v>
      </c>
      <c r="I760" s="3561">
        <f ca="1">典型户型修正车!S651</f>
        <v>18</v>
      </c>
    </row>
    <row r="761" spans="1:9" s="3472" customFormat="1">
      <c r="A761" s="3671"/>
      <c r="B761" s="3668"/>
      <c r="C761" s="3668"/>
      <c r="D761" s="3669"/>
      <c r="E761" s="3507" t="s">
        <v>4135</v>
      </c>
      <c r="F761" s="3526">
        <v>40.43</v>
      </c>
      <c r="G761" s="3511">
        <v>6.56</v>
      </c>
      <c r="H761" s="3505" t="s">
        <v>3557</v>
      </c>
      <c r="I761" s="3561">
        <f ca="1">典型户型修正车!S652</f>
        <v>18</v>
      </c>
    </row>
    <row r="762" spans="1:9" s="3472" customFormat="1">
      <c r="A762" s="3671"/>
      <c r="B762" s="3668"/>
      <c r="C762" s="3668"/>
      <c r="D762" s="3669"/>
      <c r="E762" s="3507" t="s">
        <v>4136</v>
      </c>
      <c r="F762" s="3526">
        <v>40.43</v>
      </c>
      <c r="G762" s="3511">
        <v>6.56</v>
      </c>
      <c r="H762" s="3505" t="s">
        <v>3557</v>
      </c>
      <c r="I762" s="3561">
        <f ca="1">典型户型修正车!S653</f>
        <v>18</v>
      </c>
    </row>
    <row r="763" spans="1:9" s="3472" customFormat="1">
      <c r="A763" s="3671"/>
      <c r="B763" s="3668"/>
      <c r="C763" s="3668"/>
      <c r="D763" s="3669"/>
      <c r="E763" s="3507" t="s">
        <v>4137</v>
      </c>
      <c r="F763" s="3526">
        <v>40.43</v>
      </c>
      <c r="G763" s="3511">
        <v>6.56</v>
      </c>
      <c r="H763" s="3505" t="s">
        <v>3557</v>
      </c>
      <c r="I763" s="3561">
        <f ca="1">典型户型修正车!S654</f>
        <v>18</v>
      </c>
    </row>
    <row r="764" spans="1:9" s="3472" customFormat="1">
      <c r="A764" s="3671"/>
      <c r="B764" s="3668"/>
      <c r="C764" s="3668"/>
      <c r="D764" s="3669"/>
      <c r="E764" s="3507" t="s">
        <v>4138</v>
      </c>
      <c r="F764" s="3526">
        <v>40.43</v>
      </c>
      <c r="G764" s="3511">
        <v>6.56</v>
      </c>
      <c r="H764" s="3505" t="s">
        <v>3557</v>
      </c>
      <c r="I764" s="3561">
        <f ca="1">典型户型修正车!S655</f>
        <v>18</v>
      </c>
    </row>
    <row r="765" spans="1:9" s="3472" customFormat="1">
      <c r="A765" s="3671"/>
      <c r="B765" s="3668"/>
      <c r="C765" s="3668"/>
      <c r="D765" s="3669"/>
      <c r="E765" s="3507" t="s">
        <v>4139</v>
      </c>
      <c r="F765" s="3526">
        <v>40.43</v>
      </c>
      <c r="G765" s="3511">
        <v>6.56</v>
      </c>
      <c r="H765" s="3505" t="s">
        <v>3557</v>
      </c>
      <c r="I765" s="3561">
        <f ca="1">典型户型修正车!S656</f>
        <v>18</v>
      </c>
    </row>
    <row r="766" spans="1:9" s="3472" customFormat="1">
      <c r="A766" s="3671"/>
      <c r="B766" s="3668"/>
      <c r="C766" s="3668"/>
      <c r="D766" s="3669"/>
      <c r="E766" s="3507" t="s">
        <v>4140</v>
      </c>
      <c r="F766" s="3526">
        <v>40.43</v>
      </c>
      <c r="G766" s="3511">
        <v>6.56</v>
      </c>
      <c r="H766" s="3505" t="s">
        <v>3557</v>
      </c>
      <c r="I766" s="3561">
        <f ca="1">典型户型修正车!S657</f>
        <v>18</v>
      </c>
    </row>
    <row r="767" spans="1:9" s="3472" customFormat="1">
      <c r="A767" s="3671"/>
      <c r="B767" s="3668"/>
      <c r="C767" s="3668"/>
      <c r="D767" s="3669"/>
      <c r="E767" s="3507" t="s">
        <v>4141</v>
      </c>
      <c r="F767" s="3526">
        <v>40.43</v>
      </c>
      <c r="G767" s="3511">
        <v>6.56</v>
      </c>
      <c r="H767" s="3505" t="s">
        <v>3557</v>
      </c>
      <c r="I767" s="3561">
        <f ca="1">典型户型修正车!S658</f>
        <v>18</v>
      </c>
    </row>
    <row r="768" spans="1:9" s="3472" customFormat="1">
      <c r="A768" s="3671"/>
      <c r="B768" s="3668"/>
      <c r="C768" s="3668"/>
      <c r="D768" s="3669"/>
      <c r="E768" s="3507" t="s">
        <v>4142</v>
      </c>
      <c r="F768" s="3526">
        <v>40.43</v>
      </c>
      <c r="G768" s="3511">
        <v>6.56</v>
      </c>
      <c r="H768" s="3505" t="s">
        <v>3557</v>
      </c>
      <c r="I768" s="3561">
        <f ca="1">典型户型修正车!S659</f>
        <v>18</v>
      </c>
    </row>
    <row r="769" spans="1:9" s="3472" customFormat="1">
      <c r="A769" s="3671"/>
      <c r="B769" s="3668"/>
      <c r="C769" s="3668"/>
      <c r="D769" s="3669"/>
      <c r="E769" s="3507" t="s">
        <v>4143</v>
      </c>
      <c r="F769" s="3526">
        <v>40.43</v>
      </c>
      <c r="G769" s="3511">
        <v>6.56</v>
      </c>
      <c r="H769" s="3505" t="s">
        <v>3557</v>
      </c>
      <c r="I769" s="3561">
        <f ca="1">典型户型修正车!S660</f>
        <v>18</v>
      </c>
    </row>
    <row r="770" spans="1:9" s="3472" customFormat="1">
      <c r="A770" s="3671"/>
      <c r="B770" s="3668" t="s">
        <v>3818</v>
      </c>
      <c r="C770" s="3668" t="s">
        <v>3819</v>
      </c>
      <c r="D770" s="3669" t="s">
        <v>3820</v>
      </c>
      <c r="E770" s="3507" t="s">
        <v>4144</v>
      </c>
      <c r="F770" s="3526">
        <v>40.43</v>
      </c>
      <c r="G770" s="3511">
        <v>6.56</v>
      </c>
      <c r="H770" s="3505" t="s">
        <v>3557</v>
      </c>
      <c r="I770" s="3561">
        <f ca="1">典型户型修正车!S661</f>
        <v>18</v>
      </c>
    </row>
    <row r="771" spans="1:9" s="3472" customFormat="1">
      <c r="A771" s="3671"/>
      <c r="B771" s="3668"/>
      <c r="C771" s="3668"/>
      <c r="D771" s="3669"/>
      <c r="E771" s="3507" t="s">
        <v>4145</v>
      </c>
      <c r="F771" s="3526">
        <v>40.43</v>
      </c>
      <c r="G771" s="3511">
        <v>6.56</v>
      </c>
      <c r="H771" s="3505" t="s">
        <v>3557</v>
      </c>
      <c r="I771" s="3561">
        <f ca="1">典型户型修正车!S662</f>
        <v>18</v>
      </c>
    </row>
    <row r="772" spans="1:9" s="3472" customFormat="1">
      <c r="A772" s="3671"/>
      <c r="B772" s="3668"/>
      <c r="C772" s="3668"/>
      <c r="D772" s="3669"/>
      <c r="E772" s="3507" t="s">
        <v>4146</v>
      </c>
      <c r="F772" s="3526">
        <v>40.43</v>
      </c>
      <c r="G772" s="3511">
        <v>6.56</v>
      </c>
      <c r="H772" s="3505" t="s">
        <v>3557</v>
      </c>
      <c r="I772" s="3561">
        <f ca="1">典型户型修正车!S663</f>
        <v>18</v>
      </c>
    </row>
    <row r="773" spans="1:9" s="3472" customFormat="1">
      <c r="A773" s="3671"/>
      <c r="B773" s="3668"/>
      <c r="C773" s="3668"/>
      <c r="D773" s="3669"/>
      <c r="E773" s="3507" t="s">
        <v>4147</v>
      </c>
      <c r="F773" s="3526">
        <v>40.43</v>
      </c>
      <c r="G773" s="3511">
        <v>6.56</v>
      </c>
      <c r="H773" s="3505" t="s">
        <v>3557</v>
      </c>
      <c r="I773" s="3561">
        <f ca="1">典型户型修正车!S664</f>
        <v>18</v>
      </c>
    </row>
    <row r="774" spans="1:9" s="3472" customFormat="1">
      <c r="A774" s="3671"/>
      <c r="B774" s="3668"/>
      <c r="C774" s="3668"/>
      <c r="D774" s="3669"/>
      <c r="E774" s="3507" t="s">
        <v>4148</v>
      </c>
      <c r="F774" s="3526">
        <v>40.43</v>
      </c>
      <c r="G774" s="3511">
        <v>6.56</v>
      </c>
      <c r="H774" s="3505" t="s">
        <v>3557</v>
      </c>
      <c r="I774" s="3561">
        <f ca="1">典型户型修正车!S665</f>
        <v>18</v>
      </c>
    </row>
    <row r="775" spans="1:9" s="3472" customFormat="1">
      <c r="A775" s="3671"/>
      <c r="B775" s="3668"/>
      <c r="C775" s="3668"/>
      <c r="D775" s="3669"/>
      <c r="E775" s="3507" t="s">
        <v>4149</v>
      </c>
      <c r="F775" s="3526">
        <v>40.43</v>
      </c>
      <c r="G775" s="3511">
        <v>6.56</v>
      </c>
      <c r="H775" s="3505" t="s">
        <v>3557</v>
      </c>
      <c r="I775" s="3561">
        <f ca="1">典型户型修正车!S666</f>
        <v>18</v>
      </c>
    </row>
    <row r="776" spans="1:9" s="3472" customFormat="1">
      <c r="A776" s="3671"/>
      <c r="B776" s="3668"/>
      <c r="C776" s="3668"/>
      <c r="D776" s="3669"/>
      <c r="E776" s="3507" t="s">
        <v>4150</v>
      </c>
      <c r="F776" s="3526">
        <v>40.43</v>
      </c>
      <c r="G776" s="3511">
        <v>6.56</v>
      </c>
      <c r="H776" s="3505" t="s">
        <v>3557</v>
      </c>
      <c r="I776" s="3561">
        <f ca="1">典型户型修正车!S667</f>
        <v>18</v>
      </c>
    </row>
    <row r="777" spans="1:9" s="3472" customFormat="1">
      <c r="A777" s="3671"/>
      <c r="B777" s="3668"/>
      <c r="C777" s="3668"/>
      <c r="D777" s="3669"/>
      <c r="E777" s="3507" t="s">
        <v>4151</v>
      </c>
      <c r="F777" s="3526">
        <v>40.43</v>
      </c>
      <c r="G777" s="3511">
        <v>6.56</v>
      </c>
      <c r="H777" s="3505" t="s">
        <v>3557</v>
      </c>
      <c r="I777" s="3561">
        <f ca="1">典型户型修正车!S668</f>
        <v>18</v>
      </c>
    </row>
    <row r="778" spans="1:9" s="3472" customFormat="1">
      <c r="A778" s="3671"/>
      <c r="B778" s="3668"/>
      <c r="C778" s="3668"/>
      <c r="D778" s="3669"/>
      <c r="E778" s="3507" t="s">
        <v>4152</v>
      </c>
      <c r="F778" s="3526">
        <v>40.43</v>
      </c>
      <c r="G778" s="3511">
        <v>6.56</v>
      </c>
      <c r="H778" s="3505" t="s">
        <v>3557</v>
      </c>
      <c r="I778" s="3561">
        <f ca="1">典型户型修正车!S669</f>
        <v>18</v>
      </c>
    </row>
    <row r="779" spans="1:9" s="3472" customFormat="1">
      <c r="A779" s="3671"/>
      <c r="B779" s="3668"/>
      <c r="C779" s="3668"/>
      <c r="D779" s="3669"/>
      <c r="E779" s="3507" t="s">
        <v>4153</v>
      </c>
      <c r="F779" s="3526">
        <v>40.43</v>
      </c>
      <c r="G779" s="3511">
        <v>6.56</v>
      </c>
      <c r="H779" s="3505" t="s">
        <v>3557</v>
      </c>
      <c r="I779" s="3561">
        <f ca="1">典型户型修正车!S670</f>
        <v>18</v>
      </c>
    </row>
    <row r="780" spans="1:9" s="3472" customFormat="1">
      <c r="A780" s="3671"/>
      <c r="B780" s="3668"/>
      <c r="C780" s="3668"/>
      <c r="D780" s="3669"/>
      <c r="E780" s="3507" t="s">
        <v>4154</v>
      </c>
      <c r="F780" s="3526">
        <v>40.43</v>
      </c>
      <c r="G780" s="3511">
        <v>6.56</v>
      </c>
      <c r="H780" s="3505" t="s">
        <v>3557</v>
      </c>
      <c r="I780" s="3561">
        <f ca="1">典型户型修正车!S671</f>
        <v>18</v>
      </c>
    </row>
    <row r="781" spans="1:9" s="3472" customFormat="1">
      <c r="A781" s="3671"/>
      <c r="B781" s="3668"/>
      <c r="C781" s="3668"/>
      <c r="D781" s="3669"/>
      <c r="E781" s="3507" t="s">
        <v>4155</v>
      </c>
      <c r="F781" s="3526">
        <v>40.43</v>
      </c>
      <c r="G781" s="3511">
        <v>6.56</v>
      </c>
      <c r="H781" s="3505" t="s">
        <v>3557</v>
      </c>
      <c r="I781" s="3561">
        <f ca="1">典型户型修正车!S672</f>
        <v>18</v>
      </c>
    </row>
    <row r="782" spans="1:9" s="3472" customFormat="1">
      <c r="A782" s="3671"/>
      <c r="B782" s="3668"/>
      <c r="C782" s="3668"/>
      <c r="D782" s="3669"/>
      <c r="E782" s="3507" t="s">
        <v>4156</v>
      </c>
      <c r="F782" s="3526">
        <v>40.43</v>
      </c>
      <c r="G782" s="3511">
        <v>6.56</v>
      </c>
      <c r="H782" s="3505" t="s">
        <v>3557</v>
      </c>
      <c r="I782" s="3561">
        <f ca="1">典型户型修正车!S673</f>
        <v>18</v>
      </c>
    </row>
    <row r="783" spans="1:9" s="3472" customFormat="1">
      <c r="A783" s="3671"/>
      <c r="B783" s="3668"/>
      <c r="C783" s="3668"/>
      <c r="D783" s="3669"/>
      <c r="E783" s="3507" t="s">
        <v>4157</v>
      </c>
      <c r="F783" s="3526">
        <v>40.43</v>
      </c>
      <c r="G783" s="3511">
        <v>6.56</v>
      </c>
      <c r="H783" s="3505" t="s">
        <v>3557</v>
      </c>
      <c r="I783" s="3561">
        <f ca="1">典型户型修正车!S674</f>
        <v>18</v>
      </c>
    </row>
    <row r="784" spans="1:9" s="3472" customFormat="1">
      <c r="A784" s="3671"/>
      <c r="B784" s="3668"/>
      <c r="C784" s="3668"/>
      <c r="D784" s="3669"/>
      <c r="E784" s="3507" t="s">
        <v>4158</v>
      </c>
      <c r="F784" s="3526">
        <v>40.43</v>
      </c>
      <c r="G784" s="3511">
        <v>6.56</v>
      </c>
      <c r="H784" s="3505" t="s">
        <v>3557</v>
      </c>
      <c r="I784" s="3561">
        <f ca="1">典型户型修正车!S675</f>
        <v>18</v>
      </c>
    </row>
    <row r="785" spans="1:9" s="3472" customFormat="1">
      <c r="A785" s="3671"/>
      <c r="B785" s="3668"/>
      <c r="C785" s="3668"/>
      <c r="D785" s="3669"/>
      <c r="E785" s="3507" t="s">
        <v>4159</v>
      </c>
      <c r="F785" s="3526">
        <v>40.43</v>
      </c>
      <c r="G785" s="3511">
        <v>6.56</v>
      </c>
      <c r="H785" s="3505" t="s">
        <v>3557</v>
      </c>
      <c r="I785" s="3561">
        <f ca="1">典型户型修正车!S676</f>
        <v>18</v>
      </c>
    </row>
    <row r="786" spans="1:9" s="3472" customFormat="1">
      <c r="A786" s="3671"/>
      <c r="B786" s="3668"/>
      <c r="C786" s="3668"/>
      <c r="D786" s="3669"/>
      <c r="E786" s="3507" t="s">
        <v>4160</v>
      </c>
      <c r="F786" s="3526">
        <v>40.43</v>
      </c>
      <c r="G786" s="3511">
        <v>6.56</v>
      </c>
      <c r="H786" s="3505" t="s">
        <v>3557</v>
      </c>
      <c r="I786" s="3561">
        <f ca="1">典型户型修正车!S677</f>
        <v>18</v>
      </c>
    </row>
    <row r="787" spans="1:9" s="3472" customFormat="1">
      <c r="A787" s="3671"/>
      <c r="B787" s="3668"/>
      <c r="C787" s="3668"/>
      <c r="D787" s="3669"/>
      <c r="E787" s="3507" t="s">
        <v>4161</v>
      </c>
      <c r="F787" s="3526">
        <v>40.43</v>
      </c>
      <c r="G787" s="3511">
        <v>6.56</v>
      </c>
      <c r="H787" s="3505" t="s">
        <v>3557</v>
      </c>
      <c r="I787" s="3561">
        <f ca="1">典型户型修正车!S678</f>
        <v>18</v>
      </c>
    </row>
    <row r="788" spans="1:9" s="3472" customFormat="1">
      <c r="A788" s="3671"/>
      <c r="B788" s="3668"/>
      <c r="C788" s="3668"/>
      <c r="D788" s="3669"/>
      <c r="E788" s="3507" t="s">
        <v>4162</v>
      </c>
      <c r="F788" s="3526">
        <v>40.43</v>
      </c>
      <c r="G788" s="3511">
        <v>6.56</v>
      </c>
      <c r="H788" s="3505" t="s">
        <v>3557</v>
      </c>
      <c r="I788" s="3561">
        <f ca="1">典型户型修正车!S679</f>
        <v>18</v>
      </c>
    </row>
    <row r="789" spans="1:9" s="3472" customFormat="1">
      <c r="A789" s="3671"/>
      <c r="B789" s="3668"/>
      <c r="C789" s="3668"/>
      <c r="D789" s="3669"/>
      <c r="E789" s="3507" t="s">
        <v>4163</v>
      </c>
      <c r="F789" s="3526">
        <v>40.43</v>
      </c>
      <c r="G789" s="3511">
        <v>6.56</v>
      </c>
      <c r="H789" s="3505" t="s">
        <v>3557</v>
      </c>
      <c r="I789" s="3561">
        <f ca="1">典型户型修正车!S680</f>
        <v>18</v>
      </c>
    </row>
    <row r="790" spans="1:9" s="3472" customFormat="1">
      <c r="A790" s="3671"/>
      <c r="B790" s="3668"/>
      <c r="C790" s="3668"/>
      <c r="D790" s="3669"/>
      <c r="E790" s="3507" t="s">
        <v>4164</v>
      </c>
      <c r="F790" s="3526">
        <v>40.43</v>
      </c>
      <c r="G790" s="3511">
        <v>6.56</v>
      </c>
      <c r="H790" s="3505" t="s">
        <v>3557</v>
      </c>
      <c r="I790" s="3561">
        <f ca="1">典型户型修正车!S681</f>
        <v>18</v>
      </c>
    </row>
    <row r="791" spans="1:9" s="3472" customFormat="1">
      <c r="A791" s="3671"/>
      <c r="B791" s="3668"/>
      <c r="C791" s="3668"/>
      <c r="D791" s="3669"/>
      <c r="E791" s="3507" t="s">
        <v>4165</v>
      </c>
      <c r="F791" s="3526">
        <v>40.43</v>
      </c>
      <c r="G791" s="3511">
        <v>6.56</v>
      </c>
      <c r="H791" s="3505" t="s">
        <v>3557</v>
      </c>
      <c r="I791" s="3561">
        <f ca="1">典型户型修正车!S682</f>
        <v>18</v>
      </c>
    </row>
    <row r="792" spans="1:9" s="3472" customFormat="1">
      <c r="A792" s="3671"/>
      <c r="B792" s="3668"/>
      <c r="C792" s="3668"/>
      <c r="D792" s="3669"/>
      <c r="E792" s="3507" t="s">
        <v>4166</v>
      </c>
      <c r="F792" s="3526">
        <v>40.43</v>
      </c>
      <c r="G792" s="3511">
        <v>6.56</v>
      </c>
      <c r="H792" s="3505" t="s">
        <v>3557</v>
      </c>
      <c r="I792" s="3561">
        <f ca="1">典型户型修正车!S683</f>
        <v>18</v>
      </c>
    </row>
    <row r="793" spans="1:9" s="3472" customFormat="1">
      <c r="A793" s="3671"/>
      <c r="B793" s="3668"/>
      <c r="C793" s="3668"/>
      <c r="D793" s="3669"/>
      <c r="E793" s="3507" t="s">
        <v>4167</v>
      </c>
      <c r="F793" s="3526">
        <v>40.43</v>
      </c>
      <c r="G793" s="3511">
        <v>6.56</v>
      </c>
      <c r="H793" s="3505" t="s">
        <v>3557</v>
      </c>
      <c r="I793" s="3561">
        <f ca="1">典型户型修正车!S684</f>
        <v>18</v>
      </c>
    </row>
    <row r="794" spans="1:9" s="3472" customFormat="1">
      <c r="A794" s="3671"/>
      <c r="B794" s="3668"/>
      <c r="C794" s="3668"/>
      <c r="D794" s="3669"/>
      <c r="E794" s="3507" t="s">
        <v>4168</v>
      </c>
      <c r="F794" s="3526">
        <v>40.43</v>
      </c>
      <c r="G794" s="3511">
        <v>6.56</v>
      </c>
      <c r="H794" s="3505" t="s">
        <v>3557</v>
      </c>
      <c r="I794" s="3561">
        <f ca="1">典型户型修正车!S685</f>
        <v>18</v>
      </c>
    </row>
    <row r="795" spans="1:9" s="3472" customFormat="1">
      <c r="A795" s="3671"/>
      <c r="B795" s="3668"/>
      <c r="C795" s="3668"/>
      <c r="D795" s="3669"/>
      <c r="E795" s="3507" t="s">
        <v>4169</v>
      </c>
      <c r="F795" s="3526">
        <v>40.43</v>
      </c>
      <c r="G795" s="3511">
        <v>6.56</v>
      </c>
      <c r="H795" s="3505" t="s">
        <v>3557</v>
      </c>
      <c r="I795" s="3561">
        <f ca="1">典型户型修正车!S686</f>
        <v>18</v>
      </c>
    </row>
    <row r="796" spans="1:9" s="3472" customFormat="1">
      <c r="A796" s="3671"/>
      <c r="B796" s="3668"/>
      <c r="C796" s="3668"/>
      <c r="D796" s="3669"/>
      <c r="E796" s="3507" t="s">
        <v>4170</v>
      </c>
      <c r="F796" s="3526">
        <v>40.43</v>
      </c>
      <c r="G796" s="3511">
        <v>6.56</v>
      </c>
      <c r="H796" s="3505" t="s">
        <v>3557</v>
      </c>
      <c r="I796" s="3561">
        <f ca="1">典型户型修正车!S687</f>
        <v>18</v>
      </c>
    </row>
    <row r="797" spans="1:9" s="3472" customFormat="1">
      <c r="A797" s="3671"/>
      <c r="B797" s="3668"/>
      <c r="C797" s="3668"/>
      <c r="D797" s="3669"/>
      <c r="E797" s="3507" t="s">
        <v>4171</v>
      </c>
      <c r="F797" s="3526">
        <v>40.43</v>
      </c>
      <c r="G797" s="3511">
        <v>6.56</v>
      </c>
      <c r="H797" s="3505" t="s">
        <v>3557</v>
      </c>
      <c r="I797" s="3561">
        <f ca="1">典型户型修正车!S688</f>
        <v>18</v>
      </c>
    </row>
    <row r="798" spans="1:9" s="3472" customFormat="1">
      <c r="A798" s="3671"/>
      <c r="B798" s="3668"/>
      <c r="C798" s="3668"/>
      <c r="D798" s="3669"/>
      <c r="E798" s="3507" t="s">
        <v>4172</v>
      </c>
      <c r="F798" s="3526">
        <v>40.43</v>
      </c>
      <c r="G798" s="3511">
        <v>6.56</v>
      </c>
      <c r="H798" s="3505" t="s">
        <v>3557</v>
      </c>
      <c r="I798" s="3561">
        <f ca="1">典型户型修正车!S689</f>
        <v>18</v>
      </c>
    </row>
    <row r="799" spans="1:9" s="3472" customFormat="1">
      <c r="A799" s="3671"/>
      <c r="B799" s="3668"/>
      <c r="C799" s="3668"/>
      <c r="D799" s="3669"/>
      <c r="E799" s="3507" t="s">
        <v>4173</v>
      </c>
      <c r="F799" s="3526">
        <v>40.43</v>
      </c>
      <c r="G799" s="3511">
        <v>6.56</v>
      </c>
      <c r="H799" s="3505" t="s">
        <v>3557</v>
      </c>
      <c r="I799" s="3561">
        <f ca="1">典型户型修正车!S690</f>
        <v>18</v>
      </c>
    </row>
    <row r="800" spans="1:9" s="3472" customFormat="1">
      <c r="A800" s="3671"/>
      <c r="B800" s="3668"/>
      <c r="C800" s="3668"/>
      <c r="D800" s="3669"/>
      <c r="E800" s="3507" t="s">
        <v>4174</v>
      </c>
      <c r="F800" s="3526">
        <v>40.43</v>
      </c>
      <c r="G800" s="3511">
        <v>6.56</v>
      </c>
      <c r="H800" s="3505" t="s">
        <v>3557</v>
      </c>
      <c r="I800" s="3561">
        <f ca="1">典型户型修正车!S691</f>
        <v>18</v>
      </c>
    </row>
    <row r="801" spans="1:9" s="3472" customFormat="1">
      <c r="A801" s="3671"/>
      <c r="B801" s="3668"/>
      <c r="C801" s="3668"/>
      <c r="D801" s="3669"/>
      <c r="E801" s="3507" t="s">
        <v>4175</v>
      </c>
      <c r="F801" s="3526">
        <v>40.43</v>
      </c>
      <c r="G801" s="3511">
        <v>6.56</v>
      </c>
      <c r="H801" s="3505" t="s">
        <v>3557</v>
      </c>
      <c r="I801" s="3561">
        <f ca="1">典型户型修正车!S692</f>
        <v>18</v>
      </c>
    </row>
    <row r="802" spans="1:9" s="3472" customFormat="1">
      <c r="A802" s="3671"/>
      <c r="B802" s="3668"/>
      <c r="C802" s="3668"/>
      <c r="D802" s="3669"/>
      <c r="E802" s="3507" t="s">
        <v>4176</v>
      </c>
      <c r="F802" s="3526">
        <v>40.43</v>
      </c>
      <c r="G802" s="3511">
        <v>6.56</v>
      </c>
      <c r="H802" s="3505" t="s">
        <v>3557</v>
      </c>
      <c r="I802" s="3561">
        <f ca="1">典型户型修正车!S693</f>
        <v>18</v>
      </c>
    </row>
    <row r="803" spans="1:9" s="3472" customFormat="1">
      <c r="A803" s="3671"/>
      <c r="B803" s="3668"/>
      <c r="C803" s="3668"/>
      <c r="D803" s="3669"/>
      <c r="E803" s="3507" t="s">
        <v>4177</v>
      </c>
      <c r="F803" s="3526">
        <v>40.43</v>
      </c>
      <c r="G803" s="3511">
        <v>6.56</v>
      </c>
      <c r="H803" s="3505" t="s">
        <v>3557</v>
      </c>
      <c r="I803" s="3561">
        <f ca="1">典型户型修正车!S694</f>
        <v>18</v>
      </c>
    </row>
    <row r="804" spans="1:9" s="3472" customFormat="1">
      <c r="A804" s="3671"/>
      <c r="B804" s="3668"/>
      <c r="C804" s="3668"/>
      <c r="D804" s="3669"/>
      <c r="E804" s="3507" t="s">
        <v>4178</v>
      </c>
      <c r="F804" s="3526">
        <v>40.43</v>
      </c>
      <c r="G804" s="3511">
        <v>6.56</v>
      </c>
      <c r="H804" s="3505" t="s">
        <v>3557</v>
      </c>
      <c r="I804" s="3561">
        <f ca="1">典型户型修正车!S695</f>
        <v>18</v>
      </c>
    </row>
    <row r="805" spans="1:9" s="3472" customFormat="1">
      <c r="A805" s="3671"/>
      <c r="B805" s="3668"/>
      <c r="C805" s="3668"/>
      <c r="D805" s="3669"/>
      <c r="E805" s="3507" t="s">
        <v>4179</v>
      </c>
      <c r="F805" s="3526">
        <v>40.43</v>
      </c>
      <c r="G805" s="3511">
        <v>6.56</v>
      </c>
      <c r="H805" s="3505" t="s">
        <v>3557</v>
      </c>
      <c r="I805" s="3561">
        <f ca="1">典型户型修正车!S696</f>
        <v>18</v>
      </c>
    </row>
    <row r="806" spans="1:9" s="3472" customFormat="1">
      <c r="A806" s="3671"/>
      <c r="B806" s="3668"/>
      <c r="C806" s="3668"/>
      <c r="D806" s="3669"/>
      <c r="E806" s="3507" t="s">
        <v>4180</v>
      </c>
      <c r="F806" s="3526">
        <v>80.86</v>
      </c>
      <c r="G806" s="3511">
        <v>13.12</v>
      </c>
      <c r="H806" s="3505" t="s">
        <v>3557</v>
      </c>
      <c r="I806" s="3561">
        <f ca="1">典型户型修正车!S697</f>
        <v>36</v>
      </c>
    </row>
    <row r="807" spans="1:9" s="3472" customFormat="1">
      <c r="A807" s="3671"/>
      <c r="B807" s="3668" t="s">
        <v>3818</v>
      </c>
      <c r="C807" s="3668" t="s">
        <v>3819</v>
      </c>
      <c r="D807" s="3669" t="s">
        <v>3820</v>
      </c>
      <c r="E807" s="3507" t="s">
        <v>4181</v>
      </c>
      <c r="F807" s="3526">
        <v>80.86</v>
      </c>
      <c r="G807" s="3511">
        <v>13.12</v>
      </c>
      <c r="H807" s="3505" t="s">
        <v>3557</v>
      </c>
      <c r="I807" s="3561">
        <f ca="1">典型户型修正车!S698</f>
        <v>36</v>
      </c>
    </row>
    <row r="808" spans="1:9" s="3472" customFormat="1">
      <c r="A808" s="3671"/>
      <c r="B808" s="3668"/>
      <c r="C808" s="3668"/>
      <c r="D808" s="3669"/>
      <c r="E808" s="3507" t="s">
        <v>4182</v>
      </c>
      <c r="F808" s="3526">
        <v>80.86</v>
      </c>
      <c r="G808" s="3511">
        <v>13.12</v>
      </c>
      <c r="H808" s="3505" t="s">
        <v>3557</v>
      </c>
      <c r="I808" s="3561">
        <f ca="1">典型户型修正车!S699</f>
        <v>36</v>
      </c>
    </row>
    <row r="809" spans="1:9" s="3472" customFormat="1">
      <c r="A809" s="3671"/>
      <c r="B809" s="3668"/>
      <c r="C809" s="3668"/>
      <c r="D809" s="3669"/>
      <c r="E809" s="3507" t="s">
        <v>4183</v>
      </c>
      <c r="F809" s="3526">
        <v>80.86</v>
      </c>
      <c r="G809" s="3511">
        <v>13.12</v>
      </c>
      <c r="H809" s="3505" t="s">
        <v>3557</v>
      </c>
      <c r="I809" s="3561">
        <f ca="1">典型户型修正车!S700</f>
        <v>36</v>
      </c>
    </row>
    <row r="810" spans="1:9" s="3472" customFormat="1">
      <c r="A810" s="3671"/>
      <c r="B810" s="3668"/>
      <c r="C810" s="3668"/>
      <c r="D810" s="3669"/>
      <c r="E810" s="3507" t="s">
        <v>4184</v>
      </c>
      <c r="F810" s="3526">
        <v>80.86</v>
      </c>
      <c r="G810" s="3511">
        <v>13.12</v>
      </c>
      <c r="H810" s="3505" t="s">
        <v>3557</v>
      </c>
      <c r="I810" s="3561">
        <f ca="1">典型户型修正车!S701</f>
        <v>36</v>
      </c>
    </row>
    <row r="811" spans="1:9" s="3472" customFormat="1">
      <c r="A811" s="3671"/>
      <c r="B811" s="3668"/>
      <c r="C811" s="3668"/>
      <c r="D811" s="3669"/>
      <c r="E811" s="3507" t="s">
        <v>4185</v>
      </c>
      <c r="F811" s="3526">
        <v>40.43</v>
      </c>
      <c r="G811" s="3511">
        <v>6.56</v>
      </c>
      <c r="H811" s="3505" t="s">
        <v>3557</v>
      </c>
      <c r="I811" s="3561">
        <f ca="1">典型户型修正车!S702</f>
        <v>18</v>
      </c>
    </row>
    <row r="812" spans="1:9" s="3472" customFormat="1">
      <c r="A812" s="3671"/>
      <c r="B812" s="3668"/>
      <c r="C812" s="3668"/>
      <c r="D812" s="3669"/>
      <c r="E812" s="3507" t="s">
        <v>4186</v>
      </c>
      <c r="F812" s="3526">
        <v>40.43</v>
      </c>
      <c r="G812" s="3511">
        <v>6.56</v>
      </c>
      <c r="H812" s="3505" t="s">
        <v>3557</v>
      </c>
      <c r="I812" s="3561">
        <f ca="1">典型户型修正车!S703</f>
        <v>18</v>
      </c>
    </row>
    <row r="813" spans="1:9" s="3472" customFormat="1">
      <c r="A813" s="3671"/>
      <c r="B813" s="3668"/>
      <c r="C813" s="3668"/>
      <c r="D813" s="3669"/>
      <c r="E813" s="3507" t="s">
        <v>4187</v>
      </c>
      <c r="F813" s="3526">
        <v>40.43</v>
      </c>
      <c r="G813" s="3511">
        <v>6.56</v>
      </c>
      <c r="H813" s="3505" t="s">
        <v>3557</v>
      </c>
      <c r="I813" s="3561">
        <f ca="1">典型户型修正车!S704</f>
        <v>18</v>
      </c>
    </row>
    <row r="814" spans="1:9" s="3472" customFormat="1">
      <c r="A814" s="3671"/>
      <c r="B814" s="3668"/>
      <c r="C814" s="3668"/>
      <c r="D814" s="3669"/>
      <c r="E814" s="3507" t="s">
        <v>4188</v>
      </c>
      <c r="F814" s="3526">
        <v>40.43</v>
      </c>
      <c r="G814" s="3511">
        <v>6.56</v>
      </c>
      <c r="H814" s="3505" t="s">
        <v>3557</v>
      </c>
      <c r="I814" s="3561">
        <f ca="1">典型户型修正车!S705</f>
        <v>18</v>
      </c>
    </row>
    <row r="815" spans="1:9" s="3472" customFormat="1">
      <c r="A815" s="3671"/>
      <c r="B815" s="3668"/>
      <c r="C815" s="3668"/>
      <c r="D815" s="3669"/>
      <c r="E815" s="3507" t="s">
        <v>4189</v>
      </c>
      <c r="F815" s="3526">
        <v>40.43</v>
      </c>
      <c r="G815" s="3511">
        <v>6.56</v>
      </c>
      <c r="H815" s="3505" t="s">
        <v>3557</v>
      </c>
      <c r="I815" s="3561">
        <f ca="1">典型户型修正车!S706</f>
        <v>18</v>
      </c>
    </row>
    <row r="816" spans="1:9" s="3472" customFormat="1">
      <c r="A816" s="3671"/>
      <c r="B816" s="3668"/>
      <c r="C816" s="3668"/>
      <c r="D816" s="3669"/>
      <c r="E816" s="3507" t="s">
        <v>4190</v>
      </c>
      <c r="F816" s="3526">
        <v>40.43</v>
      </c>
      <c r="G816" s="3511">
        <v>6.56</v>
      </c>
      <c r="H816" s="3505" t="s">
        <v>3557</v>
      </c>
      <c r="I816" s="3561">
        <f ca="1">典型户型修正车!S707</f>
        <v>18</v>
      </c>
    </row>
    <row r="817" spans="1:9" s="3472" customFormat="1">
      <c r="A817" s="3671"/>
      <c r="B817" s="3668"/>
      <c r="C817" s="3668"/>
      <c r="D817" s="3669"/>
      <c r="E817" s="3507" t="s">
        <v>4191</v>
      </c>
      <c r="F817" s="3526">
        <v>80.86</v>
      </c>
      <c r="G817" s="3511">
        <v>13.12</v>
      </c>
      <c r="H817" s="3505" t="s">
        <v>3557</v>
      </c>
      <c r="I817" s="3561">
        <f ca="1">典型户型修正车!S708</f>
        <v>36</v>
      </c>
    </row>
    <row r="818" spans="1:9" s="3472" customFormat="1">
      <c r="A818" s="3671"/>
      <c r="B818" s="3668"/>
      <c r="C818" s="3668"/>
      <c r="D818" s="3669"/>
      <c r="E818" s="3507" t="s">
        <v>4192</v>
      </c>
      <c r="F818" s="3526">
        <v>80.86</v>
      </c>
      <c r="G818" s="3511">
        <v>13.12</v>
      </c>
      <c r="H818" s="3505" t="s">
        <v>3557</v>
      </c>
      <c r="I818" s="3561">
        <f ca="1">典型户型修正车!S709</f>
        <v>36</v>
      </c>
    </row>
    <row r="819" spans="1:9" s="3472" customFormat="1">
      <c r="A819" s="3671"/>
      <c r="B819" s="3668"/>
      <c r="C819" s="3668"/>
      <c r="D819" s="3669"/>
      <c r="E819" s="3507" t="s">
        <v>4193</v>
      </c>
      <c r="F819" s="3526">
        <v>40.43</v>
      </c>
      <c r="G819" s="3511">
        <v>6.56</v>
      </c>
      <c r="H819" s="3505" t="s">
        <v>3557</v>
      </c>
      <c r="I819" s="3561">
        <f ca="1">典型户型修正车!S710</f>
        <v>18</v>
      </c>
    </row>
    <row r="820" spans="1:9" s="3472" customFormat="1">
      <c r="A820" s="3671"/>
      <c r="B820" s="3668"/>
      <c r="C820" s="3668"/>
      <c r="D820" s="3669"/>
      <c r="E820" s="3507" t="s">
        <v>4194</v>
      </c>
      <c r="F820" s="3526">
        <v>40.43</v>
      </c>
      <c r="G820" s="3511">
        <v>6.56</v>
      </c>
      <c r="H820" s="3505" t="s">
        <v>3557</v>
      </c>
      <c r="I820" s="3561">
        <f ca="1">典型户型修正车!S711</f>
        <v>18</v>
      </c>
    </row>
    <row r="821" spans="1:9" s="3472" customFormat="1">
      <c r="A821" s="3671"/>
      <c r="B821" s="3668"/>
      <c r="C821" s="3668"/>
      <c r="D821" s="3669"/>
      <c r="E821" s="3507" t="s">
        <v>4195</v>
      </c>
      <c r="F821" s="3526">
        <v>40.43</v>
      </c>
      <c r="G821" s="3511">
        <v>6.56</v>
      </c>
      <c r="H821" s="3505" t="s">
        <v>3557</v>
      </c>
      <c r="I821" s="3561">
        <f ca="1">典型户型修正车!S712</f>
        <v>18</v>
      </c>
    </row>
    <row r="822" spans="1:9" s="3472" customFormat="1">
      <c r="A822" s="3671"/>
      <c r="B822" s="3668"/>
      <c r="C822" s="3668"/>
      <c r="D822" s="3669"/>
      <c r="E822" s="3507" t="s">
        <v>4196</v>
      </c>
      <c r="F822" s="3526">
        <v>40.43</v>
      </c>
      <c r="G822" s="3511">
        <v>6.56</v>
      </c>
      <c r="H822" s="3505" t="s">
        <v>3557</v>
      </c>
      <c r="I822" s="3561">
        <f ca="1">典型户型修正车!S713</f>
        <v>18</v>
      </c>
    </row>
    <row r="823" spans="1:9" s="3472" customFormat="1">
      <c r="A823" s="3671"/>
      <c r="B823" s="3668"/>
      <c r="C823" s="3668"/>
      <c r="D823" s="3669"/>
      <c r="E823" s="3507" t="s">
        <v>4197</v>
      </c>
      <c r="F823" s="3526">
        <v>80.86</v>
      </c>
      <c r="G823" s="3511">
        <v>13.12</v>
      </c>
      <c r="H823" s="3505" t="s">
        <v>3557</v>
      </c>
      <c r="I823" s="3561">
        <f ca="1">典型户型修正车!S714</f>
        <v>36</v>
      </c>
    </row>
    <row r="824" spans="1:9" s="3472" customFormat="1">
      <c r="A824" s="3671"/>
      <c r="B824" s="3668"/>
      <c r="C824" s="3668"/>
      <c r="D824" s="3669"/>
      <c r="E824" s="3507" t="s">
        <v>4198</v>
      </c>
      <c r="F824" s="3526">
        <v>80.86</v>
      </c>
      <c r="G824" s="3511">
        <v>13.12</v>
      </c>
      <c r="H824" s="3505" t="s">
        <v>3557</v>
      </c>
      <c r="I824" s="3561">
        <f ca="1">典型户型修正车!S715</f>
        <v>36</v>
      </c>
    </row>
    <row r="825" spans="1:9" s="3472" customFormat="1">
      <c r="A825" s="3671"/>
      <c r="B825" s="3668"/>
      <c r="C825" s="3668"/>
      <c r="D825" s="3669"/>
      <c r="E825" s="3507" t="s">
        <v>4199</v>
      </c>
      <c r="F825" s="3526">
        <v>40.43</v>
      </c>
      <c r="G825" s="3511">
        <v>6.56</v>
      </c>
      <c r="H825" s="3505" t="s">
        <v>3557</v>
      </c>
      <c r="I825" s="3561">
        <f ca="1">典型户型修正车!S716</f>
        <v>18</v>
      </c>
    </row>
    <row r="826" spans="1:9" s="3472" customFormat="1">
      <c r="A826" s="3671"/>
      <c r="B826" s="3668"/>
      <c r="C826" s="3668"/>
      <c r="D826" s="3669"/>
      <c r="E826" s="3507" t="s">
        <v>4200</v>
      </c>
      <c r="F826" s="3526">
        <v>40.43</v>
      </c>
      <c r="G826" s="3511">
        <v>6.56</v>
      </c>
      <c r="H826" s="3505" t="s">
        <v>3557</v>
      </c>
      <c r="I826" s="3561">
        <f ca="1">典型户型修正车!S717</f>
        <v>18</v>
      </c>
    </row>
    <row r="827" spans="1:9" s="3472" customFormat="1">
      <c r="A827" s="3671"/>
      <c r="B827" s="3668"/>
      <c r="C827" s="3668"/>
      <c r="D827" s="3669"/>
      <c r="E827" s="3507" t="s">
        <v>4201</v>
      </c>
      <c r="F827" s="3526">
        <v>40.43</v>
      </c>
      <c r="G827" s="3511">
        <v>6.56</v>
      </c>
      <c r="H827" s="3505" t="s">
        <v>3557</v>
      </c>
      <c r="I827" s="3561">
        <f ca="1">典型户型修正车!S718</f>
        <v>18</v>
      </c>
    </row>
    <row r="828" spans="1:9" s="3472" customFormat="1">
      <c r="A828" s="3671"/>
      <c r="B828" s="3668"/>
      <c r="C828" s="3668"/>
      <c r="D828" s="3669"/>
      <c r="E828" s="3507" t="s">
        <v>4202</v>
      </c>
      <c r="F828" s="3526">
        <v>40.43</v>
      </c>
      <c r="G828" s="3511">
        <v>6.56</v>
      </c>
      <c r="H828" s="3505" t="s">
        <v>3557</v>
      </c>
      <c r="I828" s="3561">
        <f ca="1">典型户型修正车!S719</f>
        <v>18</v>
      </c>
    </row>
    <row r="829" spans="1:9" s="3472" customFormat="1">
      <c r="A829" s="3671"/>
      <c r="B829" s="3668"/>
      <c r="C829" s="3668"/>
      <c r="D829" s="3669"/>
      <c r="E829" s="3507" t="s">
        <v>4203</v>
      </c>
      <c r="F829" s="3526">
        <v>40.43</v>
      </c>
      <c r="G829" s="3511">
        <v>6.56</v>
      </c>
      <c r="H829" s="3505" t="s">
        <v>3557</v>
      </c>
      <c r="I829" s="3561">
        <f ca="1">典型户型修正车!S720</f>
        <v>18</v>
      </c>
    </row>
    <row r="830" spans="1:9" s="3472" customFormat="1">
      <c r="A830" s="3671"/>
      <c r="B830" s="3668"/>
      <c r="C830" s="3668"/>
      <c r="D830" s="3669"/>
      <c r="E830" s="3507" t="s">
        <v>4204</v>
      </c>
      <c r="F830" s="3526">
        <v>40.43</v>
      </c>
      <c r="G830" s="3511">
        <v>6.56</v>
      </c>
      <c r="H830" s="3505" t="s">
        <v>3557</v>
      </c>
      <c r="I830" s="3561">
        <f ca="1">典型户型修正车!S721</f>
        <v>18</v>
      </c>
    </row>
    <row r="831" spans="1:9" s="3472" customFormat="1">
      <c r="A831" s="3671"/>
      <c r="B831" s="3668"/>
      <c r="C831" s="3668"/>
      <c r="D831" s="3669"/>
      <c r="E831" s="3507" t="s">
        <v>4205</v>
      </c>
      <c r="F831" s="3526">
        <v>40.43</v>
      </c>
      <c r="G831" s="3511">
        <v>6.56</v>
      </c>
      <c r="H831" s="3505" t="s">
        <v>3557</v>
      </c>
      <c r="I831" s="3561">
        <f ca="1">典型户型修正车!S722</f>
        <v>18</v>
      </c>
    </row>
    <row r="832" spans="1:9" s="3472" customFormat="1">
      <c r="A832" s="3671"/>
      <c r="B832" s="3668"/>
      <c r="C832" s="3668"/>
      <c r="D832" s="3669"/>
      <c r="E832" s="3507" t="s">
        <v>4206</v>
      </c>
      <c r="F832" s="3526">
        <v>40.43</v>
      </c>
      <c r="G832" s="3511">
        <v>6.56</v>
      </c>
      <c r="H832" s="3505" t="s">
        <v>3557</v>
      </c>
      <c r="I832" s="3561">
        <f ca="1">典型户型修正车!S723</f>
        <v>18</v>
      </c>
    </row>
    <row r="833" spans="1:9" s="3472" customFormat="1">
      <c r="A833" s="3671"/>
      <c r="B833" s="3668"/>
      <c r="C833" s="3668"/>
      <c r="D833" s="3669"/>
      <c r="E833" s="3507" t="s">
        <v>4207</v>
      </c>
      <c r="F833" s="3526">
        <v>40.43</v>
      </c>
      <c r="G833" s="3511">
        <v>6.56</v>
      </c>
      <c r="H833" s="3505" t="s">
        <v>3557</v>
      </c>
      <c r="I833" s="3561">
        <f ca="1">典型户型修正车!S724</f>
        <v>18</v>
      </c>
    </row>
    <row r="834" spans="1:9" s="3472" customFormat="1">
      <c r="A834" s="3671"/>
      <c r="B834" s="3668"/>
      <c r="C834" s="3668"/>
      <c r="D834" s="3669"/>
      <c r="E834" s="3507" t="s">
        <v>4208</v>
      </c>
      <c r="F834" s="3526">
        <v>40.43</v>
      </c>
      <c r="G834" s="3511">
        <v>6.56</v>
      </c>
      <c r="H834" s="3505" t="s">
        <v>3557</v>
      </c>
      <c r="I834" s="3561">
        <f ca="1">典型户型修正车!S725</f>
        <v>18</v>
      </c>
    </row>
    <row r="835" spans="1:9" s="3472" customFormat="1">
      <c r="A835" s="3671"/>
      <c r="B835" s="3668"/>
      <c r="C835" s="3668"/>
      <c r="D835" s="3669"/>
      <c r="E835" s="3507" t="s">
        <v>4209</v>
      </c>
      <c r="F835" s="3526">
        <v>40.43</v>
      </c>
      <c r="G835" s="3511">
        <v>6.56</v>
      </c>
      <c r="H835" s="3505" t="s">
        <v>3557</v>
      </c>
      <c r="I835" s="3561">
        <f ca="1">典型户型修正车!S726</f>
        <v>18</v>
      </c>
    </row>
    <row r="836" spans="1:9" s="3472" customFormat="1">
      <c r="A836" s="3671"/>
      <c r="B836" s="3668"/>
      <c r="C836" s="3668"/>
      <c r="D836" s="3669"/>
      <c r="E836" s="3507" t="s">
        <v>4210</v>
      </c>
      <c r="F836" s="3526">
        <v>40.43</v>
      </c>
      <c r="G836" s="3511">
        <v>6.56</v>
      </c>
      <c r="H836" s="3505" t="s">
        <v>3557</v>
      </c>
      <c r="I836" s="3561">
        <f ca="1">典型户型修正车!S727</f>
        <v>18</v>
      </c>
    </row>
    <row r="837" spans="1:9" s="3472" customFormat="1">
      <c r="A837" s="3671"/>
      <c r="B837" s="3668"/>
      <c r="C837" s="3668"/>
      <c r="D837" s="3669"/>
      <c r="E837" s="3507" t="s">
        <v>4211</v>
      </c>
      <c r="F837" s="3526">
        <v>40.43</v>
      </c>
      <c r="G837" s="3511">
        <v>6.56</v>
      </c>
      <c r="H837" s="3505" t="s">
        <v>3557</v>
      </c>
      <c r="I837" s="3561">
        <f ca="1">典型户型修正车!S728</f>
        <v>18</v>
      </c>
    </row>
    <row r="838" spans="1:9" s="3472" customFormat="1">
      <c r="A838" s="3671"/>
      <c r="B838" s="3668"/>
      <c r="C838" s="3668"/>
      <c r="D838" s="3669"/>
      <c r="E838" s="3507" t="s">
        <v>4212</v>
      </c>
      <c r="F838" s="3526">
        <v>40.43</v>
      </c>
      <c r="G838" s="3511">
        <v>6.56</v>
      </c>
      <c r="H838" s="3505" t="s">
        <v>3557</v>
      </c>
      <c r="I838" s="3561">
        <f ca="1">典型户型修正车!S729</f>
        <v>18</v>
      </c>
    </row>
    <row r="839" spans="1:9" s="3472" customFormat="1">
      <c r="A839" s="3671"/>
      <c r="B839" s="3668"/>
      <c r="C839" s="3668"/>
      <c r="D839" s="3669"/>
      <c r="E839" s="3507" t="s">
        <v>4213</v>
      </c>
      <c r="F839" s="3526">
        <v>40.43</v>
      </c>
      <c r="G839" s="3511">
        <v>6.56</v>
      </c>
      <c r="H839" s="3505" t="s">
        <v>3557</v>
      </c>
      <c r="I839" s="3561">
        <f ca="1">典型户型修正车!S730</f>
        <v>18</v>
      </c>
    </row>
    <row r="840" spans="1:9" s="3472" customFormat="1">
      <c r="A840" s="3671"/>
      <c r="B840" s="3668"/>
      <c r="C840" s="3668"/>
      <c r="D840" s="3669"/>
      <c r="E840" s="3507" t="s">
        <v>4214</v>
      </c>
      <c r="F840" s="3526">
        <v>40.43</v>
      </c>
      <c r="G840" s="3511">
        <v>6.56</v>
      </c>
      <c r="H840" s="3505" t="s">
        <v>3557</v>
      </c>
      <c r="I840" s="3561">
        <f ca="1">典型户型修正车!S731</f>
        <v>18</v>
      </c>
    </row>
    <row r="841" spans="1:9" s="3472" customFormat="1">
      <c r="A841" s="3671"/>
      <c r="B841" s="3668"/>
      <c r="C841" s="3668"/>
      <c r="D841" s="3669"/>
      <c r="E841" s="3507" t="s">
        <v>4215</v>
      </c>
      <c r="F841" s="3526">
        <v>40.43</v>
      </c>
      <c r="G841" s="3511">
        <v>6.56</v>
      </c>
      <c r="H841" s="3505" t="s">
        <v>3557</v>
      </c>
      <c r="I841" s="3561">
        <f ca="1">典型户型修正车!S732</f>
        <v>18</v>
      </c>
    </row>
    <row r="842" spans="1:9" s="3472" customFormat="1">
      <c r="A842" s="3671"/>
      <c r="B842" s="3668"/>
      <c r="C842" s="3668"/>
      <c r="D842" s="3669"/>
      <c r="E842" s="3507" t="s">
        <v>4216</v>
      </c>
      <c r="F842" s="3526">
        <v>40.43</v>
      </c>
      <c r="G842" s="3511">
        <v>6.56</v>
      </c>
      <c r="H842" s="3505" t="s">
        <v>3557</v>
      </c>
      <c r="I842" s="3561">
        <f ca="1">典型户型修正车!S733</f>
        <v>18</v>
      </c>
    </row>
    <row r="843" spans="1:9" s="3472" customFormat="1">
      <c r="A843" s="3671"/>
      <c r="B843" s="3668"/>
      <c r="C843" s="3668"/>
      <c r="D843" s="3669"/>
      <c r="E843" s="3507" t="s">
        <v>4217</v>
      </c>
      <c r="F843" s="3526">
        <v>40.43</v>
      </c>
      <c r="G843" s="3511">
        <v>6.56</v>
      </c>
      <c r="H843" s="3505" t="s">
        <v>3557</v>
      </c>
      <c r="I843" s="3561">
        <f ca="1">典型户型修正车!S734</f>
        <v>18</v>
      </c>
    </row>
    <row r="844" spans="1:9" s="3472" customFormat="1">
      <c r="A844" s="3671"/>
      <c r="B844" s="3668" t="s">
        <v>3818</v>
      </c>
      <c r="C844" s="3668" t="s">
        <v>3819</v>
      </c>
      <c r="D844" s="3669" t="s">
        <v>3820</v>
      </c>
      <c r="E844" s="3507" t="s">
        <v>4218</v>
      </c>
      <c r="F844" s="3526">
        <v>80.86</v>
      </c>
      <c r="G844" s="3511">
        <v>13.12</v>
      </c>
      <c r="H844" s="3505" t="s">
        <v>3557</v>
      </c>
      <c r="I844" s="3561">
        <f ca="1">典型户型修正车!S735</f>
        <v>36</v>
      </c>
    </row>
    <row r="845" spans="1:9" s="3472" customFormat="1">
      <c r="A845" s="3671"/>
      <c r="B845" s="3668"/>
      <c r="C845" s="3668"/>
      <c r="D845" s="3669"/>
      <c r="E845" s="3507" t="s">
        <v>4219</v>
      </c>
      <c r="F845" s="3526">
        <v>80.86</v>
      </c>
      <c r="G845" s="3511">
        <v>13.12</v>
      </c>
      <c r="H845" s="3505" t="s">
        <v>3557</v>
      </c>
      <c r="I845" s="3561">
        <f ca="1">典型户型修正车!S736</f>
        <v>36</v>
      </c>
    </row>
    <row r="846" spans="1:9" s="3472" customFormat="1">
      <c r="A846" s="3671"/>
      <c r="B846" s="3668"/>
      <c r="C846" s="3668"/>
      <c r="D846" s="3669"/>
      <c r="E846" s="3507" t="s">
        <v>4220</v>
      </c>
      <c r="F846" s="3526">
        <v>40.43</v>
      </c>
      <c r="G846" s="3511">
        <v>6.56</v>
      </c>
      <c r="H846" s="3505" t="s">
        <v>3557</v>
      </c>
      <c r="I846" s="3561">
        <f ca="1">典型户型修正车!S737</f>
        <v>18</v>
      </c>
    </row>
    <row r="847" spans="1:9" s="3472" customFormat="1">
      <c r="A847" s="3671"/>
      <c r="B847" s="3668"/>
      <c r="C847" s="3668"/>
      <c r="D847" s="3669"/>
      <c r="E847" s="3507" t="s">
        <v>4221</v>
      </c>
      <c r="F847" s="3526">
        <v>40.43</v>
      </c>
      <c r="G847" s="3511">
        <v>6.56</v>
      </c>
      <c r="H847" s="3505" t="s">
        <v>3557</v>
      </c>
      <c r="I847" s="3561">
        <f ca="1">典型户型修正车!S738</f>
        <v>18</v>
      </c>
    </row>
    <row r="848" spans="1:9" s="3472" customFormat="1">
      <c r="A848" s="3671"/>
      <c r="B848" s="3668"/>
      <c r="C848" s="3668"/>
      <c r="D848" s="3669"/>
      <c r="E848" s="3507" t="s">
        <v>4222</v>
      </c>
      <c r="F848" s="3526">
        <v>40.43</v>
      </c>
      <c r="G848" s="3511">
        <v>6.56</v>
      </c>
      <c r="H848" s="3505" t="s">
        <v>3557</v>
      </c>
      <c r="I848" s="3561">
        <f ca="1">典型户型修正车!S739</f>
        <v>18</v>
      </c>
    </row>
    <row r="849" spans="1:9" s="3472" customFormat="1">
      <c r="A849" s="3671"/>
      <c r="B849" s="3668"/>
      <c r="C849" s="3668"/>
      <c r="D849" s="3669"/>
      <c r="E849" s="3507" t="s">
        <v>4223</v>
      </c>
      <c r="F849" s="3526">
        <v>40.43</v>
      </c>
      <c r="G849" s="3511">
        <v>6.56</v>
      </c>
      <c r="H849" s="3505" t="s">
        <v>3557</v>
      </c>
      <c r="I849" s="3561">
        <f ca="1">典型户型修正车!S740</f>
        <v>18</v>
      </c>
    </row>
    <row r="850" spans="1:9" s="3472" customFormat="1">
      <c r="A850" s="3671"/>
      <c r="B850" s="3668"/>
      <c r="C850" s="3668"/>
      <c r="D850" s="3669"/>
      <c r="E850" s="3507" t="s">
        <v>4224</v>
      </c>
      <c r="F850" s="3526">
        <v>40.43</v>
      </c>
      <c r="G850" s="3511">
        <v>6.56</v>
      </c>
      <c r="H850" s="3505" t="s">
        <v>3557</v>
      </c>
      <c r="I850" s="3561">
        <f ca="1">典型户型修正车!S741</f>
        <v>18</v>
      </c>
    </row>
    <row r="851" spans="1:9" s="3472" customFormat="1">
      <c r="A851" s="3671"/>
      <c r="B851" s="3668"/>
      <c r="C851" s="3668"/>
      <c r="D851" s="3669"/>
      <c r="E851" s="3507" t="s">
        <v>4225</v>
      </c>
      <c r="F851" s="3526">
        <v>40.43</v>
      </c>
      <c r="G851" s="3511">
        <v>6.56</v>
      </c>
      <c r="H851" s="3505" t="s">
        <v>3557</v>
      </c>
      <c r="I851" s="3561">
        <f ca="1">典型户型修正车!S742</f>
        <v>18</v>
      </c>
    </row>
    <row r="852" spans="1:9" s="3472" customFormat="1">
      <c r="A852" s="3671"/>
      <c r="B852" s="3668"/>
      <c r="C852" s="3668"/>
      <c r="D852" s="3669"/>
      <c r="E852" s="3507" t="s">
        <v>4226</v>
      </c>
      <c r="F852" s="3526">
        <v>40.43</v>
      </c>
      <c r="G852" s="3511">
        <v>6.56</v>
      </c>
      <c r="H852" s="3505" t="s">
        <v>3557</v>
      </c>
      <c r="I852" s="3561">
        <f ca="1">典型户型修正车!S743</f>
        <v>18</v>
      </c>
    </row>
    <row r="853" spans="1:9" s="3472" customFormat="1">
      <c r="A853" s="3671"/>
      <c r="B853" s="3668"/>
      <c r="C853" s="3668"/>
      <c r="D853" s="3669"/>
      <c r="E853" s="3507" t="s">
        <v>4227</v>
      </c>
      <c r="F853" s="3526">
        <v>40.43</v>
      </c>
      <c r="G853" s="3511">
        <v>6.56</v>
      </c>
      <c r="H853" s="3505" t="s">
        <v>3557</v>
      </c>
      <c r="I853" s="3561">
        <f ca="1">典型户型修正车!S744</f>
        <v>18</v>
      </c>
    </row>
    <row r="854" spans="1:9" s="3472" customFormat="1">
      <c r="A854" s="3671"/>
      <c r="B854" s="3668"/>
      <c r="C854" s="3668"/>
      <c r="D854" s="3669"/>
      <c r="E854" s="3507" t="s">
        <v>4228</v>
      </c>
      <c r="F854" s="3526">
        <v>40.43</v>
      </c>
      <c r="G854" s="3511">
        <v>6.56</v>
      </c>
      <c r="H854" s="3505" t="s">
        <v>3557</v>
      </c>
      <c r="I854" s="3561">
        <f ca="1">典型户型修正车!S745</f>
        <v>18</v>
      </c>
    </row>
    <row r="855" spans="1:9" s="3472" customFormat="1">
      <c r="A855" s="3671"/>
      <c r="B855" s="3668"/>
      <c r="C855" s="3668"/>
      <c r="D855" s="3669"/>
      <c r="E855" s="3507" t="s">
        <v>4229</v>
      </c>
      <c r="F855" s="3526">
        <v>40.43</v>
      </c>
      <c r="G855" s="3511">
        <v>6.56</v>
      </c>
      <c r="H855" s="3505" t="s">
        <v>3557</v>
      </c>
      <c r="I855" s="3561">
        <f ca="1">典型户型修正车!S746</f>
        <v>18</v>
      </c>
    </row>
    <row r="856" spans="1:9" s="3472" customFormat="1">
      <c r="A856" s="3671"/>
      <c r="B856" s="3668"/>
      <c r="C856" s="3668"/>
      <c r="D856" s="3669"/>
      <c r="E856" s="3507" t="s">
        <v>4230</v>
      </c>
      <c r="F856" s="3526">
        <v>40.43</v>
      </c>
      <c r="G856" s="3511">
        <v>6.56</v>
      </c>
      <c r="H856" s="3505" t="s">
        <v>3557</v>
      </c>
      <c r="I856" s="3561">
        <f ca="1">典型户型修正车!S747</f>
        <v>18</v>
      </c>
    </row>
    <row r="857" spans="1:9" s="3472" customFormat="1">
      <c r="A857" s="3671"/>
      <c r="B857" s="3668"/>
      <c r="C857" s="3668"/>
      <c r="D857" s="3669"/>
      <c r="E857" s="3507" t="s">
        <v>4231</v>
      </c>
      <c r="F857" s="3526">
        <v>40.43</v>
      </c>
      <c r="G857" s="3511">
        <v>6.56</v>
      </c>
      <c r="H857" s="3505" t="s">
        <v>3557</v>
      </c>
      <c r="I857" s="3561">
        <f ca="1">典型户型修正车!S748</f>
        <v>18</v>
      </c>
    </row>
    <row r="858" spans="1:9" s="3472" customFormat="1">
      <c r="A858" s="3671"/>
      <c r="B858" s="3668"/>
      <c r="C858" s="3668"/>
      <c r="D858" s="3669"/>
      <c r="E858" s="3507" t="s">
        <v>4232</v>
      </c>
      <c r="F858" s="3526">
        <v>40.43</v>
      </c>
      <c r="G858" s="3511">
        <v>6.56</v>
      </c>
      <c r="H858" s="3505" t="s">
        <v>3557</v>
      </c>
      <c r="I858" s="3561">
        <f ca="1">典型户型修正车!S749</f>
        <v>18</v>
      </c>
    </row>
    <row r="859" spans="1:9" s="3472" customFormat="1">
      <c r="A859" s="3671"/>
      <c r="B859" s="3668"/>
      <c r="C859" s="3668"/>
      <c r="D859" s="3669"/>
      <c r="E859" s="3507" t="s">
        <v>4233</v>
      </c>
      <c r="F859" s="3526">
        <v>40.43</v>
      </c>
      <c r="G859" s="3511">
        <v>6.56</v>
      </c>
      <c r="H859" s="3505" t="s">
        <v>3557</v>
      </c>
      <c r="I859" s="3561">
        <f ca="1">典型户型修正车!S750</f>
        <v>18</v>
      </c>
    </row>
    <row r="860" spans="1:9" s="3472" customFormat="1">
      <c r="A860" s="3671"/>
      <c r="B860" s="3668"/>
      <c r="C860" s="3668"/>
      <c r="D860" s="3669"/>
      <c r="E860" s="3507" t="s">
        <v>4234</v>
      </c>
      <c r="F860" s="3526">
        <v>80.86</v>
      </c>
      <c r="G860" s="3511">
        <v>13.12</v>
      </c>
      <c r="H860" s="3505" t="s">
        <v>3557</v>
      </c>
      <c r="I860" s="3561">
        <f ca="1">典型户型修正车!S751</f>
        <v>36</v>
      </c>
    </row>
    <row r="861" spans="1:9" s="3472" customFormat="1">
      <c r="A861" s="3671"/>
      <c r="B861" s="3668"/>
      <c r="C861" s="3668"/>
      <c r="D861" s="3669"/>
      <c r="E861" s="3507" t="s">
        <v>4235</v>
      </c>
      <c r="F861" s="3526">
        <v>40.43</v>
      </c>
      <c r="G861" s="3511">
        <v>6.56</v>
      </c>
      <c r="H861" s="3505" t="s">
        <v>3557</v>
      </c>
      <c r="I861" s="3561">
        <f ca="1">典型户型修正车!S752</f>
        <v>18</v>
      </c>
    </row>
    <row r="862" spans="1:9" s="3472" customFormat="1">
      <c r="A862" s="3671"/>
      <c r="B862" s="3668"/>
      <c r="C862" s="3668"/>
      <c r="D862" s="3669"/>
      <c r="E862" s="3507" t="s">
        <v>4236</v>
      </c>
      <c r="F862" s="3526">
        <v>40.43</v>
      </c>
      <c r="G862" s="3511">
        <v>6.56</v>
      </c>
      <c r="H862" s="3505" t="s">
        <v>3557</v>
      </c>
      <c r="I862" s="3561">
        <f ca="1">典型户型修正车!S753</f>
        <v>18</v>
      </c>
    </row>
    <row r="863" spans="1:9" s="3472" customFormat="1">
      <c r="A863" s="3671"/>
      <c r="B863" s="3668"/>
      <c r="C863" s="3668"/>
      <c r="D863" s="3669"/>
      <c r="E863" s="3507" t="s">
        <v>4237</v>
      </c>
      <c r="F863" s="3526">
        <v>40.43</v>
      </c>
      <c r="G863" s="3511">
        <v>6.56</v>
      </c>
      <c r="H863" s="3505" t="s">
        <v>3557</v>
      </c>
      <c r="I863" s="3561">
        <f ca="1">典型户型修正车!S754</f>
        <v>18</v>
      </c>
    </row>
    <row r="864" spans="1:9" s="3472" customFormat="1">
      <c r="A864" s="3671"/>
      <c r="B864" s="3668"/>
      <c r="C864" s="3668"/>
      <c r="D864" s="3669"/>
      <c r="E864" s="3507" t="s">
        <v>4238</v>
      </c>
      <c r="F864" s="3526">
        <v>40.43</v>
      </c>
      <c r="G864" s="3511">
        <v>6.56</v>
      </c>
      <c r="H864" s="3505" t="s">
        <v>3557</v>
      </c>
      <c r="I864" s="3561">
        <f ca="1">典型户型修正车!S755</f>
        <v>18</v>
      </c>
    </row>
    <row r="865" spans="1:9" s="3472" customFormat="1">
      <c r="A865" s="3671"/>
      <c r="B865" s="3668"/>
      <c r="C865" s="3668"/>
      <c r="D865" s="3669"/>
      <c r="E865" s="3507" t="s">
        <v>4239</v>
      </c>
      <c r="F865" s="3526">
        <v>40.43</v>
      </c>
      <c r="G865" s="3511">
        <v>6.56</v>
      </c>
      <c r="H865" s="3505" t="s">
        <v>3557</v>
      </c>
      <c r="I865" s="3561">
        <f ca="1">典型户型修正车!S756</f>
        <v>18</v>
      </c>
    </row>
    <row r="866" spans="1:9" s="3472" customFormat="1">
      <c r="A866" s="3671"/>
      <c r="B866" s="3668"/>
      <c r="C866" s="3668"/>
      <c r="D866" s="3669"/>
      <c r="E866" s="3507" t="s">
        <v>4240</v>
      </c>
      <c r="F866" s="3526">
        <v>40.43</v>
      </c>
      <c r="G866" s="3511">
        <v>6.56</v>
      </c>
      <c r="H866" s="3505" t="s">
        <v>3557</v>
      </c>
      <c r="I866" s="3561">
        <f ca="1">典型户型修正车!S757</f>
        <v>18</v>
      </c>
    </row>
    <row r="867" spans="1:9" s="3472" customFormat="1">
      <c r="A867" s="3671"/>
      <c r="B867" s="3668"/>
      <c r="C867" s="3668"/>
      <c r="D867" s="3669"/>
      <c r="E867" s="3507" t="s">
        <v>4241</v>
      </c>
      <c r="F867" s="3526">
        <v>40.43</v>
      </c>
      <c r="G867" s="3511">
        <v>6.56</v>
      </c>
      <c r="H867" s="3505" t="s">
        <v>3557</v>
      </c>
      <c r="I867" s="3561">
        <f ca="1">典型户型修正车!S758</f>
        <v>18</v>
      </c>
    </row>
    <row r="868" spans="1:9" s="3472" customFormat="1">
      <c r="A868" s="3671"/>
      <c r="B868" s="3668"/>
      <c r="C868" s="3668"/>
      <c r="D868" s="3669"/>
      <c r="E868" s="3507" t="s">
        <v>4242</v>
      </c>
      <c r="F868" s="3526">
        <v>40.43</v>
      </c>
      <c r="G868" s="3511">
        <v>6.56</v>
      </c>
      <c r="H868" s="3505" t="s">
        <v>3557</v>
      </c>
      <c r="I868" s="3561">
        <f ca="1">典型户型修正车!S759</f>
        <v>18</v>
      </c>
    </row>
    <row r="869" spans="1:9" s="3472" customFormat="1">
      <c r="A869" s="3671"/>
      <c r="B869" s="3668"/>
      <c r="C869" s="3668"/>
      <c r="D869" s="3669"/>
      <c r="E869" s="3507" t="s">
        <v>4243</v>
      </c>
      <c r="F869" s="3526">
        <v>40.43</v>
      </c>
      <c r="G869" s="3511">
        <v>6.56</v>
      </c>
      <c r="H869" s="3505" t="s">
        <v>3557</v>
      </c>
      <c r="I869" s="3561">
        <f ca="1">典型户型修正车!S760</f>
        <v>18</v>
      </c>
    </row>
    <row r="870" spans="1:9" s="3472" customFormat="1">
      <c r="A870" s="3671"/>
      <c r="B870" s="3668"/>
      <c r="C870" s="3668"/>
      <c r="D870" s="3669"/>
      <c r="E870" s="3507" t="s">
        <v>4244</v>
      </c>
      <c r="F870" s="3526">
        <v>40.43</v>
      </c>
      <c r="G870" s="3511">
        <v>6.56</v>
      </c>
      <c r="H870" s="3505" t="s">
        <v>3557</v>
      </c>
      <c r="I870" s="3561">
        <f ca="1">典型户型修正车!S761</f>
        <v>18</v>
      </c>
    </row>
    <row r="871" spans="1:9" s="3472" customFormat="1">
      <c r="A871" s="3671"/>
      <c r="B871" s="3668"/>
      <c r="C871" s="3668"/>
      <c r="D871" s="3669"/>
      <c r="E871" s="3507" t="s">
        <v>4245</v>
      </c>
      <c r="F871" s="3526">
        <v>40.43</v>
      </c>
      <c r="G871" s="3511">
        <v>6.56</v>
      </c>
      <c r="H871" s="3505" t="s">
        <v>3557</v>
      </c>
      <c r="I871" s="3561">
        <f ca="1">典型户型修正车!S762</f>
        <v>18</v>
      </c>
    </row>
    <row r="872" spans="1:9" s="3472" customFormat="1">
      <c r="A872" s="3671"/>
      <c r="B872" s="3668"/>
      <c r="C872" s="3668"/>
      <c r="D872" s="3669"/>
      <c r="E872" s="3507" t="s">
        <v>4246</v>
      </c>
      <c r="F872" s="3526">
        <v>40.43</v>
      </c>
      <c r="G872" s="3511">
        <v>6.56</v>
      </c>
      <c r="H872" s="3505" t="s">
        <v>3557</v>
      </c>
      <c r="I872" s="3561">
        <f ca="1">典型户型修正车!S763</f>
        <v>18</v>
      </c>
    </row>
    <row r="873" spans="1:9" s="3472" customFormat="1">
      <c r="A873" s="3671"/>
      <c r="B873" s="3668"/>
      <c r="C873" s="3668"/>
      <c r="D873" s="3669"/>
      <c r="E873" s="3507" t="s">
        <v>4247</v>
      </c>
      <c r="F873" s="3526">
        <v>40.43</v>
      </c>
      <c r="G873" s="3511">
        <v>6.56</v>
      </c>
      <c r="H873" s="3505" t="s">
        <v>3557</v>
      </c>
      <c r="I873" s="3561">
        <f ca="1">典型户型修正车!S764</f>
        <v>18</v>
      </c>
    </row>
    <row r="874" spans="1:9" s="3472" customFormat="1">
      <c r="A874" s="3671"/>
      <c r="B874" s="3668"/>
      <c r="C874" s="3668"/>
      <c r="D874" s="3669"/>
      <c r="E874" s="3507" t="s">
        <v>4248</v>
      </c>
      <c r="F874" s="3526">
        <v>40.43</v>
      </c>
      <c r="G874" s="3511">
        <v>6.56</v>
      </c>
      <c r="H874" s="3505" t="s">
        <v>3557</v>
      </c>
      <c r="I874" s="3561">
        <f ca="1">典型户型修正车!S765</f>
        <v>18</v>
      </c>
    </row>
    <row r="875" spans="1:9" s="3472" customFormat="1">
      <c r="A875" s="3671"/>
      <c r="B875" s="3668"/>
      <c r="C875" s="3668"/>
      <c r="D875" s="3669"/>
      <c r="E875" s="3507" t="s">
        <v>4249</v>
      </c>
      <c r="F875" s="3526">
        <v>40.43</v>
      </c>
      <c r="G875" s="3511">
        <v>6.56</v>
      </c>
      <c r="H875" s="3505" t="s">
        <v>3557</v>
      </c>
      <c r="I875" s="3561">
        <f ca="1">典型户型修正车!S766</f>
        <v>18</v>
      </c>
    </row>
    <row r="876" spans="1:9" s="3472" customFormat="1">
      <c r="A876" s="3671"/>
      <c r="B876" s="3668"/>
      <c r="C876" s="3668"/>
      <c r="D876" s="3669"/>
      <c r="E876" s="3507" t="s">
        <v>4250</v>
      </c>
      <c r="F876" s="3526">
        <v>40.43</v>
      </c>
      <c r="G876" s="3511">
        <v>6.56</v>
      </c>
      <c r="H876" s="3505" t="s">
        <v>3557</v>
      </c>
      <c r="I876" s="3561">
        <f ca="1">典型户型修正车!S767</f>
        <v>18</v>
      </c>
    </row>
    <row r="877" spans="1:9" s="3472" customFormat="1">
      <c r="A877" s="3671"/>
      <c r="B877" s="3668"/>
      <c r="C877" s="3668"/>
      <c r="D877" s="3669"/>
      <c r="E877" s="3507" t="s">
        <v>4251</v>
      </c>
      <c r="F877" s="3526">
        <v>40.43</v>
      </c>
      <c r="G877" s="3511">
        <v>6.56</v>
      </c>
      <c r="H877" s="3505" t="s">
        <v>3557</v>
      </c>
      <c r="I877" s="3561">
        <f ca="1">典型户型修正车!S768</f>
        <v>18</v>
      </c>
    </row>
    <row r="878" spans="1:9" s="3472" customFormat="1">
      <c r="A878" s="3671"/>
      <c r="B878" s="3668"/>
      <c r="C878" s="3668"/>
      <c r="D878" s="3669"/>
      <c r="E878" s="3507" t="s">
        <v>4252</v>
      </c>
      <c r="F878" s="3526">
        <v>40.43</v>
      </c>
      <c r="G878" s="3511">
        <v>6.56</v>
      </c>
      <c r="H878" s="3505" t="s">
        <v>3557</v>
      </c>
      <c r="I878" s="3561">
        <f ca="1">典型户型修正车!S769</f>
        <v>18</v>
      </c>
    </row>
    <row r="879" spans="1:9" s="3472" customFormat="1">
      <c r="A879" s="3671"/>
      <c r="B879" s="3668"/>
      <c r="C879" s="3668"/>
      <c r="D879" s="3669"/>
      <c r="E879" s="3507" t="s">
        <v>4253</v>
      </c>
      <c r="F879" s="3526">
        <v>40.43</v>
      </c>
      <c r="G879" s="3511">
        <v>6.56</v>
      </c>
      <c r="H879" s="3505" t="s">
        <v>3557</v>
      </c>
      <c r="I879" s="3561">
        <f ca="1">典型户型修正车!S770</f>
        <v>18</v>
      </c>
    </row>
    <row r="880" spans="1:9" s="3472" customFormat="1">
      <c r="A880" s="3671"/>
      <c r="B880" s="3668"/>
      <c r="C880" s="3668"/>
      <c r="D880" s="3669"/>
      <c r="E880" s="3507" t="s">
        <v>4254</v>
      </c>
      <c r="F880" s="3526">
        <v>40.43</v>
      </c>
      <c r="G880" s="3511">
        <v>6.56</v>
      </c>
      <c r="H880" s="3505" t="s">
        <v>3557</v>
      </c>
      <c r="I880" s="3561">
        <f ca="1">典型户型修正车!S771</f>
        <v>18</v>
      </c>
    </row>
    <row r="881" spans="1:9" s="3472" customFormat="1">
      <c r="A881" s="3671"/>
      <c r="B881" s="3668" t="s">
        <v>3818</v>
      </c>
      <c r="C881" s="3668" t="s">
        <v>3819</v>
      </c>
      <c r="D881" s="3669" t="s">
        <v>3820</v>
      </c>
      <c r="E881" s="3507" t="s">
        <v>4255</v>
      </c>
      <c r="F881" s="3526">
        <v>40.43</v>
      </c>
      <c r="G881" s="3511">
        <v>6.56</v>
      </c>
      <c r="H881" s="3505" t="s">
        <v>3557</v>
      </c>
      <c r="I881" s="3561">
        <f ca="1">典型户型修正车!S772</f>
        <v>18</v>
      </c>
    </row>
    <row r="882" spans="1:9" s="3472" customFormat="1">
      <c r="A882" s="3671"/>
      <c r="B882" s="3668"/>
      <c r="C882" s="3668"/>
      <c r="D882" s="3669"/>
      <c r="E882" s="3507" t="s">
        <v>4256</v>
      </c>
      <c r="F882" s="3526">
        <v>40.43</v>
      </c>
      <c r="G882" s="3511">
        <v>6.56</v>
      </c>
      <c r="H882" s="3505" t="s">
        <v>3557</v>
      </c>
      <c r="I882" s="3561">
        <f ca="1">典型户型修正车!S773</f>
        <v>18</v>
      </c>
    </row>
    <row r="883" spans="1:9" s="3472" customFormat="1">
      <c r="A883" s="3671"/>
      <c r="B883" s="3668"/>
      <c r="C883" s="3668"/>
      <c r="D883" s="3669"/>
      <c r="E883" s="3507" t="s">
        <v>4257</v>
      </c>
      <c r="F883" s="3526">
        <v>40.43</v>
      </c>
      <c r="G883" s="3511">
        <v>6.56</v>
      </c>
      <c r="H883" s="3505" t="s">
        <v>3557</v>
      </c>
      <c r="I883" s="3561">
        <f ca="1">典型户型修正车!S774</f>
        <v>18</v>
      </c>
    </row>
    <row r="884" spans="1:9" s="3472" customFormat="1">
      <c r="A884" s="3671"/>
      <c r="B884" s="3668"/>
      <c r="C884" s="3668"/>
      <c r="D884" s="3669"/>
      <c r="E884" s="3507" t="s">
        <v>4258</v>
      </c>
      <c r="F884" s="3526">
        <v>40.43</v>
      </c>
      <c r="G884" s="3511">
        <v>6.56</v>
      </c>
      <c r="H884" s="3505" t="s">
        <v>3557</v>
      </c>
      <c r="I884" s="3561">
        <f ca="1">典型户型修正车!S775</f>
        <v>18</v>
      </c>
    </row>
    <row r="885" spans="1:9" s="3472" customFormat="1">
      <c r="A885" s="3671"/>
      <c r="B885" s="3668"/>
      <c r="C885" s="3668"/>
      <c r="D885" s="3669"/>
      <c r="E885" s="3507" t="s">
        <v>4259</v>
      </c>
      <c r="F885" s="3526">
        <v>40.43</v>
      </c>
      <c r="G885" s="3511">
        <v>6.56</v>
      </c>
      <c r="H885" s="3505" t="s">
        <v>3557</v>
      </c>
      <c r="I885" s="3561">
        <f ca="1">典型户型修正车!S776</f>
        <v>18</v>
      </c>
    </row>
    <row r="886" spans="1:9" s="3472" customFormat="1">
      <c r="A886" s="3671"/>
      <c r="B886" s="3668"/>
      <c r="C886" s="3668"/>
      <c r="D886" s="3669"/>
      <c r="E886" s="3507" t="s">
        <v>4260</v>
      </c>
      <c r="F886" s="3526">
        <v>40.43</v>
      </c>
      <c r="G886" s="3511">
        <v>6.56</v>
      </c>
      <c r="H886" s="3505" t="s">
        <v>3557</v>
      </c>
      <c r="I886" s="3561">
        <f ca="1">典型户型修正车!S777</f>
        <v>18</v>
      </c>
    </row>
    <row r="887" spans="1:9" s="3472" customFormat="1">
      <c r="A887" s="3671"/>
      <c r="B887" s="3668"/>
      <c r="C887" s="3668"/>
      <c r="D887" s="3669"/>
      <c r="E887" s="3507" t="s">
        <v>4261</v>
      </c>
      <c r="F887" s="3526">
        <v>40.43</v>
      </c>
      <c r="G887" s="3511">
        <v>6.56</v>
      </c>
      <c r="H887" s="3505" t="s">
        <v>3557</v>
      </c>
      <c r="I887" s="3561">
        <f ca="1">典型户型修正车!S778</f>
        <v>18</v>
      </c>
    </row>
    <row r="888" spans="1:9" s="3472" customFormat="1">
      <c r="A888" s="3671"/>
      <c r="B888" s="3668"/>
      <c r="C888" s="3668"/>
      <c r="D888" s="3669"/>
      <c r="E888" s="3507" t="s">
        <v>4262</v>
      </c>
      <c r="F888" s="3526">
        <v>40.43</v>
      </c>
      <c r="G888" s="3511">
        <v>6.56</v>
      </c>
      <c r="H888" s="3505" t="s">
        <v>3557</v>
      </c>
      <c r="I888" s="3561">
        <f ca="1">典型户型修正车!S779</f>
        <v>18</v>
      </c>
    </row>
    <row r="889" spans="1:9" s="3472" customFormat="1">
      <c r="A889" s="3671"/>
      <c r="B889" s="3668"/>
      <c r="C889" s="3668"/>
      <c r="D889" s="3669"/>
      <c r="E889" s="3507" t="s">
        <v>4263</v>
      </c>
      <c r="F889" s="3526">
        <v>40.43</v>
      </c>
      <c r="G889" s="3511">
        <v>6.56</v>
      </c>
      <c r="H889" s="3505" t="s">
        <v>3557</v>
      </c>
      <c r="I889" s="3561">
        <f ca="1">典型户型修正车!S780</f>
        <v>18</v>
      </c>
    </row>
    <row r="890" spans="1:9" s="3472" customFormat="1">
      <c r="A890" s="3671"/>
      <c r="B890" s="3668"/>
      <c r="C890" s="3668"/>
      <c r="D890" s="3669"/>
      <c r="E890" s="3507" t="s">
        <v>4264</v>
      </c>
      <c r="F890" s="3526">
        <v>40.43</v>
      </c>
      <c r="G890" s="3511">
        <v>6.56</v>
      </c>
      <c r="H890" s="3505" t="s">
        <v>3557</v>
      </c>
      <c r="I890" s="3561">
        <f ca="1">典型户型修正车!S781</f>
        <v>18</v>
      </c>
    </row>
    <row r="891" spans="1:9" s="3472" customFormat="1">
      <c r="A891" s="3671"/>
      <c r="B891" s="3668"/>
      <c r="C891" s="3668"/>
      <c r="D891" s="3669"/>
      <c r="E891" s="3507" t="s">
        <v>4265</v>
      </c>
      <c r="F891" s="3526">
        <v>40.43</v>
      </c>
      <c r="G891" s="3511">
        <v>6.56</v>
      </c>
      <c r="H891" s="3505" t="s">
        <v>3557</v>
      </c>
      <c r="I891" s="3561">
        <f ca="1">典型户型修正车!S782</f>
        <v>18</v>
      </c>
    </row>
    <row r="892" spans="1:9" s="3472" customFormat="1">
      <c r="A892" s="3671"/>
      <c r="B892" s="3668"/>
      <c r="C892" s="3668"/>
      <c r="D892" s="3669"/>
      <c r="E892" s="3507" t="s">
        <v>4266</v>
      </c>
      <c r="F892" s="3526">
        <v>40.43</v>
      </c>
      <c r="G892" s="3511">
        <v>6.56</v>
      </c>
      <c r="H892" s="3505" t="s">
        <v>3557</v>
      </c>
      <c r="I892" s="3561">
        <f ca="1">典型户型修正车!S783</f>
        <v>18</v>
      </c>
    </row>
    <row r="893" spans="1:9" s="3472" customFormat="1">
      <c r="A893" s="3671"/>
      <c r="B893" s="3668"/>
      <c r="C893" s="3668"/>
      <c r="D893" s="3669"/>
      <c r="E893" s="3507" t="s">
        <v>4267</v>
      </c>
      <c r="F893" s="3526">
        <v>40.43</v>
      </c>
      <c r="G893" s="3511">
        <v>6.56</v>
      </c>
      <c r="H893" s="3505" t="s">
        <v>3557</v>
      </c>
      <c r="I893" s="3561">
        <f ca="1">典型户型修正车!S784</f>
        <v>18</v>
      </c>
    </row>
    <row r="894" spans="1:9" s="3472" customFormat="1">
      <c r="A894" s="3671"/>
      <c r="B894" s="3668"/>
      <c r="C894" s="3668"/>
      <c r="D894" s="3669"/>
      <c r="E894" s="3507" t="s">
        <v>4268</v>
      </c>
      <c r="F894" s="3526">
        <v>40.43</v>
      </c>
      <c r="G894" s="3511">
        <v>6.56</v>
      </c>
      <c r="H894" s="3505" t="s">
        <v>3557</v>
      </c>
      <c r="I894" s="3561">
        <f ca="1">典型户型修正车!S785</f>
        <v>18</v>
      </c>
    </row>
    <row r="895" spans="1:9" s="3472" customFormat="1">
      <c r="A895" s="3671"/>
      <c r="B895" s="3668"/>
      <c r="C895" s="3668"/>
      <c r="D895" s="3669"/>
      <c r="E895" s="3507" t="s">
        <v>4269</v>
      </c>
      <c r="F895" s="3526">
        <v>40.43</v>
      </c>
      <c r="G895" s="3511">
        <v>6.56</v>
      </c>
      <c r="H895" s="3505" t="s">
        <v>3557</v>
      </c>
      <c r="I895" s="3561">
        <f ca="1">典型户型修正车!S786</f>
        <v>18</v>
      </c>
    </row>
    <row r="896" spans="1:9" s="3472" customFormat="1">
      <c r="A896" s="3671"/>
      <c r="B896" s="3668"/>
      <c r="C896" s="3668"/>
      <c r="D896" s="3669"/>
      <c r="E896" s="3507" t="s">
        <v>4270</v>
      </c>
      <c r="F896" s="3526">
        <v>40.43</v>
      </c>
      <c r="G896" s="3511">
        <v>6.56</v>
      </c>
      <c r="H896" s="3505" t="s">
        <v>3557</v>
      </c>
      <c r="I896" s="3561">
        <f ca="1">典型户型修正车!S787</f>
        <v>18</v>
      </c>
    </row>
    <row r="897" spans="1:9" s="3472" customFormat="1">
      <c r="A897" s="3671"/>
      <c r="B897" s="3668"/>
      <c r="C897" s="3668"/>
      <c r="D897" s="3669"/>
      <c r="E897" s="3507" t="s">
        <v>4271</v>
      </c>
      <c r="F897" s="3526">
        <v>40.43</v>
      </c>
      <c r="G897" s="3511">
        <v>6.56</v>
      </c>
      <c r="H897" s="3505" t="s">
        <v>3557</v>
      </c>
      <c r="I897" s="3561">
        <f ca="1">典型户型修正车!S788</f>
        <v>18</v>
      </c>
    </row>
    <row r="898" spans="1:9" s="3472" customFormat="1">
      <c r="A898" s="3671"/>
      <c r="B898" s="3668"/>
      <c r="C898" s="3668"/>
      <c r="D898" s="3669"/>
      <c r="E898" s="3507" t="s">
        <v>4272</v>
      </c>
      <c r="F898" s="3526">
        <v>40.43</v>
      </c>
      <c r="G898" s="3511">
        <v>6.56</v>
      </c>
      <c r="H898" s="3505" t="s">
        <v>3557</v>
      </c>
      <c r="I898" s="3561">
        <f ca="1">典型户型修正车!S789</f>
        <v>18</v>
      </c>
    </row>
    <row r="899" spans="1:9" s="3472" customFormat="1">
      <c r="A899" s="3671"/>
      <c r="B899" s="3668"/>
      <c r="C899" s="3668"/>
      <c r="D899" s="3669"/>
      <c r="E899" s="3507" t="s">
        <v>4273</v>
      </c>
      <c r="F899" s="3526">
        <v>40.43</v>
      </c>
      <c r="G899" s="3511">
        <v>6.56</v>
      </c>
      <c r="H899" s="3505" t="s">
        <v>3557</v>
      </c>
      <c r="I899" s="3561">
        <f ca="1">典型户型修正车!S790</f>
        <v>18</v>
      </c>
    </row>
    <row r="900" spans="1:9" s="3472" customFormat="1">
      <c r="A900" s="3671"/>
      <c r="B900" s="3668"/>
      <c r="C900" s="3668"/>
      <c r="D900" s="3669"/>
      <c r="E900" s="3507" t="s">
        <v>4274</v>
      </c>
      <c r="F900" s="3526">
        <v>68.27</v>
      </c>
      <c r="G900" s="3511">
        <v>11.07</v>
      </c>
      <c r="H900" s="3505" t="s">
        <v>3557</v>
      </c>
      <c r="I900" s="3561">
        <f ca="1">典型户型修正车!S791</f>
        <v>31</v>
      </c>
    </row>
    <row r="901" spans="1:9" s="3472" customFormat="1">
      <c r="A901" s="3671"/>
      <c r="B901" s="3668"/>
      <c r="C901" s="3668"/>
      <c r="D901" s="3669"/>
      <c r="E901" s="3507" t="s">
        <v>4275</v>
      </c>
      <c r="F901" s="3526">
        <v>40.43</v>
      </c>
      <c r="G901" s="3511">
        <v>6.56</v>
      </c>
      <c r="H901" s="3505" t="s">
        <v>3557</v>
      </c>
      <c r="I901" s="3561">
        <f ca="1">典型户型修正车!S792</f>
        <v>18</v>
      </c>
    </row>
    <row r="902" spans="1:9" s="3472" customFormat="1">
      <c r="A902" s="3671"/>
      <c r="B902" s="3668"/>
      <c r="C902" s="3668"/>
      <c r="D902" s="3669"/>
      <c r="E902" s="3507" t="s">
        <v>4276</v>
      </c>
      <c r="F902" s="3526">
        <v>40.43</v>
      </c>
      <c r="G902" s="3511">
        <v>6.56</v>
      </c>
      <c r="H902" s="3505" t="s">
        <v>3557</v>
      </c>
      <c r="I902" s="3561">
        <f ca="1">典型户型修正车!S793</f>
        <v>18</v>
      </c>
    </row>
    <row r="903" spans="1:9" s="3472" customFormat="1">
      <c r="A903" s="3671"/>
      <c r="B903" s="3668"/>
      <c r="C903" s="3668"/>
      <c r="D903" s="3669"/>
      <c r="E903" s="3507" t="s">
        <v>4277</v>
      </c>
      <c r="F903" s="3526">
        <v>40.43</v>
      </c>
      <c r="G903" s="3511">
        <v>6.56</v>
      </c>
      <c r="H903" s="3505" t="s">
        <v>3557</v>
      </c>
      <c r="I903" s="3561">
        <f ca="1">典型户型修正车!S794</f>
        <v>18</v>
      </c>
    </row>
    <row r="904" spans="1:9" s="3472" customFormat="1">
      <c r="A904" s="3671"/>
      <c r="B904" s="3668"/>
      <c r="C904" s="3668"/>
      <c r="D904" s="3669"/>
      <c r="E904" s="3507" t="s">
        <v>4278</v>
      </c>
      <c r="F904" s="3526">
        <v>40.43</v>
      </c>
      <c r="G904" s="3511">
        <v>6.56</v>
      </c>
      <c r="H904" s="3505" t="s">
        <v>3557</v>
      </c>
      <c r="I904" s="3561">
        <f ca="1">典型户型修正车!S795</f>
        <v>18</v>
      </c>
    </row>
    <row r="905" spans="1:9" s="3472" customFormat="1">
      <c r="A905" s="3671"/>
      <c r="B905" s="3668"/>
      <c r="C905" s="3668"/>
      <c r="D905" s="3669"/>
      <c r="E905" s="3507" t="s">
        <v>4279</v>
      </c>
      <c r="F905" s="3526">
        <v>40.43</v>
      </c>
      <c r="G905" s="3511">
        <v>6.56</v>
      </c>
      <c r="H905" s="3505" t="s">
        <v>3557</v>
      </c>
      <c r="I905" s="3561">
        <f ca="1">典型户型修正车!S796</f>
        <v>18</v>
      </c>
    </row>
    <row r="906" spans="1:9" s="3472" customFormat="1">
      <c r="A906" s="3671"/>
      <c r="B906" s="3668"/>
      <c r="C906" s="3668"/>
      <c r="D906" s="3669"/>
      <c r="E906" s="3507" t="s">
        <v>4280</v>
      </c>
      <c r="F906" s="3526">
        <v>40.43</v>
      </c>
      <c r="G906" s="3511">
        <v>6.56</v>
      </c>
      <c r="H906" s="3505" t="s">
        <v>3557</v>
      </c>
      <c r="I906" s="3561">
        <f ca="1">典型户型修正车!S797</f>
        <v>18</v>
      </c>
    </row>
    <row r="907" spans="1:9" s="3472" customFormat="1">
      <c r="A907" s="3671"/>
      <c r="B907" s="3668"/>
      <c r="C907" s="3668"/>
      <c r="D907" s="3669"/>
      <c r="E907" s="3507" t="s">
        <v>4281</v>
      </c>
      <c r="F907" s="3526">
        <v>40.43</v>
      </c>
      <c r="G907" s="3511">
        <v>6.56</v>
      </c>
      <c r="H907" s="3505" t="s">
        <v>3557</v>
      </c>
      <c r="I907" s="3561">
        <f ca="1">典型户型修正车!S798</f>
        <v>18</v>
      </c>
    </row>
    <row r="908" spans="1:9" s="3472" customFormat="1">
      <c r="A908" s="3671"/>
      <c r="B908" s="3668"/>
      <c r="C908" s="3668"/>
      <c r="D908" s="3669"/>
      <c r="E908" s="3507" t="s">
        <v>4282</v>
      </c>
      <c r="F908" s="3526">
        <v>40.43</v>
      </c>
      <c r="G908" s="3511">
        <v>6.56</v>
      </c>
      <c r="H908" s="3505" t="s">
        <v>3557</v>
      </c>
      <c r="I908" s="3561">
        <f ca="1">典型户型修正车!S799</f>
        <v>18</v>
      </c>
    </row>
    <row r="909" spans="1:9" s="3472" customFormat="1">
      <c r="A909" s="3671"/>
      <c r="B909" s="3668"/>
      <c r="C909" s="3668"/>
      <c r="D909" s="3669"/>
      <c r="E909" s="3507" t="s">
        <v>4283</v>
      </c>
      <c r="F909" s="3526">
        <v>40.43</v>
      </c>
      <c r="G909" s="3511">
        <v>6.56</v>
      </c>
      <c r="H909" s="3505" t="s">
        <v>3557</v>
      </c>
      <c r="I909" s="3561">
        <f ca="1">典型户型修正车!S800</f>
        <v>18</v>
      </c>
    </row>
    <row r="910" spans="1:9" s="3472" customFormat="1">
      <c r="A910" s="3671"/>
      <c r="B910" s="3668"/>
      <c r="C910" s="3668"/>
      <c r="D910" s="3669"/>
      <c r="E910" s="3507" t="s">
        <v>4284</v>
      </c>
      <c r="F910" s="3526">
        <v>40.43</v>
      </c>
      <c r="G910" s="3511">
        <v>6.56</v>
      </c>
      <c r="H910" s="3505" t="s">
        <v>3557</v>
      </c>
      <c r="I910" s="3561">
        <f ca="1">典型户型修正车!S801</f>
        <v>18</v>
      </c>
    </row>
    <row r="911" spans="1:9" s="3472" customFormat="1">
      <c r="A911" s="3671"/>
      <c r="B911" s="3668"/>
      <c r="C911" s="3668"/>
      <c r="D911" s="3669"/>
      <c r="E911" s="3507" t="s">
        <v>4285</v>
      </c>
      <c r="F911" s="3526">
        <v>40.43</v>
      </c>
      <c r="G911" s="3511">
        <v>6.56</v>
      </c>
      <c r="H911" s="3505" t="s">
        <v>3557</v>
      </c>
      <c r="I911" s="3561">
        <f ca="1">典型户型修正车!S802</f>
        <v>18</v>
      </c>
    </row>
    <row r="912" spans="1:9" s="3472" customFormat="1">
      <c r="A912" s="3671"/>
      <c r="B912" s="3668"/>
      <c r="C912" s="3668"/>
      <c r="D912" s="3669"/>
      <c r="E912" s="3507" t="s">
        <v>4286</v>
      </c>
      <c r="F912" s="3526">
        <v>40.43</v>
      </c>
      <c r="G912" s="3511">
        <v>6.56</v>
      </c>
      <c r="H912" s="3505" t="s">
        <v>3557</v>
      </c>
      <c r="I912" s="3561">
        <f ca="1">典型户型修正车!S803</f>
        <v>18</v>
      </c>
    </row>
    <row r="913" spans="1:9" s="3472" customFormat="1">
      <c r="A913" s="3671"/>
      <c r="B913" s="3668"/>
      <c r="C913" s="3668"/>
      <c r="D913" s="3669"/>
      <c r="E913" s="3507" t="s">
        <v>4287</v>
      </c>
      <c r="F913" s="3526">
        <v>40.43</v>
      </c>
      <c r="G913" s="3511">
        <v>6.56</v>
      </c>
      <c r="H913" s="3505" t="s">
        <v>3557</v>
      </c>
      <c r="I913" s="3561">
        <f ca="1">典型户型修正车!S804</f>
        <v>18</v>
      </c>
    </row>
    <row r="914" spans="1:9" s="3472" customFormat="1">
      <c r="A914" s="3671"/>
      <c r="B914" s="3668"/>
      <c r="C914" s="3668"/>
      <c r="D914" s="3669"/>
      <c r="E914" s="3507" t="s">
        <v>4288</v>
      </c>
      <c r="F914" s="3526">
        <v>40.43</v>
      </c>
      <c r="G914" s="3511">
        <v>6.56</v>
      </c>
      <c r="H914" s="3505" t="s">
        <v>3557</v>
      </c>
      <c r="I914" s="3561">
        <f ca="1">典型户型修正车!S805</f>
        <v>18</v>
      </c>
    </row>
    <row r="915" spans="1:9" s="3472" customFormat="1">
      <c r="A915" s="3672"/>
      <c r="B915" s="3668"/>
      <c r="C915" s="3668"/>
      <c r="D915" s="3669"/>
      <c r="E915" s="3507" t="s">
        <v>4289</v>
      </c>
      <c r="F915" s="3526">
        <v>40.43</v>
      </c>
      <c r="G915" s="3511">
        <v>6.56</v>
      </c>
      <c r="H915" s="3505" t="s">
        <v>3557</v>
      </c>
      <c r="I915" s="3561">
        <f ca="1">典型户型修正车!S806</f>
        <v>18</v>
      </c>
    </row>
    <row r="916" spans="1:9" s="3472" customFormat="1">
      <c r="A916" s="3667" t="s">
        <v>3526</v>
      </c>
      <c r="B916" s="3667"/>
      <c r="C916" s="3667"/>
      <c r="D916" s="3667"/>
      <c r="E916" s="3667"/>
      <c r="F916" s="3523">
        <f>SUM(F363:F915)</f>
        <v>28298.640000000159</v>
      </c>
      <c r="G916" s="3466">
        <f>SUM(G363:G915)</f>
        <v>4590.2900000000009</v>
      </c>
      <c r="H916" s="3506"/>
      <c r="I916" s="3559">
        <f ca="1">SUM(I363:I915)</f>
        <v>19362</v>
      </c>
    </row>
    <row r="917" spans="1:9" s="3472" customFormat="1">
      <c r="A917" s="3667"/>
      <c r="B917" s="3667"/>
      <c r="C917" s="3667"/>
      <c r="D917" s="3667"/>
      <c r="E917" s="3667"/>
      <c r="F917" s="3523">
        <f>SUM(F916,F362,F342,F331,F296,F8,F13,F37,F282)</f>
        <v>151393.9300000002</v>
      </c>
      <c r="G917" s="3466"/>
      <c r="H917" s="3506"/>
      <c r="I917" s="3523">
        <f ca="1">SUM(I916,I362,I342,I331,I296,I8,I13,I37,I282)</f>
        <v>344616</v>
      </c>
    </row>
    <row r="918" spans="1:9">
      <c r="F918" s="3520">
        <f>[4]住宅仓储!F19</f>
        <v>1543.38</v>
      </c>
    </row>
    <row r="919" spans="1:9">
      <c r="F919" s="3527">
        <f>F918+F917</f>
        <v>152937.3100000002</v>
      </c>
    </row>
    <row r="920" spans="1:9">
      <c r="F920" s="3527">
        <f>F919-[4]总表!F17</f>
        <v>0</v>
      </c>
    </row>
  </sheetData>
  <mergeCells count="107">
    <mergeCell ref="A13:E13"/>
    <mergeCell ref="A14:A36"/>
    <mergeCell ref="B14:B36"/>
    <mergeCell ref="C14:C36"/>
    <mergeCell ref="D14:D36"/>
    <mergeCell ref="A37:E37"/>
    <mergeCell ref="A2:A7"/>
    <mergeCell ref="B2:B7"/>
    <mergeCell ref="C2:C7"/>
    <mergeCell ref="D2:D7"/>
    <mergeCell ref="A8:E8"/>
    <mergeCell ref="A9:A12"/>
    <mergeCell ref="B9:B12"/>
    <mergeCell ref="C9:C12"/>
    <mergeCell ref="D9:D12"/>
    <mergeCell ref="B149:B185"/>
    <mergeCell ref="C149:C185"/>
    <mergeCell ref="D149:D185"/>
    <mergeCell ref="B186:B222"/>
    <mergeCell ref="C186:C222"/>
    <mergeCell ref="D186:D222"/>
    <mergeCell ref="A38:A281"/>
    <mergeCell ref="B38:B74"/>
    <mergeCell ref="C38:C74"/>
    <mergeCell ref="D38:D74"/>
    <mergeCell ref="B75:B111"/>
    <mergeCell ref="C75:C111"/>
    <mergeCell ref="D75:D111"/>
    <mergeCell ref="B112:B148"/>
    <mergeCell ref="C112:C148"/>
    <mergeCell ref="D112:D148"/>
    <mergeCell ref="A282:E282"/>
    <mergeCell ref="A284:A295"/>
    <mergeCell ref="B284:B295"/>
    <mergeCell ref="C284:C295"/>
    <mergeCell ref="D284:D295"/>
    <mergeCell ref="A296:E296"/>
    <mergeCell ref="B223:B259"/>
    <mergeCell ref="C223:C259"/>
    <mergeCell ref="D223:D259"/>
    <mergeCell ref="B260:B281"/>
    <mergeCell ref="C260:C281"/>
    <mergeCell ref="D260:D281"/>
    <mergeCell ref="D511:D547"/>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D437:D473"/>
    <mergeCell ref="B696:B732"/>
    <mergeCell ref="C696:C732"/>
    <mergeCell ref="D696:D732"/>
    <mergeCell ref="B733:B769"/>
    <mergeCell ref="C733:C769"/>
    <mergeCell ref="D733:D769"/>
    <mergeCell ref="B622:B658"/>
    <mergeCell ref="C622:C658"/>
    <mergeCell ref="D622:D658"/>
    <mergeCell ref="B659:B695"/>
    <mergeCell ref="C659:C695"/>
    <mergeCell ref="D659:D695"/>
    <mergeCell ref="B548:B584"/>
    <mergeCell ref="C548:C584"/>
    <mergeCell ref="D548:D584"/>
    <mergeCell ref="B585:B621"/>
    <mergeCell ref="C585:C621"/>
    <mergeCell ref="D585:D621"/>
    <mergeCell ref="B474:B510"/>
    <mergeCell ref="C474:C510"/>
    <mergeCell ref="D474:D510"/>
    <mergeCell ref="B511:B547"/>
    <mergeCell ref="C511:C547"/>
    <mergeCell ref="M28:O28"/>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M31" sqref="M31"/>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23" t="str">
        <f>项目基本情况!S2</f>
        <v>北京市昌平区英才南一街15号院1号楼等13栋部分用房房地产</v>
      </c>
      <c r="B2" s="3724"/>
      <c r="C2" s="3724"/>
      <c r="D2" s="3724"/>
      <c r="E2" s="3724"/>
      <c r="F2" s="3724"/>
      <c r="G2" s="3724"/>
      <c r="H2" s="3724"/>
      <c r="I2" s="3725"/>
    </row>
    <row r="3" spans="1:12" ht="12.75">
      <c r="A3" s="3727" t="s">
        <v>1264</v>
      </c>
      <c r="B3" s="3728"/>
      <c r="C3" s="3728"/>
      <c r="D3" s="3728"/>
      <c r="E3" s="3728"/>
      <c r="F3" s="3728"/>
      <c r="G3" s="3728"/>
      <c r="H3" s="3728"/>
      <c r="I3" s="3728"/>
    </row>
    <row r="4" spans="1:12" ht="14.25">
      <c r="A4" s="1746" t="s">
        <v>1265</v>
      </c>
      <c r="B4" s="1747" t="s">
        <v>1266</v>
      </c>
      <c r="C4" s="1748" t="s">
        <v>4386</v>
      </c>
      <c r="D4" s="1748" t="s">
        <v>4356</v>
      </c>
      <c r="E4" s="3729" t="s">
        <v>1267</v>
      </c>
      <c r="F4" s="3730"/>
      <c r="G4" s="3730"/>
      <c r="H4" s="3730"/>
      <c r="I4" s="373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03" t="s">
        <v>1268</v>
      </c>
      <c r="B5" s="3690">
        <v>25</v>
      </c>
      <c r="C5" s="3706"/>
      <c r="D5" s="3726"/>
      <c r="E5" s="131" t="s">
        <v>1269</v>
      </c>
      <c r="F5" s="1749"/>
      <c r="G5" s="1749"/>
      <c r="H5" s="1749"/>
      <c r="I5" s="1365"/>
    </row>
    <row r="6" spans="1:12" ht="12.75">
      <c r="A6" s="3703"/>
      <c r="B6" s="3690"/>
      <c r="C6" s="3707"/>
      <c r="D6" s="3726"/>
      <c r="E6" s="131" t="s">
        <v>1270</v>
      </c>
      <c r="F6" s="1749"/>
      <c r="G6" s="1749"/>
      <c r="H6" s="1749"/>
      <c r="I6" s="1365"/>
    </row>
    <row r="7" spans="1:12" ht="12.75">
      <c r="A7" s="3703"/>
      <c r="B7" s="3690"/>
      <c r="C7" s="3708"/>
      <c r="D7" s="3726"/>
      <c r="E7" s="131" t="s">
        <v>1271</v>
      </c>
      <c r="F7" s="1749"/>
      <c r="G7" s="1749"/>
      <c r="H7" s="1749"/>
      <c r="I7" s="1365"/>
    </row>
    <row r="8" spans="1:12" ht="12.75">
      <c r="A8" s="3703" t="s">
        <v>1272</v>
      </c>
      <c r="B8" s="3690">
        <v>15</v>
      </c>
      <c r="C8" s="3706"/>
      <c r="D8" s="3726"/>
      <c r="E8" s="131" t="s">
        <v>1273</v>
      </c>
      <c r="F8" s="1749"/>
      <c r="G8" s="1749"/>
      <c r="H8" s="1749"/>
      <c r="I8" s="1365"/>
    </row>
    <row r="9" spans="1:12" ht="12.75">
      <c r="A9" s="3703"/>
      <c r="B9" s="3690"/>
      <c r="C9" s="3708"/>
      <c r="D9" s="3726"/>
      <c r="E9" s="131" t="s">
        <v>1274</v>
      </c>
      <c r="F9" s="1749"/>
      <c r="G9" s="1749"/>
      <c r="H9" s="1749"/>
      <c r="I9" s="1365"/>
    </row>
    <row r="10" spans="1:12" ht="12.75">
      <c r="A10" s="3703" t="s">
        <v>1275</v>
      </c>
      <c r="B10" s="3690">
        <v>15</v>
      </c>
      <c r="C10" s="3706"/>
      <c r="D10" s="3726"/>
      <c r="E10" s="131" t="s">
        <v>1276</v>
      </c>
      <c r="F10" s="1749"/>
      <c r="G10" s="1749"/>
      <c r="H10" s="1749"/>
      <c r="I10" s="1365"/>
    </row>
    <row r="11" spans="1:12" ht="12.75">
      <c r="A11" s="3703"/>
      <c r="B11" s="3690"/>
      <c r="C11" s="3708"/>
      <c r="D11" s="3726"/>
      <c r="E11" s="131" t="s">
        <v>1277</v>
      </c>
      <c r="F11" s="1749"/>
      <c r="G11" s="1749"/>
      <c r="H11" s="1749"/>
      <c r="I11" s="1365"/>
    </row>
    <row r="12" spans="1:12" ht="12.75">
      <c r="A12" s="3703" t="s">
        <v>1278</v>
      </c>
      <c r="B12" s="3690">
        <v>15</v>
      </c>
      <c r="C12" s="3706"/>
      <c r="D12" s="3726"/>
      <c r="E12" s="131" t="s">
        <v>1279</v>
      </c>
      <c r="F12" s="1749"/>
      <c r="G12" s="1749"/>
      <c r="H12" s="1749"/>
      <c r="I12" s="1365"/>
    </row>
    <row r="13" spans="1:12" ht="12.75">
      <c r="A13" s="3703"/>
      <c r="B13" s="3690"/>
      <c r="C13" s="3708"/>
      <c r="D13" s="3726"/>
      <c r="E13" s="131" t="s">
        <v>1280</v>
      </c>
      <c r="F13" s="1749"/>
      <c r="G13" s="1749"/>
      <c r="H13" s="1749"/>
      <c r="I13" s="1365"/>
    </row>
    <row r="14" spans="1:12" ht="12.75">
      <c r="A14" s="3703" t="s">
        <v>1281</v>
      </c>
      <c r="B14" s="3690">
        <v>30</v>
      </c>
      <c r="C14" s="3706">
        <v>6</v>
      </c>
      <c r="D14" s="3726">
        <v>4</v>
      </c>
      <c r="E14" s="131" t="s">
        <v>1282</v>
      </c>
      <c r="F14" s="1749"/>
      <c r="G14" s="1749"/>
      <c r="H14" s="1749"/>
      <c r="I14" s="1365"/>
    </row>
    <row r="15" spans="1:12" ht="12.75">
      <c r="A15" s="3703"/>
      <c r="B15" s="3690"/>
      <c r="C15" s="3707"/>
      <c r="D15" s="3726"/>
      <c r="E15" s="131" t="s">
        <v>1283</v>
      </c>
      <c r="F15" s="1749"/>
      <c r="G15" s="1749"/>
      <c r="H15" s="1749"/>
      <c r="I15" s="1365"/>
    </row>
    <row r="16" spans="1:12" ht="12.75">
      <c r="A16" s="3703"/>
      <c r="B16" s="3690"/>
      <c r="C16" s="3708"/>
      <c r="D16" s="3726"/>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13" t="s">
        <v>2130</v>
      </c>
      <c r="F18" s="3714"/>
      <c r="G18" s="3714"/>
      <c r="H18" s="3714"/>
      <c r="I18" s="3714"/>
      <c r="K18" s="302" t="s">
        <v>1289</v>
      </c>
      <c r="L18" s="302">
        <f>IF(C1="",'数据-汇总表'!E3,SUMIF(项目类型,C1,'数据-汇总表'!E17:E26)+SUMIF(项目类型,C1,'数据-汇总表'!I17:I26))</f>
        <v>275.55</v>
      </c>
      <c r="M18" s="302">
        <f>IF(C1="",'数据-汇总表'!E3,SUMIF(项目类型,C1,'数据-汇总表'!E17:E26))</f>
        <v>275.55</v>
      </c>
    </row>
    <row r="19" spans="1:36" ht="15">
      <c r="A19" s="1753" t="s">
        <v>1290</v>
      </c>
      <c r="B19" s="1754" t="s">
        <v>1291</v>
      </c>
      <c r="C19" s="134">
        <f ca="1">SUMIF(INDIRECT("'"&amp;C4&amp;"'"&amp;"!A:A"),结果表!B19,INDIRECT("'"&amp;C4&amp;"'"&amp;"!B:B"))</f>
        <v>1456.6675</v>
      </c>
      <c r="D19" s="135">
        <f ca="1">SUMIF(INDIRECT("'"&amp;D4&amp;"'"&amp;"!A:A"),结果表!B19,INDIRECT("'"&amp;D4&amp;"'"&amp;"!B:B"))</f>
        <v>932.08370000000002</v>
      </c>
      <c r="E19" s="1753" t="s">
        <v>1292</v>
      </c>
      <c r="F19" s="1754" t="s">
        <v>1291</v>
      </c>
      <c r="G19" s="136">
        <f ca="1">ROUND(C19*$C$18+D19*$D$18,0)</f>
        <v>1247</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52864</v>
      </c>
      <c r="D20" s="138">
        <f ca="1">SUMIF(INDIRECT("'"&amp;D4&amp;"'"&amp;"!A:A"),结果表!B20,INDIRECT("'"&amp;D4&amp;"'"&amp;"!B:B"))</f>
        <v>33826</v>
      </c>
      <c r="E20" s="1756"/>
      <c r="F20" s="1018" t="s">
        <v>1295</v>
      </c>
      <c r="G20" s="139">
        <f ca="1">ROUND(C20*$C$18+D20*$D$18,0)</f>
        <v>45249</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0.56280761051824002</v>
      </c>
      <c r="E22" s="129"/>
      <c r="F22" s="129"/>
      <c r="G22" s="129"/>
      <c r="H22" s="129"/>
      <c r="I22" s="129"/>
    </row>
    <row r="23" spans="1:36" ht="13.5" thickBot="1">
      <c r="A23" s="1739"/>
      <c r="B23" s="1739"/>
      <c r="C23" s="1739"/>
      <c r="D23" s="1739"/>
      <c r="E23" s="129"/>
      <c r="F23" s="129"/>
      <c r="G23" s="129"/>
      <c r="H23" s="129"/>
      <c r="I23" s="129"/>
    </row>
    <row r="24" spans="1:36" ht="14.25">
      <c r="A24" s="3697" t="s">
        <v>1299</v>
      </c>
      <c r="B24" s="1754" t="s">
        <v>1291</v>
      </c>
      <c r="C24" s="136">
        <f>IF(B30=0,0,D30)</f>
        <v>0</v>
      </c>
      <c r="D24" s="1761"/>
      <c r="E24" s="129"/>
      <c r="F24" s="129"/>
      <c r="G24" s="129"/>
      <c r="H24" s="129"/>
      <c r="I24" s="129"/>
    </row>
    <row r="25" spans="1:36" ht="14.25">
      <c r="A25" s="3698"/>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45249</v>
      </c>
      <c r="D32" s="3564" t="s">
        <v>4397</v>
      </c>
      <c r="E32" s="129"/>
      <c r="F32" s="129"/>
      <c r="G32" s="129"/>
      <c r="H32" s="129"/>
      <c r="I32" s="129"/>
    </row>
    <row r="33" spans="1:15" ht="15">
      <c r="A33" s="778" t="s">
        <v>1306</v>
      </c>
      <c r="B33" s="1767"/>
      <c r="C33" s="1768" t="s">
        <v>4398</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17" t="s">
        <v>1312</v>
      </c>
      <c r="B36" s="1778" t="s">
        <v>1313</v>
      </c>
      <c r="C36" s="145"/>
      <c r="D36" s="1779"/>
      <c r="E36" s="1780"/>
      <c r="F36" s="1781"/>
      <c r="G36" s="129"/>
      <c r="H36" s="129"/>
      <c r="I36" s="129"/>
    </row>
    <row r="37" spans="1:15" ht="15.75" thickBot="1">
      <c r="A37" s="3718"/>
      <c r="B37" s="1666" t="s">
        <v>1314</v>
      </c>
      <c r="C37" s="147"/>
      <c r="D37" s="1131"/>
      <c r="E37" s="1131"/>
      <c r="F37" s="1781"/>
      <c r="G37" s="129"/>
      <c r="H37" s="129"/>
      <c r="I37" s="129"/>
    </row>
    <row r="38" spans="1:15" ht="15.75" thickBot="1">
      <c r="A38" s="3719"/>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94" t="s">
        <v>1326</v>
      </c>
      <c r="B45" s="3695"/>
      <c r="C45" s="3696"/>
      <c r="D45" s="155">
        <f ca="1">ROUND(H101*F45,0)</f>
        <v>1247</v>
      </c>
      <c r="E45" s="156" t="s">
        <v>1327</v>
      </c>
      <c r="F45" s="157">
        <v>1</v>
      </c>
      <c r="G45" s="158" t="s">
        <v>1328</v>
      </c>
      <c r="H45" s="129"/>
      <c r="I45" s="129"/>
      <c r="J45" s="3772" t="s">
        <v>1329</v>
      </c>
      <c r="K45" s="3772"/>
      <c r="L45" s="3772"/>
      <c r="M45" s="3772"/>
      <c r="N45" s="3772"/>
      <c r="O45" s="3772"/>
    </row>
    <row r="46" spans="1:15" ht="14.25" customHeight="1">
      <c r="A46" s="3691" t="s">
        <v>1330</v>
      </c>
      <c r="B46" s="3692"/>
      <c r="C46" s="3692"/>
      <c r="D46" s="3692"/>
      <c r="E46" s="3692"/>
      <c r="F46" s="3692"/>
      <c r="G46" s="3693"/>
      <c r="H46" s="1797"/>
      <c r="I46" s="159"/>
      <c r="J46" s="2508">
        <v>1</v>
      </c>
      <c r="K46" s="3753" t="s">
        <v>1331</v>
      </c>
      <c r="L46" s="3753"/>
      <c r="M46" s="3773"/>
      <c r="N46" s="3773"/>
      <c r="O46" s="3773"/>
    </row>
    <row r="47" spans="1:15" ht="12" customHeight="1">
      <c r="A47" s="160" t="s">
        <v>1332</v>
      </c>
      <c r="B47" s="161"/>
      <c r="C47" s="162"/>
      <c r="D47" s="1079" t="s">
        <v>1333</v>
      </c>
      <c r="E47" s="302" t="s">
        <v>1334</v>
      </c>
      <c r="F47" s="163" t="s">
        <v>1335</v>
      </c>
      <c r="G47" s="2531" t="s">
        <v>1336</v>
      </c>
      <c r="H47" s="2532"/>
      <c r="I47" s="159"/>
      <c r="J47" s="2508">
        <v>2</v>
      </c>
      <c r="K47" s="3753" t="s">
        <v>1337</v>
      </c>
      <c r="L47" s="3753"/>
      <c r="M47" s="3774">
        <f>'数据-取费表'!B2</f>
        <v>45173</v>
      </c>
      <c r="N47" s="3774"/>
      <c r="O47" s="3774"/>
    </row>
    <row r="48" spans="1:15" ht="25.5">
      <c r="A48" s="3722" t="s">
        <v>1338</v>
      </c>
      <c r="B48" s="3705"/>
      <c r="C48" s="3705"/>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53" t="s">
        <v>1340</v>
      </c>
      <c r="L48" s="3753"/>
      <c r="M48" s="3775">
        <f ca="1">H101</f>
        <v>1247</v>
      </c>
      <c r="N48" s="3775"/>
      <c r="O48" s="3775"/>
    </row>
    <row r="49" spans="1:35" ht="25.5" customHeight="1">
      <c r="A49" s="2321" t="s">
        <v>1341</v>
      </c>
      <c r="B49" s="3689" t="s">
        <v>1342</v>
      </c>
      <c r="C49" s="3689"/>
      <c r="D49" s="1582">
        <v>0</v>
      </c>
      <c r="E49" s="324" t="s">
        <v>1343</v>
      </c>
      <c r="F49" s="2409" t="s">
        <v>28</v>
      </c>
      <c r="G49" s="3759"/>
      <c r="H49" s="2298" t="s">
        <v>2133</v>
      </c>
      <c r="I49" s="2299"/>
      <c r="J49" s="2508">
        <v>4</v>
      </c>
      <c r="K49" s="3753" t="str">
        <f>IF(项目基本情况!E8="房地产抵押价值","房地产抵押价值","抵押担保权已注销时的房地产抵押价值")</f>
        <v>房地产抵押价值</v>
      </c>
      <c r="L49" s="3753"/>
      <c r="M49" s="3775">
        <f ca="1">IF(项目基本情况!E8="房地产抵押价值",H107,H109)</f>
        <v>1247</v>
      </c>
      <c r="N49" s="3775"/>
      <c r="O49" s="3775"/>
    </row>
    <row r="50" spans="1:35" ht="25.5" customHeight="1">
      <c r="A50" s="2536"/>
      <c r="B50" s="3689" t="s">
        <v>1344</v>
      </c>
      <c r="C50" s="3689"/>
      <c r="D50" s="2537"/>
      <c r="E50" s="332"/>
      <c r="F50" s="2409"/>
      <c r="G50" s="3760"/>
      <c r="H50" s="2300" t="s">
        <v>2134</v>
      </c>
      <c r="I50" s="2299"/>
      <c r="J50" s="3772" t="s">
        <v>1345</v>
      </c>
      <c r="K50" s="3772"/>
      <c r="L50" s="3772"/>
      <c r="M50" s="3772"/>
      <c r="N50" s="3772"/>
      <c r="O50" s="3772"/>
    </row>
    <row r="51" spans="1:35" ht="20.45" customHeight="1">
      <c r="A51" s="2538"/>
      <c r="B51" s="3689" t="s">
        <v>1346</v>
      </c>
      <c r="C51" s="3689"/>
      <c r="D51" s="1079"/>
      <c r="E51" s="327"/>
      <c r="F51" s="2409"/>
      <c r="G51" s="3761"/>
      <c r="H51" s="2300" t="s">
        <v>2135</v>
      </c>
      <c r="I51" s="2299"/>
      <c r="J51" s="2509" t="s">
        <v>1347</v>
      </c>
      <c r="K51" s="3753" t="s">
        <v>1348</v>
      </c>
      <c r="L51" s="3753"/>
      <c r="M51" s="2509" t="s">
        <v>1349</v>
      </c>
      <c r="N51" s="2509" t="s">
        <v>1350</v>
      </c>
      <c r="O51" s="2509" t="s">
        <v>1351</v>
      </c>
    </row>
    <row r="52" spans="1:35" ht="24" customHeight="1">
      <c r="A52" s="2323" t="s">
        <v>1352</v>
      </c>
      <c r="B52" s="3689" t="s">
        <v>1353</v>
      </c>
      <c r="C52" s="3689"/>
      <c r="D52" s="1079">
        <f ca="1">ROUND(D45*'数据-取费表'!B41/(1+'数据-取费表'!C42),0)</f>
        <v>65</v>
      </c>
      <c r="E52" s="2322" t="s">
        <v>1354</v>
      </c>
      <c r="F52" s="2539">
        <f>'数据-取费表'!B41</f>
        <v>5.5000000000000007E-2</v>
      </c>
      <c r="G52" s="2540"/>
      <c r="H52" s="2529"/>
      <c r="I52" s="1798"/>
      <c r="J52" s="2508">
        <v>1</v>
      </c>
      <c r="K52" s="3754" t="s">
        <v>1355</v>
      </c>
      <c r="L52" s="3754"/>
      <c r="M52" s="2510" t="b">
        <f>D48</f>
        <v>0</v>
      </c>
      <c r="N52" s="2508" t="str">
        <f>E48</f>
        <v>销售额×税（费）率</v>
      </c>
      <c r="O52" s="2511">
        <f>F48</f>
        <v>5.5000000000000007E-2</v>
      </c>
    </row>
    <row r="53" spans="1:35" ht="12" customHeight="1">
      <c r="A53" s="2323" t="s">
        <v>1356</v>
      </c>
      <c r="B53" s="3715" t="s">
        <v>2286</v>
      </c>
      <c r="C53" s="3716"/>
      <c r="D53" s="1079">
        <f ca="1">ROUND(D45*'数据-取费表'!B41/(1+'数据-取费表'!C42),0)</f>
        <v>65</v>
      </c>
      <c r="E53" s="2322" t="s">
        <v>1354</v>
      </c>
      <c r="F53" s="2539">
        <f>'数据-取费表'!B41</f>
        <v>5.5000000000000007E-2</v>
      </c>
      <c r="G53" s="2540"/>
      <c r="H53" s="2529"/>
      <c r="I53" s="1798"/>
      <c r="J53" s="2508">
        <v>2</v>
      </c>
      <c r="K53" s="3754" t="s">
        <v>1357</v>
      </c>
      <c r="L53" s="3754"/>
      <c r="M53" s="2510">
        <f t="shared" ref="M53:O54" ca="1" si="0">D55</f>
        <v>1</v>
      </c>
      <c r="N53" s="2508" t="str">
        <f t="shared" si="0"/>
        <v>销售额×税（费）率</v>
      </c>
      <c r="O53" s="2511" t="str">
        <f t="shared" si="0"/>
        <v>免征</v>
      </c>
    </row>
    <row r="54" spans="1:35" ht="12" customHeight="1">
      <c r="A54" s="2323" t="s">
        <v>1358</v>
      </c>
      <c r="B54" s="3715" t="s">
        <v>2287</v>
      </c>
      <c r="C54" s="3716"/>
      <c r="D54" s="1079">
        <f ca="1">C68</f>
        <v>65</v>
      </c>
      <c r="E54" s="327" t="s">
        <v>1359</v>
      </c>
      <c r="F54" s="2539">
        <f>'数据-取费表'!B41</f>
        <v>5.5000000000000007E-2</v>
      </c>
      <c r="G54" s="2540"/>
      <c r="H54" s="2541"/>
      <c r="I54" s="1798"/>
      <c r="J54" s="2508">
        <v>3</v>
      </c>
      <c r="K54" s="3754" t="s">
        <v>1360</v>
      </c>
      <c r="L54" s="3754"/>
      <c r="M54" s="2510">
        <f t="shared" ca="1" si="0"/>
        <v>707</v>
      </c>
      <c r="N54" s="2508" t="str">
        <f t="shared" si="0"/>
        <v>增值额×税（费）率</v>
      </c>
      <c r="O54" s="2512" t="str">
        <f t="shared" si="0"/>
        <v>免征</v>
      </c>
    </row>
    <row r="55" spans="1:35" ht="24" customHeight="1">
      <c r="A55" s="3704" t="s">
        <v>1361</v>
      </c>
      <c r="B55" s="3705"/>
      <c r="C55" s="3705"/>
      <c r="D55" s="2312">
        <f ca="1">IF(H55="个人住宅",0,ROUND(D45*I55,0))</f>
        <v>1</v>
      </c>
      <c r="E55" s="2322" t="s">
        <v>1362</v>
      </c>
      <c r="F55" s="2539" t="str">
        <f>IF(H55="正常",I55,"免征")</f>
        <v>免征</v>
      </c>
      <c r="G55" s="2540"/>
      <c r="H55" s="2535"/>
      <c r="I55" s="165">
        <f>'数据-取费表'!B49</f>
        <v>5.0000000000000001E-4</v>
      </c>
      <c r="J55" s="2508">
        <f>IF(H59="非个人房产","",4)</f>
        <v>4</v>
      </c>
      <c r="K55" s="3754" t="str">
        <f>IF(H59="非个人房产","——","个人所得税")</f>
        <v>个人所得税</v>
      </c>
      <c r="L55" s="3754"/>
      <c r="M55" s="2513">
        <f ca="1">D59</f>
        <v>12</v>
      </c>
      <c r="N55" s="2028" t="str">
        <f>E59</f>
        <v>差额计税</v>
      </c>
      <c r="O55" s="2514">
        <f>F59</f>
        <v>0.01</v>
      </c>
    </row>
    <row r="56" spans="1:35" ht="24.75">
      <c r="A56" s="3704" t="s">
        <v>1363</v>
      </c>
      <c r="B56" s="3705"/>
      <c r="C56" s="3705"/>
      <c r="D56" s="2312">
        <f ca="1">IF(H56="个人住宅",D57,D58)</f>
        <v>707</v>
      </c>
      <c r="E56" s="2322" t="s">
        <v>1364</v>
      </c>
      <c r="F56" s="2539" t="str">
        <f>IF(H56="正常",F58,"免征")</f>
        <v>免征</v>
      </c>
      <c r="G56" s="2542" t="s">
        <v>1365</v>
      </c>
      <c r="H56" s="2543"/>
      <c r="I56" s="1799"/>
      <c r="J56" s="2508" t="str">
        <f>IF(项目基本情况!K6="上海银行",IF(J55="",4,J55+1),"")</f>
        <v/>
      </c>
      <c r="K56" s="3777" t="str">
        <f>IF(项目基本情况!K6="上海银行","其他处置费用","")</f>
        <v/>
      </c>
      <c r="L56" s="3778"/>
      <c r="M56" s="2510" t="str">
        <f>IF(项目基本情况!K6="上海银行",M69,"")</f>
        <v/>
      </c>
      <c r="N56" s="3777" t="str">
        <f>IF(项目基本情况!K6="上海银行","包含处置中涉及的律师、诉讼、拍卖、评估等费用","")</f>
        <v/>
      </c>
      <c r="O56" s="3780"/>
    </row>
    <row r="57" spans="1:35" ht="12.75">
      <c r="A57" s="2323" t="s">
        <v>1341</v>
      </c>
      <c r="B57" s="3715" t="s">
        <v>1366</v>
      </c>
      <c r="C57" s="3716"/>
      <c r="D57" s="1582">
        <v>0</v>
      </c>
      <c r="E57" s="324" t="s">
        <v>1343</v>
      </c>
      <c r="F57" s="302"/>
      <c r="G57" s="2540"/>
      <c r="H57" s="2544"/>
      <c r="I57" s="1799"/>
      <c r="J57" s="3754">
        <f>IF(AND(J55="",J56=""),4,IF(项目基本情况!K6="上海银行",结果表!J56+1,结果表!J55+1))</f>
        <v>5</v>
      </c>
      <c r="K57" s="3754" t="s">
        <v>1367</v>
      </c>
      <c r="L57" s="2515" t="s">
        <v>1368</v>
      </c>
      <c r="M57" s="2516"/>
      <c r="N57" s="2517">
        <f ca="1">SUMIF(M52:M56,"&lt;9e307")</f>
        <v>720</v>
      </c>
      <c r="O57" s="2518"/>
      <c r="P57" s="2674">
        <f ca="1">N57/M49</f>
        <v>0.57738572574178026</v>
      </c>
    </row>
    <row r="58" spans="1:35" ht="24.75">
      <c r="A58" s="2323" t="s">
        <v>1352</v>
      </c>
      <c r="B58" s="3715" t="s">
        <v>1369</v>
      </c>
      <c r="C58" s="3689"/>
      <c r="D58" s="2312">
        <f ca="1">IF(H58="转让取得",C81,C97)</f>
        <v>707</v>
      </c>
      <c r="E58" s="2322" t="s">
        <v>1364</v>
      </c>
      <c r="F58" s="302" t="s">
        <v>28</v>
      </c>
      <c r="G58" s="2540"/>
      <c r="H58" s="2543"/>
      <c r="I58" s="1799"/>
      <c r="J58" s="3754"/>
      <c r="K58" s="3754"/>
      <c r="L58" s="2515" t="s">
        <v>1370</v>
      </c>
      <c r="M58" s="2519"/>
      <c r="N58" s="2520" t="str">
        <f ca="1">NUMBERSTRING(INT(N57*10000),2)&amp;"元整"</f>
        <v>柒佰贰拾万元整</v>
      </c>
      <c r="O58" s="2521"/>
    </row>
    <row r="59" spans="1:35" ht="24.75" thickBot="1">
      <c r="A59" s="3757" t="s">
        <v>1371</v>
      </c>
      <c r="B59" s="3758"/>
      <c r="C59" s="3758"/>
      <c r="D59" s="2545">
        <f ca="1">IF(H59="非个人房产","——",IF(H59="个人住宅（满五唯一有凭证）",0,IF(H59="个人其他（无凭证）",ROUND(D45*F59,0),ROUND(C67*F59,0))))</f>
        <v>12</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5">
        <f>J57+1</f>
        <v>6</v>
      </c>
      <c r="K59" s="3754" t="s">
        <v>1372</v>
      </c>
      <c r="L59" s="2508" t="s">
        <v>1368</v>
      </c>
      <c r="M59" s="2522"/>
      <c r="N59" s="2523">
        <f ca="1">M49-N57</f>
        <v>527</v>
      </c>
      <c r="O59" s="2524"/>
    </row>
    <row r="60" spans="1:35" ht="12" customHeight="1">
      <c r="A60" s="1800"/>
      <c r="B60" s="1739"/>
      <c r="C60" s="1739"/>
      <c r="D60" s="1739"/>
      <c r="E60" s="1570"/>
      <c r="F60" s="1799"/>
      <c r="G60" s="1799"/>
      <c r="H60" s="1801"/>
      <c r="I60" s="129"/>
      <c r="J60" s="3756"/>
      <c r="K60" s="3754"/>
      <c r="L60" s="2515" t="s">
        <v>1370</v>
      </c>
      <c r="M60" s="2519"/>
      <c r="N60" s="2520" t="str">
        <f ca="1">NUMBERSTRING(INT(N59*10000),2)&amp;"元整"</f>
        <v>伍佰贰拾柒万元整</v>
      </c>
      <c r="O60" s="2521"/>
    </row>
    <row r="61" spans="1:35" ht="13.5" thickBot="1">
      <c r="A61" s="3702" t="s">
        <v>1373</v>
      </c>
      <c r="B61" s="3702"/>
      <c r="C61" s="3702"/>
      <c r="D61" s="3702"/>
      <c r="E61" s="3702"/>
      <c r="F61" s="1799"/>
      <c r="G61" s="1799"/>
      <c r="H61" s="1801"/>
      <c r="I61" s="129"/>
      <c r="J61" s="2508">
        <f>J59+1</f>
        <v>7</v>
      </c>
      <c r="K61" s="3754" t="s">
        <v>1374</v>
      </c>
      <c r="L61" s="3754"/>
      <c r="M61" s="2525"/>
      <c r="N61" s="2526">
        <f ca="1">ROUND(N59*10000/'数据-汇总表'!E3,0)</f>
        <v>3591</v>
      </c>
      <c r="O61" s="2527"/>
    </row>
    <row r="62" spans="1:35" ht="12.75">
      <c r="A62" s="3720" t="s">
        <v>1375</v>
      </c>
      <c r="B62" s="3721"/>
      <c r="C62" s="2009"/>
      <c r="D62" s="2009" t="s">
        <v>1376</v>
      </c>
      <c r="E62" s="166" t="s">
        <v>1377</v>
      </c>
      <c r="F62" s="1799"/>
      <c r="G62" s="1799"/>
      <c r="H62" s="1801"/>
      <c r="I62" s="129"/>
    </row>
    <row r="63" spans="1:35" ht="12.75">
      <c r="A63" s="173" t="s">
        <v>330</v>
      </c>
      <c r="B63" s="167" t="s">
        <v>1378</v>
      </c>
      <c r="C63" s="2549">
        <f ca="1">ROUND((C64+C65)/(1+'数据-取费表'!C42),0)</f>
        <v>1188</v>
      </c>
      <c r="D63" s="167"/>
      <c r="E63" s="168"/>
      <c r="F63" s="1799"/>
      <c r="G63" s="1799"/>
      <c r="H63" s="1801"/>
      <c r="I63" s="129"/>
      <c r="J63" s="3779" t="s">
        <v>1379</v>
      </c>
      <c r="K63" s="1324" t="s">
        <v>1380</v>
      </c>
      <c r="L63" s="1324">
        <f ca="1">IF(M49&gt;10000,M49*0.5%,IF(AND(M49&gt;1000,M49&lt;=10000),M49*1%,IF(AND(M49&gt;100,M49&lt;=1000),M49*3%,IF(AND(M49&gt;10,M49&lt;=100),M49*5%,M49*8%))))</f>
        <v>12.47</v>
      </c>
      <c r="M63" s="302">
        <f ca="1">ROUND(L63,1)</f>
        <v>12.5</v>
      </c>
      <c r="N63" s="2528"/>
      <c r="Z63" s="1744"/>
      <c r="AI63" s="1745"/>
    </row>
    <row r="64" spans="1:35" ht="14.25" customHeight="1">
      <c r="A64" s="169" t="s">
        <v>325</v>
      </c>
      <c r="B64" s="170" t="s">
        <v>1381</v>
      </c>
      <c r="C64" s="2550">
        <f ca="1">D45</f>
        <v>1247</v>
      </c>
      <c r="D64" s="170" t="s">
        <v>26</v>
      </c>
      <c r="E64" s="172"/>
      <c r="F64" s="1799"/>
      <c r="G64" s="1799"/>
      <c r="H64" s="1801"/>
      <c r="I64" s="129"/>
      <c r="J64" s="3779"/>
      <c r="K64" s="1324" t="s">
        <v>1382</v>
      </c>
      <c r="L64" s="1324">
        <f ca="1">IF(M49&gt;2000,M49*0.5%,IF(AND(M49&gt;1000,M49&lt;=2000),M49*0.6%,IF(AND(M49&gt;500,M49&lt;=1000),M49*0.7%,IF(AND(M49&gt;200,M49&lt;=500),M49*0.8%,IF(AND(M49&gt;100,M49&lt;=200),M49*0.9%,IF(AND(M49&gt;50,M49&lt;=100),M49*1%,IF(AND(M49&gt;20,M49&lt;=50),M49*1.5%,IF(AND(M49&gt;10,M49&lt;=20),M49*2%,IF(AND(M49&gt;1,M49&lt;=10),M49*2.5%)))))))))</f>
        <v>7.4820000000000002</v>
      </c>
      <c r="M64" s="302">
        <f t="shared" ref="M64:M65" ca="1" si="1">ROUND(L64,1)</f>
        <v>7.5</v>
      </c>
      <c r="N64" s="2529" t="s">
        <v>1383</v>
      </c>
      <c r="Z64" s="1744"/>
      <c r="AI64" s="1745"/>
    </row>
    <row r="65" spans="1:35" ht="14.25" customHeight="1">
      <c r="A65" s="169" t="s">
        <v>326</v>
      </c>
      <c r="B65" s="170" t="s">
        <v>1384</v>
      </c>
      <c r="C65" s="2551"/>
      <c r="D65" s="170"/>
      <c r="E65" s="172"/>
      <c r="F65" s="1799"/>
      <c r="G65" s="1799"/>
      <c r="H65" s="1801"/>
      <c r="I65" s="129"/>
      <c r="J65" s="3779"/>
      <c r="K65" s="1324" t="s">
        <v>1385</v>
      </c>
      <c r="L65" s="1324">
        <f ca="1">IF(M49&gt;1000,M49*0.1%,IF(AND(M49&gt;500,M49&lt;=1000),M49*0.5%,IF(AND(M49&gt;50,M49&lt;=500),M49*1%,IF(AND(M49&gt;1,M49&lt;=50),M49*1.5%))))</f>
        <v>1.2470000000000001</v>
      </c>
      <c r="M65" s="302">
        <f t="shared" ca="1" si="1"/>
        <v>1.2</v>
      </c>
      <c r="N65" s="2529" t="s">
        <v>1383</v>
      </c>
      <c r="Z65" s="1744"/>
      <c r="AI65" s="1745"/>
    </row>
    <row r="66" spans="1:35" ht="14.25" customHeight="1">
      <c r="A66" s="173" t="s">
        <v>327</v>
      </c>
      <c r="B66" s="174" t="s">
        <v>1386</v>
      </c>
      <c r="C66" s="2552"/>
      <c r="D66" s="174" t="s">
        <v>26</v>
      </c>
      <c r="E66" s="1330" t="s">
        <v>671</v>
      </c>
      <c r="F66" s="1799"/>
      <c r="G66" s="1799"/>
      <c r="H66" s="1801"/>
      <c r="I66" s="129"/>
      <c r="J66" s="3779"/>
      <c r="K66" s="1324" t="s">
        <v>1387</v>
      </c>
      <c r="L66" s="1324">
        <f ca="1">M49*0.5%</f>
        <v>6.2350000000000003</v>
      </c>
      <c r="M66" s="302">
        <f ca="1">IF(L66&gt;0.5,0.5,ROUND(L66,0))</f>
        <v>0.5</v>
      </c>
      <c r="N66" s="2529" t="s">
        <v>1388</v>
      </c>
      <c r="Z66" s="1744"/>
      <c r="AI66" s="1745"/>
    </row>
    <row r="67" spans="1:35" ht="14.25" customHeight="1">
      <c r="A67" s="173" t="s">
        <v>328</v>
      </c>
      <c r="B67" s="174" t="s">
        <v>1389</v>
      </c>
      <c r="C67" s="2553">
        <f ca="1">C63-C66</f>
        <v>1188</v>
      </c>
      <c r="D67" s="170" t="s">
        <v>26</v>
      </c>
      <c r="E67" s="172"/>
      <c r="F67" s="1799"/>
      <c r="G67" s="1799"/>
      <c r="H67" s="1801"/>
      <c r="I67" s="129"/>
      <c r="J67" s="3779"/>
      <c r="K67" s="1324" t="s">
        <v>1390</v>
      </c>
      <c r="L67" s="1324">
        <f ca="1">IF(M49&gt;=10000,(8.25+(M49-10000)*0.01%),IF(AND(M49&gt;=8000,M49&lt;10000),(7.85+(M49-8000)*0.02%),IF(AND(M49&gt;=5000,M49&lt;8000),(6.65+(M49-5000)*0.04%),IF(AND(M49&gt;=2000,M49&lt;5000),(4.25+(PM49-2000)*0.08%),IF(AND(M49&gt;=1000,M49&lt;2000),(2.75+(M49-1000)*0.15%),IF(AND(M49&gt;=100,M49&lt;1000),(0.5+(M49-100)*0.25%),IF(AND(M49&gt;0,M49&lt;100),M49*0.5%)))))))</f>
        <v>3.1204999999999998</v>
      </c>
      <c r="M67" s="302">
        <f ca="1">ROUND(L67*0.9,1)</f>
        <v>2.8</v>
      </c>
      <c r="N67" s="2528"/>
      <c r="Z67" s="1744"/>
      <c r="AI67" s="1745"/>
    </row>
    <row r="68" spans="1:35" ht="14.25" customHeight="1" thickBot="1">
      <c r="A68" s="176" t="s">
        <v>329</v>
      </c>
      <c r="B68" s="177" t="s">
        <v>1391</v>
      </c>
      <c r="C68" s="2554">
        <f ca="1">IF(C67&lt;=0,0,ROUND(C67*D68,0))</f>
        <v>65</v>
      </c>
      <c r="D68" s="2555">
        <f>'数据-取费表'!B41</f>
        <v>5.5000000000000007E-2</v>
      </c>
      <c r="E68" s="178"/>
      <c r="F68" s="1799"/>
      <c r="G68" s="1799"/>
      <c r="H68" s="1801"/>
      <c r="I68" s="129"/>
      <c r="J68" s="3779"/>
      <c r="K68" s="1324" t="s">
        <v>1392</v>
      </c>
      <c r="L68" s="1324">
        <f ca="1">IF(M49&gt;10000,M49*0.5%,IF(AND(M49&gt;5000,M49&lt;=10000),M49*1%,IF(AND(M49&gt;1000,M49&lt;=5000),M49*2%,IF(AND(M49&gt;200,M49&lt;=1000),M49*3%,M49*5%))))</f>
        <v>24.94</v>
      </c>
      <c r="M68" s="302">
        <f ca="1">ROUND(L68,1)</f>
        <v>24.9</v>
      </c>
      <c r="N68" s="2528"/>
      <c r="Z68" s="1744"/>
      <c r="AI68" s="1745"/>
    </row>
    <row r="69" spans="1:35" s="1764" customFormat="1" ht="16.5" customHeight="1">
      <c r="A69" s="1802"/>
      <c r="B69" s="1803"/>
      <c r="C69" s="1804"/>
      <c r="D69" s="1805"/>
      <c r="E69" s="1806"/>
      <c r="F69" s="1570"/>
      <c r="G69" s="1570"/>
      <c r="H69" s="1569"/>
      <c r="I69" s="1739"/>
      <c r="J69" s="3779"/>
      <c r="K69" s="1324" t="s">
        <v>1393</v>
      </c>
      <c r="L69" s="1324"/>
      <c r="M69" s="302">
        <f ca="1">ROUND(SUM(M63:M68),0)</f>
        <v>49</v>
      </c>
      <c r="N69" s="2530">
        <f ca="1">M69/M49</f>
        <v>3.929430633520449E-2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41" t="s">
        <v>1394</v>
      </c>
      <c r="B70" s="3742"/>
      <c r="C70" s="3742"/>
      <c r="D70" s="3742"/>
      <c r="E70" s="3742"/>
      <c r="F70" s="3742"/>
      <c r="G70" s="3742"/>
      <c r="H70" s="3742"/>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20" t="s">
        <v>1375</v>
      </c>
      <c r="B71" s="3721"/>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1188</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6</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15" t="s">
        <v>1402</v>
      </c>
      <c r="F76" s="3689"/>
      <c r="G76" s="3689"/>
      <c r="H76" s="374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6</v>
      </c>
      <c r="D78" s="2562">
        <f>'数据-取费表'!B43</f>
        <v>5.000000000000001E-3</v>
      </c>
      <c r="E78" s="3699" t="s">
        <v>1406</v>
      </c>
      <c r="F78" s="3700"/>
      <c r="G78" s="3700"/>
      <c r="H78" s="370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1182</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197</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707</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41" t="s">
        <v>1410</v>
      </c>
      <c r="B83" s="3742"/>
      <c r="C83" s="3742"/>
      <c r="D83" s="3742"/>
      <c r="E83" s="3742"/>
      <c r="F83" s="3742"/>
      <c r="G83" s="3742"/>
      <c r="H83" s="374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20" t="s">
        <v>1375</v>
      </c>
      <c r="B84" s="3721"/>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1188</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6</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781" t="s">
        <v>2128</v>
      </c>
      <c r="H90" s="3782"/>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699" t="s">
        <v>1419</v>
      </c>
      <c r="F91" s="3700"/>
      <c r="G91" s="3700"/>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699" t="s">
        <v>1422</v>
      </c>
      <c r="F92" s="3700"/>
      <c r="G92" s="3700"/>
      <c r="H92" s="370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6</v>
      </c>
      <c r="D93" s="2562">
        <f>'数据-取费表'!B43</f>
        <v>5.000000000000001E-3</v>
      </c>
      <c r="E93" s="3699" t="s">
        <v>1406</v>
      </c>
      <c r="F93" s="3700"/>
      <c r="G93" s="3700"/>
      <c r="H93" s="370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10" t="s">
        <v>1426</v>
      </c>
      <c r="F94" s="3711"/>
      <c r="G94" s="3711"/>
      <c r="H94" s="3712"/>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1182</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197</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707</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58" t="s">
        <v>1428</v>
      </c>
      <c r="B100" s="3659"/>
      <c r="C100" s="3659"/>
      <c r="D100" s="3701"/>
      <c r="E100" s="3659" t="s">
        <v>1429</v>
      </c>
      <c r="F100" s="3659"/>
      <c r="G100" s="3659"/>
      <c r="H100" s="3701"/>
      <c r="I100" s="129"/>
    </row>
    <row r="101" spans="1:35" ht="18.75" customHeight="1">
      <c r="A101" s="3762" t="s">
        <v>1430</v>
      </c>
      <c r="B101" s="3763"/>
      <c r="C101" s="2570" t="str">
        <f>C4</f>
        <v>比较法-商业</v>
      </c>
      <c r="D101" s="2571" t="str">
        <f>D4</f>
        <v>收益法商</v>
      </c>
      <c r="E101" s="3776" t="s">
        <v>1431</v>
      </c>
      <c r="F101" s="3733"/>
      <c r="G101" s="1818" t="s">
        <v>1432</v>
      </c>
      <c r="H101" s="2580">
        <f ca="1">H118</f>
        <v>1247</v>
      </c>
      <c r="I101" s="129"/>
    </row>
    <row r="102" spans="1:35" ht="18.75" customHeight="1">
      <c r="A102" s="3735" t="s">
        <v>1433</v>
      </c>
      <c r="B102" s="2569" t="s">
        <v>1432</v>
      </c>
      <c r="C102" s="2570">
        <f ca="1">IF(D32="楼面单价",ROUND(C19,0),C19)</f>
        <v>1457</v>
      </c>
      <c r="D102" s="2571">
        <f ca="1">IF(D32="楼面单价",ROUND(D19,0),D19)</f>
        <v>932</v>
      </c>
      <c r="E102" s="3776"/>
      <c r="F102" s="3733"/>
      <c r="G102" s="1818" t="s">
        <v>1434</v>
      </c>
      <c r="H102" s="2540">
        <f ca="1">I118</f>
        <v>45249</v>
      </c>
      <c r="I102" s="129"/>
    </row>
    <row r="103" spans="1:35" ht="42.75" customHeight="1">
      <c r="A103" s="3735"/>
      <c r="B103" s="2569" t="s">
        <v>1434</v>
      </c>
      <c r="C103" s="2572">
        <f ca="1">C20</f>
        <v>52864</v>
      </c>
      <c r="D103" s="2573">
        <f ca="1">D20</f>
        <v>33826</v>
      </c>
      <c r="E103" s="3770" t="s">
        <v>1435</v>
      </c>
      <c r="F103" s="3771"/>
      <c r="G103" s="1819" t="s">
        <v>1436</v>
      </c>
      <c r="H103" s="2580">
        <f>IF(D36="正常操作",H104+H105+H106,H105+H106)</f>
        <v>0</v>
      </c>
      <c r="I103" s="129"/>
    </row>
    <row r="104" spans="1:35" ht="18.75" customHeight="1">
      <c r="A104" s="3735" t="s">
        <v>1437</v>
      </c>
      <c r="B104" s="2574" t="s">
        <v>1432</v>
      </c>
      <c r="C104" s="2575">
        <f ca="1">H118</f>
        <v>1247</v>
      </c>
      <c r="D104" s="2576"/>
      <c r="E104" s="1666" t="s">
        <v>1438</v>
      </c>
      <c r="F104" s="1658"/>
      <c r="G104" s="1819" t="s">
        <v>1436</v>
      </c>
      <c r="H104" s="2581">
        <f>IF(D36="同一抵押权人同一抵押物续贷",C36&amp;"（续贷，未扣减，详见特别提示）",C36)</f>
        <v>0</v>
      </c>
      <c r="I104" s="129"/>
    </row>
    <row r="105" spans="1:35" ht="18.75" customHeight="1" thickBot="1">
      <c r="A105" s="3736"/>
      <c r="B105" s="2577" t="s">
        <v>1434</v>
      </c>
      <c r="C105" s="2578">
        <f ca="1">I118</f>
        <v>45249</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32" t="str">
        <f>IF(项目基本情况!E8="已注销","——","3.房地产抵押价值")</f>
        <v>3.房地产抵押价值</v>
      </c>
      <c r="F107" s="3733"/>
      <c r="G107" s="1818" t="s">
        <v>1432</v>
      </c>
      <c r="H107" s="2580">
        <f ca="1">IF(E107="——","——",H101-H103)</f>
        <v>1247</v>
      </c>
      <c r="I107" s="129"/>
    </row>
    <row r="108" spans="1:35" ht="18.75" customHeight="1">
      <c r="A108" s="129"/>
      <c r="B108" s="129"/>
      <c r="C108" s="129"/>
      <c r="D108" s="129"/>
      <c r="E108" s="3732"/>
      <c r="F108" s="3733"/>
      <c r="G108" s="1818" t="s">
        <v>1434</v>
      </c>
      <c r="H108" s="2540">
        <f ca="1">IF(H107=H101,H102,ROUND(H107*10000/'数据-汇总表'!E3,0))</f>
        <v>45249</v>
      </c>
      <c r="I108" s="129"/>
    </row>
    <row r="109" spans="1:35" ht="18.75" customHeight="1">
      <c r="A109" s="129"/>
      <c r="B109" s="129"/>
      <c r="C109" s="129"/>
      <c r="D109" s="129"/>
      <c r="E109" s="3732" t="str">
        <f>IF(项目基本情况!E8="已注销及未注销","4.抵押担保权已注销时的房地产抵押价值",IF(项目基本情况!E8="已注销","3.抵押担保权已注销时的房地产抵押价值","——"))</f>
        <v>——</v>
      </c>
      <c r="F109" s="3733"/>
      <c r="G109" s="1818" t="s">
        <v>1432</v>
      </c>
      <c r="H109" s="2583" t="str">
        <f>IF(E109="——","——",H101-H105-H106)</f>
        <v>——</v>
      </c>
      <c r="I109" s="129"/>
    </row>
    <row r="110" spans="1:35" ht="18.75" customHeight="1">
      <c r="A110" s="129"/>
      <c r="B110" s="129"/>
      <c r="C110" s="129"/>
      <c r="D110" s="129"/>
      <c r="E110" s="3732"/>
      <c r="F110" s="3733"/>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34"/>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37" t="s">
        <v>1440</v>
      </c>
      <c r="F113" s="3737"/>
      <c r="G113" s="3737"/>
      <c r="H113" s="3737"/>
      <c r="I113" s="129"/>
    </row>
    <row r="114" spans="1:27" ht="3.75" customHeight="1">
      <c r="A114" s="1739"/>
      <c r="B114" s="1739"/>
      <c r="C114" s="1739"/>
      <c r="D114" s="1739"/>
      <c r="E114" s="1800"/>
      <c r="F114" s="1800"/>
      <c r="G114" s="1800"/>
      <c r="H114" s="1800"/>
      <c r="I114" s="1739"/>
    </row>
    <row r="115" spans="1:27" ht="18.75" customHeight="1">
      <c r="A115" s="3747" t="s">
        <v>1442</v>
      </c>
      <c r="B115" s="3748"/>
      <c r="C115" s="3748"/>
      <c r="D115" s="3748"/>
      <c r="E115" s="3748"/>
      <c r="F115" s="3748"/>
      <c r="G115" s="3748"/>
      <c r="H115" s="3748"/>
      <c r="I115" s="3749"/>
    </row>
    <row r="116" spans="1:27" ht="27" customHeight="1">
      <c r="A116" s="3703" t="s">
        <v>1443</v>
      </c>
      <c r="B116" s="3738" t="s">
        <v>1444</v>
      </c>
      <c r="C116" s="3738" t="s">
        <v>1445</v>
      </c>
      <c r="D116" s="3751" t="s">
        <v>1446</v>
      </c>
      <c r="E116" s="3752"/>
      <c r="F116" s="3746" t="s">
        <v>1447</v>
      </c>
      <c r="G116" s="3746"/>
      <c r="H116" s="3703" t="s">
        <v>1448</v>
      </c>
      <c r="I116" s="3703"/>
    </row>
    <row r="117" spans="1:27" ht="18.75" customHeight="1">
      <c r="A117" s="3703"/>
      <c r="B117" s="3739"/>
      <c r="C117" s="3739"/>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275.55</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1247</v>
      </c>
      <c r="I118" s="2317">
        <f ca="1">ROUND(IF(D32="楼面单价",C32,H118*10000/B118),0)</f>
        <v>45249</v>
      </c>
    </row>
    <row r="119" spans="1:27" ht="18.75" customHeight="1">
      <c r="A119" s="3703" t="s">
        <v>1452</v>
      </c>
      <c r="B119" s="3703"/>
      <c r="C119" s="3703"/>
      <c r="D119" s="3743" t="str">
        <f>NUMBERSTRING(INT(D118*10000),2)&amp;"元整"</f>
        <v>零元整</v>
      </c>
      <c r="E119" s="3745"/>
      <c r="F119" s="3743" t="str">
        <f>NUMBERSTRING(INT(F118*10000),2)&amp;"元整"</f>
        <v>零元整</v>
      </c>
      <c r="G119" s="3745"/>
      <c r="H119" s="3743" t="str">
        <f ca="1">NUMBERSTRING(INT(H118*10000),2)&amp;"元整"</f>
        <v>壹仟贰佰肆拾柒万元整</v>
      </c>
      <c r="I119" s="3745"/>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3" t="s">
        <v>1452</v>
      </c>
      <c r="B121" s="3744"/>
      <c r="C121" s="3745"/>
      <c r="D121" s="3743" t="str">
        <f>IF(D120=0,"零元整",NUMBERSTRING(INT(D120*10000),2)&amp;"元整")</f>
        <v>零元整</v>
      </c>
      <c r="E121" s="3744"/>
      <c r="F121" s="3744"/>
      <c r="G121" s="3744"/>
      <c r="H121" s="3744"/>
      <c r="I121" s="3745"/>
      <c r="AA121" s="720"/>
    </row>
    <row r="122" spans="1:27" ht="18.75" customHeight="1">
      <c r="A122" s="3734" t="str">
        <f>IF(项目基本情况!B9="房地产市场价值","",MID(E107,3,LEN(E107)-2))</f>
        <v>房地产抵押价值</v>
      </c>
      <c r="B122" s="3734"/>
      <c r="C122" s="3734"/>
      <c r="D122" s="3767">
        <f ca="1">H107</f>
        <v>1247</v>
      </c>
      <c r="E122" s="3768"/>
      <c r="F122" s="3768"/>
      <c r="G122" s="3768"/>
      <c r="H122" s="3768"/>
      <c r="I122" s="3769"/>
      <c r="AA122" s="720"/>
    </row>
    <row r="123" spans="1:27" ht="18.75" customHeight="1">
      <c r="A123" s="3703" t="s">
        <v>1452</v>
      </c>
      <c r="B123" s="3703"/>
      <c r="C123" s="3703"/>
      <c r="D123" s="3743" t="str">
        <f ca="1">NUMBERSTRING(INT(D122*10000),2)&amp;"元整"</f>
        <v>壹仟贰佰肆拾柒万元整</v>
      </c>
      <c r="E123" s="3744"/>
      <c r="F123" s="3744"/>
      <c r="G123" s="3744"/>
      <c r="H123" s="3744"/>
      <c r="I123" s="3745"/>
      <c r="AA123" s="720"/>
    </row>
    <row r="124" spans="1:27" ht="18.75" customHeight="1">
      <c r="A124" s="3734" t="str">
        <f>IF(项目基本情况!B9="房地产市场价值","",MID(E109,3,LEN(E109)-2))</f>
        <v/>
      </c>
      <c r="B124" s="3734"/>
      <c r="C124" s="3734"/>
      <c r="D124" s="3767" t="str">
        <f>H109</f>
        <v>——</v>
      </c>
      <c r="E124" s="3768"/>
      <c r="F124" s="3768"/>
      <c r="G124" s="3768"/>
      <c r="H124" s="3768"/>
      <c r="I124" s="3769"/>
      <c r="AA124" s="720"/>
    </row>
    <row r="125" spans="1:27" ht="18.75" customHeight="1">
      <c r="A125" s="3703" t="s">
        <v>1452</v>
      </c>
      <c r="B125" s="3703"/>
      <c r="C125" s="3703"/>
      <c r="D125" s="3743" t="e">
        <f>NUMBERSTRING(INT(D124*10000),2)&amp;"元整"</f>
        <v>#VALUE!</v>
      </c>
      <c r="E125" s="3744"/>
      <c r="F125" s="3744"/>
      <c r="G125" s="3744"/>
      <c r="H125" s="3744"/>
      <c r="I125" s="3745"/>
      <c r="AA125" s="720"/>
    </row>
    <row r="126" spans="1:27" ht="18.75" customHeight="1">
      <c r="A126" s="3734" t="str">
        <f>IF(项目基本情况!B9="房地产市场价值","",MID(E111,3,LEN(E111)-2))</f>
        <v/>
      </c>
      <c r="B126" s="3734"/>
      <c r="C126" s="3734"/>
      <c r="D126" s="3767" t="str">
        <f>H111</f>
        <v>——</v>
      </c>
      <c r="E126" s="3768"/>
      <c r="F126" s="3768"/>
      <c r="G126" s="3768"/>
      <c r="H126" s="3768"/>
      <c r="I126" s="3769"/>
      <c r="AA126" s="720"/>
    </row>
    <row r="127" spans="1:27" ht="18.75" customHeight="1">
      <c r="A127" s="3703" t="s">
        <v>1452</v>
      </c>
      <c r="B127" s="3703"/>
      <c r="C127" s="3703"/>
      <c r="D127" s="3743" t="e">
        <f>NUMBERSTRING(INT(D126*10000),2)&amp;"元整"</f>
        <v>#VALUE!</v>
      </c>
      <c r="E127" s="3744"/>
      <c r="F127" s="3744"/>
      <c r="G127" s="3744"/>
      <c r="H127" s="3744"/>
      <c r="I127" s="3745"/>
      <c r="AA127" s="720"/>
    </row>
    <row r="128" spans="1:27" ht="21.75" customHeight="1">
      <c r="A128" s="3750" t="s">
        <v>1453</v>
      </c>
      <c r="B128" s="3750"/>
      <c r="C128" s="3750"/>
      <c r="D128" s="3750"/>
      <c r="E128" s="3750"/>
      <c r="F128" s="3750"/>
      <c r="G128" s="3750"/>
      <c r="H128" s="3750"/>
      <c r="I128" s="3750"/>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575" t="str">
        <f>项目基本情况!B1</f>
        <v>北京市昌平区英才南一街15号院1号楼等13栋部分用房房地产抵押价值预评估</v>
      </c>
      <c r="C37" s="3575"/>
      <c r="D37" s="3575"/>
      <c r="E37" s="3575"/>
      <c r="F37" s="3575"/>
      <c r="G37" s="3575"/>
      <c r="H37" s="3575"/>
      <c r="I37" s="3575"/>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f>IF(E1="项目模式",IF(C2="——",ROUND(C49*D3/10000,0),ROUND(C49*D3/10000,0)-D2),IF(E1="单套模式",IF(C2="——",ROUND(C49*D3/10000,4),ROUND(C49*D3/10000,4)-D2)))</f>
        <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f>IF(C2="——",C49,ROUND(B2*10000/D3,0))</f>
        <v>54409</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01" t="s">
        <v>1667</v>
      </c>
      <c r="D4" s="3802"/>
      <c r="E4" s="3803" t="s">
        <v>1668</v>
      </c>
      <c r="F4" s="3804"/>
      <c r="G4" s="3801" t="s">
        <v>1669</v>
      </c>
      <c r="H4" s="3802"/>
      <c r="I4" s="3801" t="s">
        <v>1670</v>
      </c>
      <c r="J4" s="3802"/>
      <c r="K4" s="1880" t="s">
        <v>1671</v>
      </c>
      <c r="L4" s="2699"/>
      <c r="M4" s="2700"/>
      <c r="N4" s="2700"/>
      <c r="O4" s="2700"/>
      <c r="P4" s="3805" t="s">
        <v>1672</v>
      </c>
      <c r="Q4" s="3806"/>
      <c r="R4" s="3811" t="s">
        <v>1668</v>
      </c>
      <c r="S4" s="3812"/>
      <c r="T4" s="3811" t="s">
        <v>1669</v>
      </c>
      <c r="U4" s="3812"/>
      <c r="V4" s="3817" t="s">
        <v>1670</v>
      </c>
      <c r="W4" s="3817"/>
      <c r="X4" s="1347"/>
      <c r="Y4" s="3811" t="s">
        <v>1672</v>
      </c>
      <c r="Z4" s="3812"/>
      <c r="AA4" s="3798" t="s">
        <v>1668</v>
      </c>
      <c r="AB4" s="3798" t="s">
        <v>1669</v>
      </c>
      <c r="AC4" s="3798" t="s">
        <v>1670</v>
      </c>
    </row>
    <row r="5" spans="1:29" ht="15">
      <c r="A5" s="358"/>
      <c r="B5" s="359"/>
      <c r="C5" s="3825" t="s">
        <v>1673</v>
      </c>
      <c r="D5" s="3821"/>
      <c r="E5" s="3828" t="s">
        <v>3462</v>
      </c>
      <c r="F5" s="3829"/>
      <c r="G5" s="3820" t="s">
        <v>3516</v>
      </c>
      <c r="H5" s="3821"/>
      <c r="I5" s="3820" t="s">
        <v>3436</v>
      </c>
      <c r="J5" s="3821"/>
      <c r="K5" s="1881"/>
      <c r="L5" s="2699"/>
      <c r="M5" s="2700"/>
      <c r="N5" s="2700"/>
      <c r="O5" s="2700"/>
      <c r="P5" s="3807"/>
      <c r="Q5" s="3808"/>
      <c r="R5" s="3813"/>
      <c r="S5" s="3814"/>
      <c r="T5" s="3813"/>
      <c r="U5" s="3814"/>
      <c r="V5" s="3817"/>
      <c r="W5" s="3817"/>
      <c r="X5" s="1347"/>
      <c r="Y5" s="3813"/>
      <c r="Z5" s="3814"/>
      <c r="AA5" s="3799"/>
      <c r="AB5" s="3799"/>
      <c r="AC5" s="3799"/>
    </row>
    <row r="6" spans="1:29" ht="15.75" thickBot="1">
      <c r="A6" s="360"/>
      <c r="B6" s="361"/>
      <c r="C6" s="3818" t="s">
        <v>1677</v>
      </c>
      <c r="D6" s="3819"/>
      <c r="E6" s="3826" t="s">
        <v>1677</v>
      </c>
      <c r="F6" s="3827"/>
      <c r="G6" s="3818" t="s">
        <v>1677</v>
      </c>
      <c r="H6" s="3819"/>
      <c r="I6" s="3818" t="s">
        <v>1677</v>
      </c>
      <c r="J6" s="3819"/>
      <c r="K6" s="1881" t="s">
        <v>1678</v>
      </c>
      <c r="L6" s="2699"/>
      <c r="M6" s="2700"/>
      <c r="N6" s="2700"/>
      <c r="O6" s="2700"/>
      <c r="P6" s="3809"/>
      <c r="Q6" s="3810"/>
      <c r="R6" s="3813"/>
      <c r="S6" s="3814"/>
      <c r="T6" s="3815"/>
      <c r="U6" s="3816"/>
      <c r="V6" s="3817"/>
      <c r="W6" s="3817"/>
      <c r="X6" s="1347"/>
      <c r="Y6" s="3815"/>
      <c r="Z6" s="3816"/>
      <c r="AA6" s="3800"/>
      <c r="AB6" s="3800"/>
      <c r="AC6" s="3800"/>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2"/>
      <c r="L7" s="2701"/>
      <c r="M7" s="2702"/>
      <c r="N7" s="2702"/>
      <c r="O7" s="2702"/>
      <c r="P7" s="3822" t="s">
        <v>1680</v>
      </c>
      <c r="Q7" s="3824"/>
      <c r="R7" s="696" t="s">
        <v>20</v>
      </c>
      <c r="S7" s="697">
        <f t="shared" ref="S7:S15" si="0">F7</f>
        <v>100</v>
      </c>
      <c r="T7" s="696" t="s">
        <v>20</v>
      </c>
      <c r="U7" s="697">
        <f t="shared" ref="U7:U15" si="1">H7</f>
        <v>100</v>
      </c>
      <c r="V7" s="696" t="s">
        <v>20</v>
      </c>
      <c r="W7" s="697">
        <f t="shared" ref="W7:W15" si="2">J7</f>
        <v>100</v>
      </c>
      <c r="X7" s="698"/>
      <c r="Y7" s="3822" t="s">
        <v>1680</v>
      </c>
      <c r="Z7" s="3823"/>
      <c r="AA7" s="699">
        <f>D7/F7</f>
        <v>1</v>
      </c>
      <c r="AB7" s="699">
        <f>D7/H7</f>
        <v>1</v>
      </c>
      <c r="AC7" s="699">
        <f>D7/J7</f>
        <v>1</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22" t="s">
        <v>1683</v>
      </c>
      <c r="Q8" s="3823"/>
      <c r="R8" s="696" t="s">
        <v>20</v>
      </c>
      <c r="S8" s="697">
        <f t="shared" si="0"/>
        <v>100</v>
      </c>
      <c r="T8" s="696" t="s">
        <v>20</v>
      </c>
      <c r="U8" s="697">
        <f t="shared" si="1"/>
        <v>100</v>
      </c>
      <c r="V8" s="696" t="s">
        <v>20</v>
      </c>
      <c r="W8" s="697">
        <f t="shared" si="2"/>
        <v>100</v>
      </c>
      <c r="X8" s="698"/>
      <c r="Y8" s="3822" t="s">
        <v>1683</v>
      </c>
      <c r="Z8" s="3823"/>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797" t="s">
        <v>1686</v>
      </c>
      <c r="Q9" s="1335" t="str">
        <f t="shared" ref="Q9:Q15" si="6">B9</f>
        <v>用途</v>
      </c>
      <c r="R9" s="696" t="s">
        <v>14</v>
      </c>
      <c r="S9" s="697">
        <f t="shared" si="0"/>
        <v>100</v>
      </c>
      <c r="T9" s="696" t="s">
        <v>14</v>
      </c>
      <c r="U9" s="697">
        <f t="shared" si="1"/>
        <v>100</v>
      </c>
      <c r="V9" s="696" t="s">
        <v>14</v>
      </c>
      <c r="W9" s="697">
        <f t="shared" si="2"/>
        <v>100</v>
      </c>
      <c r="X9" s="698"/>
      <c r="Y9" s="3690"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797"/>
      <c r="Q10" s="1335" t="str">
        <f t="shared" si="6"/>
        <v>土地使用年限（年）</v>
      </c>
      <c r="R10" s="696" t="s">
        <v>14</v>
      </c>
      <c r="S10" s="697">
        <f t="shared" si="0"/>
        <v>100</v>
      </c>
      <c r="T10" s="696" t="s">
        <v>14</v>
      </c>
      <c r="U10" s="697">
        <f t="shared" si="1"/>
        <v>100</v>
      </c>
      <c r="V10" s="696" t="s">
        <v>14</v>
      </c>
      <c r="W10" s="697">
        <f t="shared" si="2"/>
        <v>100</v>
      </c>
      <c r="X10" s="698"/>
      <c r="Y10" s="3690"/>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797"/>
      <c r="Q11" s="1335" t="str">
        <f t="shared" si="6"/>
        <v>容积率</v>
      </c>
      <c r="R11" s="696" t="s">
        <v>18</v>
      </c>
      <c r="S11" s="697">
        <f t="shared" si="0"/>
        <v>100</v>
      </c>
      <c r="T11" s="696" t="s">
        <v>18</v>
      </c>
      <c r="U11" s="697">
        <f t="shared" si="1"/>
        <v>100</v>
      </c>
      <c r="V11" s="696" t="s">
        <v>18</v>
      </c>
      <c r="W11" s="697">
        <f t="shared" si="2"/>
        <v>100</v>
      </c>
      <c r="X11" s="698"/>
      <c r="Y11" s="3690"/>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797"/>
      <c r="Q12" s="1335">
        <f t="shared" si="6"/>
        <v>111</v>
      </c>
      <c r="R12" s="696" t="s">
        <v>18</v>
      </c>
      <c r="S12" s="697">
        <f t="shared" si="0"/>
        <v>100</v>
      </c>
      <c r="T12" s="696" t="s">
        <v>18</v>
      </c>
      <c r="U12" s="697">
        <f t="shared" si="1"/>
        <v>100</v>
      </c>
      <c r="V12" s="696" t="s">
        <v>18</v>
      </c>
      <c r="W12" s="697">
        <f t="shared" si="2"/>
        <v>100</v>
      </c>
      <c r="X12" s="698"/>
      <c r="Y12" s="3690"/>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797"/>
      <c r="Q13" s="1335">
        <f t="shared" si="6"/>
        <v>111</v>
      </c>
      <c r="R13" s="696" t="s">
        <v>18</v>
      </c>
      <c r="S13" s="697">
        <f t="shared" si="0"/>
        <v>100</v>
      </c>
      <c r="T13" s="696" t="s">
        <v>18</v>
      </c>
      <c r="U13" s="697">
        <f t="shared" si="1"/>
        <v>100</v>
      </c>
      <c r="V13" s="696" t="s">
        <v>18</v>
      </c>
      <c r="W13" s="697">
        <f t="shared" si="2"/>
        <v>100</v>
      </c>
      <c r="X13" s="698"/>
      <c r="Y13" s="3690"/>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797"/>
      <c r="Q14" s="1335">
        <f t="shared" si="6"/>
        <v>111</v>
      </c>
      <c r="R14" s="696" t="s">
        <v>18</v>
      </c>
      <c r="S14" s="697">
        <f t="shared" si="0"/>
        <v>100</v>
      </c>
      <c r="T14" s="696" t="s">
        <v>18</v>
      </c>
      <c r="U14" s="697">
        <f t="shared" si="1"/>
        <v>100</v>
      </c>
      <c r="V14" s="696" t="s">
        <v>18</v>
      </c>
      <c r="W14" s="697">
        <f t="shared" si="2"/>
        <v>100</v>
      </c>
      <c r="X14" s="698"/>
      <c r="Y14" s="3690"/>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795" t="s">
        <v>1691</v>
      </c>
      <c r="Q15" s="1344" t="str">
        <f t="shared" si="6"/>
        <v>居住社区成熟度</v>
      </c>
      <c r="R15" s="700" t="s">
        <v>18</v>
      </c>
      <c r="S15" s="701">
        <f t="shared" si="0"/>
        <v>100</v>
      </c>
      <c r="T15" s="700" t="s">
        <v>18</v>
      </c>
      <c r="U15" s="701">
        <f t="shared" si="1"/>
        <v>103</v>
      </c>
      <c r="V15" s="700" t="s">
        <v>18</v>
      </c>
      <c r="W15" s="701">
        <f t="shared" si="2"/>
        <v>103</v>
      </c>
      <c r="X15" s="1347"/>
      <c r="Y15" s="3788"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796"/>
      <c r="Q16" s="1344"/>
      <c r="R16" s="700"/>
      <c r="S16" s="701"/>
      <c r="T16" s="700"/>
      <c r="U16" s="701"/>
      <c r="V16" s="700"/>
      <c r="W16" s="701"/>
      <c r="X16" s="1347"/>
      <c r="Y16" s="3789"/>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796"/>
      <c r="Q17" s="1344" t="str">
        <f>B17</f>
        <v>交通便捷度</v>
      </c>
      <c r="R17" s="700" t="s">
        <v>18</v>
      </c>
      <c r="S17" s="701">
        <f>F17</f>
        <v>100</v>
      </c>
      <c r="T17" s="700" t="s">
        <v>18</v>
      </c>
      <c r="U17" s="701">
        <f>H17</f>
        <v>103</v>
      </c>
      <c r="V17" s="700" t="s">
        <v>18</v>
      </c>
      <c r="W17" s="701">
        <f>J17</f>
        <v>103</v>
      </c>
      <c r="X17" s="1347"/>
      <c r="Y17" s="3789"/>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796"/>
      <c r="Q18" s="1344"/>
      <c r="R18" s="700"/>
      <c r="S18" s="701"/>
      <c r="T18" s="700"/>
      <c r="U18" s="701"/>
      <c r="V18" s="700"/>
      <c r="W18" s="701"/>
      <c r="X18" s="1347"/>
      <c r="Y18" s="3789"/>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796"/>
      <c r="Q19" s="1344" t="str">
        <f>B19</f>
        <v>公共配套设施</v>
      </c>
      <c r="R19" s="700" t="s">
        <v>18</v>
      </c>
      <c r="S19" s="701">
        <f>F19</f>
        <v>100</v>
      </c>
      <c r="T19" s="700" t="s">
        <v>18</v>
      </c>
      <c r="U19" s="701">
        <f>H19</f>
        <v>102</v>
      </c>
      <c r="V19" s="700" t="s">
        <v>18</v>
      </c>
      <c r="W19" s="701">
        <f>J19</f>
        <v>102</v>
      </c>
      <c r="X19" s="1347"/>
      <c r="Y19" s="3789"/>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796"/>
      <c r="Q20" s="1344"/>
      <c r="R20" s="700"/>
      <c r="S20" s="701"/>
      <c r="T20" s="700"/>
      <c r="U20" s="701"/>
      <c r="V20" s="700"/>
      <c r="W20" s="701"/>
      <c r="X20" s="1347"/>
      <c r="Y20" s="3789"/>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796"/>
      <c r="Q21" s="1344" t="str">
        <f>B21</f>
        <v>基础设施水平</v>
      </c>
      <c r="R21" s="700" t="s">
        <v>14</v>
      </c>
      <c r="S21" s="701">
        <f>F21</f>
        <v>100</v>
      </c>
      <c r="T21" s="700" t="s">
        <v>14</v>
      </c>
      <c r="U21" s="701">
        <f>H21</f>
        <v>100</v>
      </c>
      <c r="V21" s="700" t="s">
        <v>14</v>
      </c>
      <c r="W21" s="701">
        <f>J21</f>
        <v>100</v>
      </c>
      <c r="X21" s="1347"/>
      <c r="Y21" s="3789"/>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796"/>
      <c r="Q22" s="1344"/>
      <c r="R22" s="700"/>
      <c r="S22" s="701"/>
      <c r="T22" s="700"/>
      <c r="U22" s="701"/>
      <c r="V22" s="700"/>
      <c r="W22" s="701"/>
      <c r="X22" s="1347"/>
      <c r="Y22" s="3789"/>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796"/>
      <c r="Q23" s="1344" t="str">
        <f>B23</f>
        <v>自然及人文环境</v>
      </c>
      <c r="R23" s="700" t="s">
        <v>18</v>
      </c>
      <c r="S23" s="701">
        <f>F23</f>
        <v>98</v>
      </c>
      <c r="T23" s="700" t="s">
        <v>18</v>
      </c>
      <c r="U23" s="701">
        <f>H23</f>
        <v>98</v>
      </c>
      <c r="V23" s="700" t="s">
        <v>18</v>
      </c>
      <c r="W23" s="701">
        <f>J23</f>
        <v>100</v>
      </c>
      <c r="X23" s="1347"/>
      <c r="Y23" s="3789"/>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796"/>
      <c r="Q24" s="1344"/>
      <c r="R24" s="700"/>
      <c r="S24" s="701"/>
      <c r="T24" s="700"/>
      <c r="U24" s="701"/>
      <c r="V24" s="700"/>
      <c r="W24" s="701"/>
      <c r="X24" s="1347"/>
      <c r="Y24" s="3789"/>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796"/>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789"/>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796"/>
      <c r="Q26" s="1344" t="str">
        <f t="shared" si="11"/>
        <v>朝向</v>
      </c>
      <c r="R26" s="700" t="s">
        <v>18</v>
      </c>
      <c r="S26" s="701">
        <f t="shared" si="12"/>
        <v>100</v>
      </c>
      <c r="T26" s="700" t="s">
        <v>18</v>
      </c>
      <c r="U26" s="701">
        <f t="shared" si="13"/>
        <v>100</v>
      </c>
      <c r="V26" s="700" t="s">
        <v>18</v>
      </c>
      <c r="W26" s="701">
        <f t="shared" si="14"/>
        <v>100</v>
      </c>
      <c r="X26" s="1347"/>
      <c r="Y26" s="3789"/>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796"/>
      <c r="Q27" s="1335">
        <f t="shared" si="11"/>
        <v>111</v>
      </c>
      <c r="R27" s="696" t="s">
        <v>18</v>
      </c>
      <c r="S27" s="697">
        <f t="shared" si="12"/>
        <v>100</v>
      </c>
      <c r="T27" s="696" t="s">
        <v>18</v>
      </c>
      <c r="U27" s="697">
        <f t="shared" si="13"/>
        <v>100</v>
      </c>
      <c r="V27" s="696" t="s">
        <v>18</v>
      </c>
      <c r="W27" s="697">
        <f t="shared" si="14"/>
        <v>100</v>
      </c>
      <c r="X27" s="698"/>
      <c r="Y27" s="3789"/>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796"/>
      <c r="Q28" s="1344">
        <f t="shared" si="11"/>
        <v>111</v>
      </c>
      <c r="R28" s="700" t="s">
        <v>18</v>
      </c>
      <c r="S28" s="701">
        <f t="shared" si="12"/>
        <v>100</v>
      </c>
      <c r="T28" s="700" t="s">
        <v>18</v>
      </c>
      <c r="U28" s="701">
        <f t="shared" si="13"/>
        <v>100</v>
      </c>
      <c r="V28" s="700" t="s">
        <v>18</v>
      </c>
      <c r="W28" s="701">
        <f t="shared" si="14"/>
        <v>100</v>
      </c>
      <c r="X28" s="1347"/>
      <c r="Y28" s="3789"/>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796"/>
      <c r="Q29" s="1344">
        <f t="shared" si="11"/>
        <v>111</v>
      </c>
      <c r="R29" s="700" t="s">
        <v>18</v>
      </c>
      <c r="S29" s="701">
        <f t="shared" si="12"/>
        <v>100</v>
      </c>
      <c r="T29" s="700" t="s">
        <v>18</v>
      </c>
      <c r="U29" s="701">
        <f t="shared" si="13"/>
        <v>100</v>
      </c>
      <c r="V29" s="700" t="s">
        <v>18</v>
      </c>
      <c r="W29" s="701">
        <f t="shared" si="14"/>
        <v>100</v>
      </c>
      <c r="X29" s="1347"/>
      <c r="Y29" s="3789"/>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796"/>
      <c r="Q30" s="1344">
        <f t="shared" si="11"/>
        <v>111</v>
      </c>
      <c r="R30" s="700" t="s">
        <v>18</v>
      </c>
      <c r="S30" s="701">
        <f t="shared" si="12"/>
        <v>100</v>
      </c>
      <c r="T30" s="700" t="s">
        <v>18</v>
      </c>
      <c r="U30" s="701">
        <f t="shared" si="13"/>
        <v>100</v>
      </c>
      <c r="V30" s="700" t="s">
        <v>18</v>
      </c>
      <c r="W30" s="701">
        <f t="shared" si="14"/>
        <v>100</v>
      </c>
      <c r="X30" s="1347"/>
      <c r="Y30" s="3789"/>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796"/>
      <c r="Q31" s="1344">
        <f t="shared" si="11"/>
        <v>111</v>
      </c>
      <c r="R31" s="700" t="s">
        <v>18</v>
      </c>
      <c r="S31" s="701">
        <f t="shared" si="12"/>
        <v>100</v>
      </c>
      <c r="T31" s="700" t="s">
        <v>18</v>
      </c>
      <c r="U31" s="701">
        <f t="shared" si="13"/>
        <v>100</v>
      </c>
      <c r="V31" s="700" t="s">
        <v>18</v>
      </c>
      <c r="W31" s="701">
        <f t="shared" si="14"/>
        <v>100</v>
      </c>
      <c r="X31" s="1347"/>
      <c r="Y31" s="3789"/>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790" t="s">
        <v>1696</v>
      </c>
      <c r="Q32" s="1344" t="str">
        <f t="shared" si="11"/>
        <v>建筑类型</v>
      </c>
      <c r="R32" s="700" t="s">
        <v>18</v>
      </c>
      <c r="S32" s="701">
        <f t="shared" si="12"/>
        <v>100</v>
      </c>
      <c r="T32" s="700" t="s">
        <v>18</v>
      </c>
      <c r="U32" s="701">
        <f t="shared" si="13"/>
        <v>100</v>
      </c>
      <c r="V32" s="700" t="s">
        <v>18</v>
      </c>
      <c r="W32" s="701">
        <f t="shared" si="14"/>
        <v>100</v>
      </c>
      <c r="X32" s="1347"/>
      <c r="Y32" s="3793"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275.55</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791"/>
      <c r="Q33" s="702" t="str">
        <f t="shared" si="11"/>
        <v>项目建筑规模</v>
      </c>
      <c r="R33" s="703" t="s">
        <v>18</v>
      </c>
      <c r="S33" s="704">
        <f t="shared" si="12"/>
        <v>102</v>
      </c>
      <c r="T33" s="703" t="s">
        <v>18</v>
      </c>
      <c r="U33" s="704">
        <f t="shared" si="13"/>
        <v>102</v>
      </c>
      <c r="V33" s="703" t="s">
        <v>18</v>
      </c>
      <c r="W33" s="704">
        <f t="shared" si="14"/>
        <v>103</v>
      </c>
      <c r="X33" s="705"/>
      <c r="Y33" s="3793"/>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791"/>
      <c r="Q34" s="1344" t="str">
        <f t="shared" si="11"/>
        <v>建筑结构</v>
      </c>
      <c r="R34" s="700" t="s">
        <v>18</v>
      </c>
      <c r="S34" s="701">
        <f t="shared" si="12"/>
        <v>100</v>
      </c>
      <c r="T34" s="700" t="s">
        <v>18</v>
      </c>
      <c r="U34" s="701">
        <f t="shared" si="13"/>
        <v>100</v>
      </c>
      <c r="V34" s="700" t="s">
        <v>18</v>
      </c>
      <c r="W34" s="701">
        <f t="shared" si="14"/>
        <v>100</v>
      </c>
      <c r="X34" s="1347"/>
      <c r="Y34" s="3793"/>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791"/>
      <c r="Q35" s="1344" t="str">
        <f t="shared" si="11"/>
        <v>建筑品质</v>
      </c>
      <c r="R35" s="700" t="s">
        <v>18</v>
      </c>
      <c r="S35" s="701">
        <f t="shared" si="12"/>
        <v>100</v>
      </c>
      <c r="T35" s="700" t="s">
        <v>18</v>
      </c>
      <c r="U35" s="701">
        <f t="shared" si="13"/>
        <v>100</v>
      </c>
      <c r="V35" s="700" t="s">
        <v>18</v>
      </c>
      <c r="W35" s="701">
        <f t="shared" si="14"/>
        <v>100</v>
      </c>
      <c r="X35" s="1347"/>
      <c r="Y35" s="3793"/>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791"/>
      <c r="Q36" s="1344" t="str">
        <f t="shared" si="11"/>
        <v>公共部分装修</v>
      </c>
      <c r="R36" s="700" t="s">
        <v>18</v>
      </c>
      <c r="S36" s="701">
        <f t="shared" si="12"/>
        <v>100</v>
      </c>
      <c r="T36" s="700" t="s">
        <v>18</v>
      </c>
      <c r="U36" s="701">
        <f t="shared" si="13"/>
        <v>100</v>
      </c>
      <c r="V36" s="700" t="s">
        <v>18</v>
      </c>
      <c r="W36" s="701">
        <f t="shared" si="14"/>
        <v>100</v>
      </c>
      <c r="X36" s="1347"/>
      <c r="Y36" s="3793"/>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791"/>
      <c r="Q37" s="1335" t="str">
        <f t="shared" si="11"/>
        <v>成新度</v>
      </c>
      <c r="R37" s="696" t="s">
        <v>18</v>
      </c>
      <c r="S37" s="697">
        <f t="shared" si="12"/>
        <v>100</v>
      </c>
      <c r="T37" s="696" t="s">
        <v>18</v>
      </c>
      <c r="U37" s="697">
        <f t="shared" si="13"/>
        <v>100</v>
      </c>
      <c r="V37" s="696" t="s">
        <v>18</v>
      </c>
      <c r="W37" s="697">
        <f t="shared" si="14"/>
        <v>100</v>
      </c>
      <c r="X37" s="698"/>
      <c r="Y37" s="3793"/>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791" t="s">
        <v>1696</v>
      </c>
      <c r="Q38" s="1344" t="str">
        <f t="shared" si="11"/>
        <v>物业管理</v>
      </c>
      <c r="R38" s="700" t="s">
        <v>18</v>
      </c>
      <c r="S38" s="701">
        <f t="shared" si="12"/>
        <v>100</v>
      </c>
      <c r="T38" s="700" t="s">
        <v>18</v>
      </c>
      <c r="U38" s="701">
        <f t="shared" si="13"/>
        <v>100</v>
      </c>
      <c r="V38" s="700" t="s">
        <v>18</v>
      </c>
      <c r="W38" s="701">
        <f t="shared" si="14"/>
        <v>100</v>
      </c>
      <c r="X38" s="1347"/>
      <c r="Y38" s="3793"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791"/>
      <c r="Q39" s="1344" t="str">
        <f t="shared" si="11"/>
        <v>市政基础设施</v>
      </c>
      <c r="R39" s="700" t="s">
        <v>18</v>
      </c>
      <c r="S39" s="701">
        <f t="shared" si="12"/>
        <v>100</v>
      </c>
      <c r="T39" s="700" t="s">
        <v>18</v>
      </c>
      <c r="U39" s="701">
        <f t="shared" si="13"/>
        <v>100</v>
      </c>
      <c r="V39" s="700" t="s">
        <v>18</v>
      </c>
      <c r="W39" s="701">
        <f t="shared" si="14"/>
        <v>100</v>
      </c>
      <c r="X39" s="1347"/>
      <c r="Y39" s="3793"/>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791"/>
      <c r="Q40" s="1344" t="str">
        <f t="shared" si="11"/>
        <v>房型</v>
      </c>
      <c r="R40" s="700" t="s">
        <v>18</v>
      </c>
      <c r="S40" s="701">
        <f t="shared" si="12"/>
        <v>100</v>
      </c>
      <c r="T40" s="700" t="s">
        <v>18</v>
      </c>
      <c r="U40" s="701">
        <f t="shared" si="13"/>
        <v>100</v>
      </c>
      <c r="V40" s="700" t="s">
        <v>18</v>
      </c>
      <c r="W40" s="701">
        <f t="shared" si="14"/>
        <v>100</v>
      </c>
      <c r="X40" s="1347"/>
      <c r="Y40" s="3793"/>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791"/>
      <c r="Q41" s="702" t="str">
        <f t="shared" si="11"/>
        <v>单套/主力户型建筑面积</v>
      </c>
      <c r="R41" s="703" t="s">
        <v>18</v>
      </c>
      <c r="S41" s="704">
        <f t="shared" si="12"/>
        <v>100</v>
      </c>
      <c r="T41" s="703" t="s">
        <v>18</v>
      </c>
      <c r="U41" s="704">
        <f t="shared" si="13"/>
        <v>100</v>
      </c>
      <c r="V41" s="703" t="s">
        <v>18</v>
      </c>
      <c r="W41" s="704">
        <f t="shared" si="14"/>
        <v>100</v>
      </c>
      <c r="X41" s="705"/>
      <c r="Y41" s="3793"/>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791"/>
      <c r="Q42" s="1344" t="str">
        <f t="shared" si="11"/>
        <v>内部装修</v>
      </c>
      <c r="R42" s="700" t="s">
        <v>18</v>
      </c>
      <c r="S42" s="701">
        <f t="shared" si="12"/>
        <v>100</v>
      </c>
      <c r="T42" s="700" t="s">
        <v>18</v>
      </c>
      <c r="U42" s="701">
        <f t="shared" si="13"/>
        <v>100</v>
      </c>
      <c r="V42" s="700" t="s">
        <v>18</v>
      </c>
      <c r="W42" s="701">
        <f t="shared" si="14"/>
        <v>100</v>
      </c>
      <c r="X42" s="1347"/>
      <c r="Y42" s="3793"/>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791"/>
      <c r="Q43" s="1344" t="str">
        <f t="shared" si="11"/>
        <v>内部装修维护情况</v>
      </c>
      <c r="R43" s="700" t="s">
        <v>18</v>
      </c>
      <c r="S43" s="701">
        <f t="shared" si="12"/>
        <v>100</v>
      </c>
      <c r="T43" s="700" t="s">
        <v>18</v>
      </c>
      <c r="U43" s="701">
        <f t="shared" si="13"/>
        <v>100</v>
      </c>
      <c r="V43" s="700" t="s">
        <v>18</v>
      </c>
      <c r="W43" s="701">
        <f t="shared" si="14"/>
        <v>100</v>
      </c>
      <c r="X43" s="1347"/>
      <c r="Y43" s="3793"/>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791"/>
      <c r="Q44" s="1335" t="str">
        <f t="shared" si="11"/>
        <v>是否现房</v>
      </c>
      <c r="R44" s="696" t="s">
        <v>18</v>
      </c>
      <c r="S44" s="697">
        <f t="shared" si="12"/>
        <v>100</v>
      </c>
      <c r="T44" s="696" t="s">
        <v>18</v>
      </c>
      <c r="U44" s="697">
        <f t="shared" si="13"/>
        <v>95</v>
      </c>
      <c r="V44" s="696" t="s">
        <v>18</v>
      </c>
      <c r="W44" s="697">
        <f t="shared" si="14"/>
        <v>95</v>
      </c>
      <c r="X44" s="698"/>
      <c r="Y44" s="3793"/>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791"/>
      <c r="Q45" s="1344">
        <f t="shared" si="11"/>
        <v>111</v>
      </c>
      <c r="R45" s="700" t="s">
        <v>18</v>
      </c>
      <c r="S45" s="701">
        <f t="shared" si="12"/>
        <v>100</v>
      </c>
      <c r="T45" s="700" t="s">
        <v>18</v>
      </c>
      <c r="U45" s="701">
        <f t="shared" si="13"/>
        <v>100</v>
      </c>
      <c r="V45" s="700" t="s">
        <v>18</v>
      </c>
      <c r="W45" s="701">
        <f t="shared" si="14"/>
        <v>100</v>
      </c>
      <c r="X45" s="1347"/>
      <c r="Y45" s="3793"/>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792"/>
      <c r="Q46" s="1344">
        <f t="shared" si="11"/>
        <v>111</v>
      </c>
      <c r="R46" s="700" t="s">
        <v>17</v>
      </c>
      <c r="S46" s="701">
        <f t="shared" si="12"/>
        <v>100</v>
      </c>
      <c r="T46" s="700" t="s">
        <v>17</v>
      </c>
      <c r="U46" s="701">
        <f t="shared" si="13"/>
        <v>100</v>
      </c>
      <c r="V46" s="700" t="s">
        <v>17</v>
      </c>
      <c r="W46" s="701">
        <f t="shared" si="14"/>
        <v>100</v>
      </c>
      <c r="X46" s="1347"/>
      <c r="Y46" s="3794"/>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786" t="str">
        <f>A47</f>
        <v>成交单价（元/平方米）</v>
      </c>
      <c r="Q47" s="3786"/>
      <c r="R47" s="3787">
        <f>E47</f>
        <v>53174</v>
      </c>
      <c r="S47" s="3787"/>
      <c r="T47" s="3787">
        <f>G47</f>
        <v>56211</v>
      </c>
      <c r="U47" s="3787"/>
      <c r="V47" s="3787">
        <f>I47</f>
        <v>58586</v>
      </c>
      <c r="W47" s="3787"/>
      <c r="X47" s="685"/>
      <c r="Y47" s="707"/>
      <c r="Z47" s="685"/>
      <c r="AA47" s="685"/>
      <c r="AB47" s="685"/>
      <c r="AC47" s="685"/>
    </row>
    <row r="48" spans="1:29" ht="15.75" thickBot="1">
      <c r="A48" s="434" t="s">
        <v>1709</v>
      </c>
      <c r="B48" s="435"/>
      <c r="C48" s="1152">
        <f>R49</f>
        <v>54409</v>
      </c>
      <c r="D48" s="2305" t="s">
        <v>2137</v>
      </c>
      <c r="E48" s="1153">
        <f>R48</f>
        <v>53195</v>
      </c>
      <c r="F48" s="2306"/>
      <c r="G48" s="1152">
        <f>T48</f>
        <v>54701</v>
      </c>
      <c r="H48" s="2306"/>
      <c r="I48" s="1153">
        <f>V48</f>
        <v>55330</v>
      </c>
      <c r="J48" s="2306"/>
      <c r="K48" s="2307">
        <f>F48+H48+J48</f>
        <v>0</v>
      </c>
      <c r="L48" s="2708"/>
      <c r="M48" s="2709"/>
      <c r="N48" s="2709"/>
      <c r="O48" s="2709"/>
      <c r="P48" s="3786" t="str">
        <f>A48</f>
        <v>比较价值（元/平方米）</v>
      </c>
      <c r="Q48" s="3786"/>
      <c r="R48" s="3787">
        <f>IF(F1="售价",ROUND(PRODUCT(R47,AA7:AA46),0),ROUND(PRODUCT(R47,AA7:AA46),1))</f>
        <v>53195</v>
      </c>
      <c r="S48" s="3787"/>
      <c r="T48" s="3787">
        <f>IF(F1="售价",ROUND(PRODUCT(T47,AB7:AB46),0),ROUND(PRODUCT(T47,AB7:AB46),1))</f>
        <v>54701</v>
      </c>
      <c r="U48" s="3787"/>
      <c r="V48" s="3787">
        <f>IF(F1="售价",ROUND(PRODUCT(V47,AC7:AC46),0),ROUND(PRODUCT(V47,AC7:AC46),1))</f>
        <v>55330</v>
      </c>
      <c r="W48" s="3787"/>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3"/>
      <c r="L49" s="2708"/>
      <c r="M49" s="2709"/>
      <c r="N49" s="2709"/>
      <c r="O49" s="2709"/>
      <c r="P49" s="3783" t="str">
        <f>A49</f>
        <v>估价对象XX用房的比较价值（楼面单价，元/平方米）</v>
      </c>
      <c r="Q49" s="3784"/>
      <c r="R49" s="3785">
        <f>IF(F1="售价",ROUND(IF(D48="简单平均",AVERAGE(R48:V48),R48*F48+T48*H48+V48*J48),0),ROUND(IF(D48="简单平均",AVERAGE(R48:V48),R48*F48+T48*H48+V48*J48),1))</f>
        <v>54409</v>
      </c>
      <c r="S49" s="3785"/>
      <c r="T49" s="3785"/>
      <c r="U49" s="3785"/>
      <c r="V49" s="3785"/>
      <c r="W49" s="3785"/>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4"/>
      <c r="L52" s="2710"/>
      <c r="M52" s="2709"/>
      <c r="N52" s="2709"/>
      <c r="O52" s="2709"/>
    </row>
    <row r="53" spans="1:29" ht="13.5" customHeight="1">
      <c r="A53" s="2709"/>
      <c r="B53" s="2709"/>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8" priority="19" stopIfTrue="1" operator="containsText" text="超过">
      <formula>NOT(ISERROR(SEARCH("超过",F52)))</formula>
    </cfRule>
  </conditionalFormatting>
  <conditionalFormatting sqref="J54">
    <cfRule type="containsText" dxfId="197" priority="18" stopIfTrue="1" operator="containsText" text="超过">
      <formula>NOT(ISERROR(SEARCH("超过",J54)))</formula>
    </cfRule>
  </conditionalFormatting>
  <conditionalFormatting sqref="H54">
    <cfRule type="containsText" dxfId="196" priority="17" stopIfTrue="1" operator="containsText" text="超过">
      <formula>NOT(ISERROR(SEARCH("超过",H54)))</formula>
    </cfRule>
  </conditionalFormatting>
  <conditionalFormatting sqref="F54">
    <cfRule type="containsText" dxfId="195" priority="16" stopIfTrue="1" operator="containsText" text="超过">
      <formula>NOT(ISERROR(SEARCH("超过",F54)))</formula>
    </cfRule>
  </conditionalFormatting>
  <conditionalFormatting sqref="F53 H53 J53">
    <cfRule type="containsText" dxfId="194" priority="15" stopIfTrue="1" operator="containsText" text="超过">
      <formula>NOT(ISERROR(SEARCH("超过",F53)))</formula>
    </cfRule>
  </conditionalFormatting>
  <conditionalFormatting sqref="E52">
    <cfRule type="expression" dxfId="193" priority="14" stopIfTrue="1">
      <formula>$F$52="超过30%"</formula>
    </cfRule>
  </conditionalFormatting>
  <conditionalFormatting sqref="G54">
    <cfRule type="expression" dxfId="192" priority="12" stopIfTrue="1">
      <formula>$H$54="超过30%"</formula>
    </cfRule>
  </conditionalFormatting>
  <conditionalFormatting sqref="E53">
    <cfRule type="expression" dxfId="191" priority="11" stopIfTrue="1">
      <formula>$F$53="超过20%"</formula>
    </cfRule>
  </conditionalFormatting>
  <conditionalFormatting sqref="E54">
    <cfRule type="expression" dxfId="190" priority="10" stopIfTrue="1">
      <formula>$F$54="超过30%"</formula>
    </cfRule>
  </conditionalFormatting>
  <conditionalFormatting sqref="G52">
    <cfRule type="expression" dxfId="189" priority="9" stopIfTrue="1">
      <formula>$H$52="超过30%"</formula>
    </cfRule>
  </conditionalFormatting>
  <conditionalFormatting sqref="G53">
    <cfRule type="expression" dxfId="188" priority="8" stopIfTrue="1">
      <formula>$H$53="超过20%"</formula>
    </cfRule>
  </conditionalFormatting>
  <conditionalFormatting sqref="I52">
    <cfRule type="expression" dxfId="187" priority="7" stopIfTrue="1">
      <formula>$J$52="超过30%"</formula>
    </cfRule>
  </conditionalFormatting>
  <conditionalFormatting sqref="I53">
    <cfRule type="expression" dxfId="186" priority="6" stopIfTrue="1">
      <formula>$J$53="超过20%"</formula>
    </cfRule>
  </conditionalFormatting>
  <conditionalFormatting sqref="I54">
    <cfRule type="expression" dxfId="185" priority="5" stopIfTrue="1">
      <formula>$J$54="超过30%"</formula>
    </cfRule>
  </conditionalFormatting>
  <conditionalFormatting sqref="F48">
    <cfRule type="expression" dxfId="184" priority="4">
      <formula>$D$48="简单平均"</formula>
    </cfRule>
  </conditionalFormatting>
  <conditionalFormatting sqref="H48">
    <cfRule type="expression" dxfId="183" priority="3">
      <formula>$D$48="简单平均"</formula>
    </cfRule>
  </conditionalFormatting>
  <conditionalFormatting sqref="J48">
    <cfRule type="expression" dxfId="182" priority="2">
      <formula>$D$48="简单平均"</formula>
    </cfRule>
  </conditionalFormatting>
  <conditionalFormatting sqref="F7:F46 H7:H46 J7:J46">
    <cfRule type="cellIs" dxfId="18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01" t="s">
        <v>1770</v>
      </c>
      <c r="D4" s="3802"/>
      <c r="E4" s="3803" t="s">
        <v>1771</v>
      </c>
      <c r="F4" s="3804"/>
      <c r="G4" s="3801" t="s">
        <v>1772</v>
      </c>
      <c r="H4" s="3802"/>
      <c r="I4" s="3801" t="s">
        <v>1773</v>
      </c>
      <c r="J4" s="3802"/>
      <c r="K4" s="556" t="s">
        <v>1774</v>
      </c>
      <c r="L4" s="2699"/>
      <c r="M4" s="2700"/>
      <c r="N4" s="2700"/>
      <c r="O4" s="2700"/>
      <c r="P4" s="3805" t="s">
        <v>1775</v>
      </c>
      <c r="Q4" s="3806"/>
      <c r="R4" s="3811" t="s">
        <v>1771</v>
      </c>
      <c r="S4" s="3812"/>
      <c r="T4" s="3811" t="s">
        <v>1772</v>
      </c>
      <c r="U4" s="3812"/>
      <c r="V4" s="3817" t="s">
        <v>1773</v>
      </c>
      <c r="W4" s="3817"/>
      <c r="X4" s="1347"/>
      <c r="Y4" s="3811" t="s">
        <v>1775</v>
      </c>
      <c r="Z4" s="3812"/>
      <c r="AA4" s="3798" t="s">
        <v>1771</v>
      </c>
      <c r="AB4" s="3799" t="s">
        <v>1772</v>
      </c>
      <c r="AC4" s="3798" t="s">
        <v>1773</v>
      </c>
    </row>
    <row r="5" spans="1:30" ht="63.75" customHeight="1">
      <c r="A5" s="358"/>
      <c r="B5" s="359"/>
      <c r="C5" s="3825" t="s">
        <v>1673</v>
      </c>
      <c r="D5" s="3821"/>
      <c r="E5" s="3834" t="e">
        <f>#REF!</f>
        <v>#REF!</v>
      </c>
      <c r="F5" s="3829"/>
      <c r="G5" s="3825" t="e">
        <f>#REF!</f>
        <v>#REF!</v>
      </c>
      <c r="H5" s="3821"/>
      <c r="I5" s="3825" t="e">
        <f>#REF!</f>
        <v>#REF!</v>
      </c>
      <c r="J5" s="3821"/>
      <c r="K5" s="556"/>
      <c r="L5" s="2699"/>
      <c r="M5" s="2700"/>
      <c r="N5" s="2700"/>
      <c r="O5" s="2700"/>
      <c r="P5" s="3807"/>
      <c r="Q5" s="3808"/>
      <c r="R5" s="3813"/>
      <c r="S5" s="3814"/>
      <c r="T5" s="3813"/>
      <c r="U5" s="3814"/>
      <c r="V5" s="3817"/>
      <c r="W5" s="3817"/>
      <c r="X5" s="1347"/>
      <c r="Y5" s="3813"/>
      <c r="Z5" s="3814"/>
      <c r="AA5" s="3799"/>
      <c r="AB5" s="3799"/>
      <c r="AC5" s="3799"/>
    </row>
    <row r="6" spans="1:30" ht="15.75" thickBot="1">
      <c r="A6" s="360"/>
      <c r="B6" s="361"/>
      <c r="C6" s="3818" t="s">
        <v>1677</v>
      </c>
      <c r="D6" s="3819"/>
      <c r="E6" s="3826" t="s">
        <v>1677</v>
      </c>
      <c r="F6" s="3827"/>
      <c r="G6" s="3818" t="s">
        <v>1677</v>
      </c>
      <c r="H6" s="3819"/>
      <c r="I6" s="3818" t="s">
        <v>1677</v>
      </c>
      <c r="J6" s="3819"/>
      <c r="K6" s="556" t="s">
        <v>1678</v>
      </c>
      <c r="L6" s="2699"/>
      <c r="M6" s="2700"/>
      <c r="N6" s="2700"/>
      <c r="O6" s="2700"/>
      <c r="P6" s="3809"/>
      <c r="Q6" s="3810"/>
      <c r="R6" s="3813"/>
      <c r="S6" s="3814"/>
      <c r="T6" s="3815"/>
      <c r="U6" s="3816"/>
      <c r="V6" s="3817"/>
      <c r="W6" s="3817"/>
      <c r="X6" s="1347"/>
      <c r="Y6" s="3815"/>
      <c r="Z6" s="3816"/>
      <c r="AA6" s="3800"/>
      <c r="AB6" s="3800"/>
      <c r="AC6" s="3800"/>
    </row>
    <row r="7" spans="1:30" s="108" customFormat="1" ht="15.75" thickBot="1">
      <c r="A7" s="362" t="s">
        <v>1679</v>
      </c>
      <c r="B7" s="363"/>
      <c r="C7" s="364">
        <f>'数据-取费表'!B2</f>
        <v>45173</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22" t="s">
        <v>1680</v>
      </c>
      <c r="Q7" s="3824"/>
      <c r="R7" s="696" t="s">
        <v>14</v>
      </c>
      <c r="S7" s="697">
        <f t="shared" ref="S7:S15" si="0">F7</f>
        <v>0</v>
      </c>
      <c r="T7" s="696" t="s">
        <v>14</v>
      </c>
      <c r="U7" s="697">
        <f t="shared" ref="U7:U15" si="1">H7</f>
        <v>0</v>
      </c>
      <c r="V7" s="696" t="s">
        <v>14</v>
      </c>
      <c r="W7" s="697">
        <f t="shared" ref="W7:W15" si="2">J7</f>
        <v>0</v>
      </c>
      <c r="X7" s="698"/>
      <c r="Y7" s="3822" t="s">
        <v>1680</v>
      </c>
      <c r="Z7" s="3823"/>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22" t="s">
        <v>1683</v>
      </c>
      <c r="Q8" s="3823"/>
      <c r="R8" s="696" t="s">
        <v>14</v>
      </c>
      <c r="S8" s="697">
        <f t="shared" si="0"/>
        <v>100</v>
      </c>
      <c r="T8" s="696" t="s">
        <v>14</v>
      </c>
      <c r="U8" s="697">
        <f t="shared" si="1"/>
        <v>100</v>
      </c>
      <c r="V8" s="696" t="s">
        <v>14</v>
      </c>
      <c r="W8" s="697">
        <f t="shared" si="2"/>
        <v>100</v>
      </c>
      <c r="X8" s="698"/>
      <c r="Y8" s="3822" t="s">
        <v>1683</v>
      </c>
      <c r="Z8" s="3823"/>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786" t="s">
        <v>1686</v>
      </c>
      <c r="Q9" s="1335" t="str">
        <f t="shared" ref="Q9:Q15" si="6">B9</f>
        <v>用途</v>
      </c>
      <c r="R9" s="696" t="s">
        <v>14</v>
      </c>
      <c r="S9" s="697">
        <f t="shared" si="0"/>
        <v>100</v>
      </c>
      <c r="T9" s="696" t="s">
        <v>14</v>
      </c>
      <c r="U9" s="697">
        <f t="shared" si="1"/>
        <v>100</v>
      </c>
      <c r="V9" s="696" t="s">
        <v>14</v>
      </c>
      <c r="W9" s="697">
        <f t="shared" si="2"/>
        <v>100</v>
      </c>
      <c r="X9" s="698"/>
      <c r="Y9" s="3690"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786"/>
      <c r="Q10" s="1335" t="str">
        <f t="shared" si="6"/>
        <v>土地使用年限（年）</v>
      </c>
      <c r="R10" s="696" t="s">
        <v>14</v>
      </c>
      <c r="S10" s="697">
        <f t="shared" si="0"/>
        <v>106</v>
      </c>
      <c r="T10" s="696" t="s">
        <v>14</v>
      </c>
      <c r="U10" s="697">
        <f t="shared" si="1"/>
        <v>106</v>
      </c>
      <c r="V10" s="696" t="s">
        <v>14</v>
      </c>
      <c r="W10" s="697">
        <f t="shared" si="2"/>
        <v>106</v>
      </c>
      <c r="X10" s="698"/>
      <c r="Y10" s="3690"/>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786"/>
      <c r="Q11" s="1335" t="str">
        <f t="shared" si="6"/>
        <v>容积率</v>
      </c>
      <c r="R11" s="696" t="s">
        <v>14</v>
      </c>
      <c r="S11" s="697" t="e">
        <f t="shared" si="0"/>
        <v>#REF!</v>
      </c>
      <c r="T11" s="696" t="s">
        <v>14</v>
      </c>
      <c r="U11" s="697" t="e">
        <f t="shared" si="1"/>
        <v>#REF!</v>
      </c>
      <c r="V11" s="696" t="s">
        <v>14</v>
      </c>
      <c r="W11" s="697" t="e">
        <f t="shared" si="2"/>
        <v>#REF!</v>
      </c>
      <c r="X11" s="698"/>
      <c r="Y11" s="3690"/>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786"/>
      <c r="Q12" s="1335" t="str">
        <f t="shared" si="6"/>
        <v>配建</v>
      </c>
      <c r="R12" s="696" t="s">
        <v>14</v>
      </c>
      <c r="S12" s="697">
        <f t="shared" si="0"/>
        <v>100</v>
      </c>
      <c r="T12" s="696" t="s">
        <v>14</v>
      </c>
      <c r="U12" s="697">
        <f t="shared" si="1"/>
        <v>100</v>
      </c>
      <c r="V12" s="696" t="s">
        <v>14</v>
      </c>
      <c r="W12" s="697">
        <f t="shared" si="2"/>
        <v>100</v>
      </c>
      <c r="X12" s="698"/>
      <c r="Y12" s="3690"/>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786"/>
      <c r="Q13" s="1335">
        <f t="shared" si="6"/>
        <v>111</v>
      </c>
      <c r="R13" s="696" t="s">
        <v>14</v>
      </c>
      <c r="S13" s="697">
        <f t="shared" si="0"/>
        <v>100</v>
      </c>
      <c r="T13" s="696" t="s">
        <v>14</v>
      </c>
      <c r="U13" s="697">
        <f t="shared" si="1"/>
        <v>100</v>
      </c>
      <c r="V13" s="696" t="s">
        <v>14</v>
      </c>
      <c r="W13" s="697">
        <f t="shared" si="2"/>
        <v>100</v>
      </c>
      <c r="X13" s="698"/>
      <c r="Y13" s="3690"/>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786"/>
      <c r="Q14" s="1335">
        <f t="shared" si="6"/>
        <v>111</v>
      </c>
      <c r="R14" s="696" t="s">
        <v>14</v>
      </c>
      <c r="S14" s="697">
        <f t="shared" si="0"/>
        <v>100</v>
      </c>
      <c r="T14" s="696" t="s">
        <v>14</v>
      </c>
      <c r="U14" s="697">
        <f t="shared" si="1"/>
        <v>100</v>
      </c>
      <c r="V14" s="696" t="s">
        <v>14</v>
      </c>
      <c r="W14" s="697">
        <f t="shared" si="2"/>
        <v>100</v>
      </c>
      <c r="X14" s="698"/>
      <c r="Y14" s="3690"/>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788" t="s">
        <v>1691</v>
      </c>
      <c r="Q15" s="1344" t="str">
        <f t="shared" si="6"/>
        <v>居住社区成熟度</v>
      </c>
      <c r="R15" s="700" t="s">
        <v>14</v>
      </c>
      <c r="S15" s="701">
        <f t="shared" si="0"/>
        <v>100</v>
      </c>
      <c r="T15" s="700" t="s">
        <v>14</v>
      </c>
      <c r="U15" s="701">
        <f t="shared" si="1"/>
        <v>100</v>
      </c>
      <c r="V15" s="700" t="s">
        <v>14</v>
      </c>
      <c r="W15" s="701">
        <f t="shared" si="2"/>
        <v>103</v>
      </c>
      <c r="X15" s="1347"/>
      <c r="Y15" s="3788"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789"/>
      <c r="Q16" s="1344"/>
      <c r="R16" s="700"/>
      <c r="S16" s="701"/>
      <c r="T16" s="700"/>
      <c r="U16" s="701"/>
      <c r="V16" s="700"/>
      <c r="W16" s="701"/>
      <c r="X16" s="1347"/>
      <c r="Y16" s="3789"/>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789"/>
      <c r="Q17" s="1344" t="str">
        <f>B17</f>
        <v>商业繁华度</v>
      </c>
      <c r="R17" s="700" t="s">
        <v>14</v>
      </c>
      <c r="S17" s="701">
        <f>F17</f>
        <v>100</v>
      </c>
      <c r="T17" s="700" t="s">
        <v>14</v>
      </c>
      <c r="U17" s="701">
        <f>H17</f>
        <v>100</v>
      </c>
      <c r="V17" s="700" t="s">
        <v>14</v>
      </c>
      <c r="W17" s="701">
        <f>J17</f>
        <v>100</v>
      </c>
      <c r="X17" s="1347"/>
      <c r="Y17" s="3789"/>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789"/>
      <c r="Q18" s="1344"/>
      <c r="R18" s="700"/>
      <c r="S18" s="701"/>
      <c r="T18" s="700"/>
      <c r="U18" s="701"/>
      <c r="V18" s="700"/>
      <c r="W18" s="701"/>
      <c r="X18" s="1347"/>
      <c r="Y18" s="3789"/>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789"/>
      <c r="Q19" s="1344" t="str">
        <f>B19</f>
        <v>办公集聚程度</v>
      </c>
      <c r="R19" s="700" t="s">
        <v>14</v>
      </c>
      <c r="S19" s="701">
        <f>F19</f>
        <v>100</v>
      </c>
      <c r="T19" s="700" t="s">
        <v>14</v>
      </c>
      <c r="U19" s="701">
        <f>H19</f>
        <v>100</v>
      </c>
      <c r="V19" s="700" t="s">
        <v>14</v>
      </c>
      <c r="W19" s="701">
        <f>J19</f>
        <v>100</v>
      </c>
      <c r="X19" s="1347"/>
      <c r="Y19" s="3789"/>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789"/>
      <c r="Q20" s="1344"/>
      <c r="R20" s="700"/>
      <c r="S20" s="701"/>
      <c r="T20" s="700"/>
      <c r="U20" s="701"/>
      <c r="V20" s="700"/>
      <c r="W20" s="701"/>
      <c r="X20" s="1347"/>
      <c r="Y20" s="3789"/>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789"/>
      <c r="Q21" s="1344" t="str">
        <f>B21</f>
        <v>交通便捷度</v>
      </c>
      <c r="R21" s="700" t="s">
        <v>14</v>
      </c>
      <c r="S21" s="701">
        <f>F21</f>
        <v>103</v>
      </c>
      <c r="T21" s="700" t="s">
        <v>14</v>
      </c>
      <c r="U21" s="701">
        <f>H21</f>
        <v>103</v>
      </c>
      <c r="V21" s="700" t="s">
        <v>14</v>
      </c>
      <c r="W21" s="701">
        <f>J21</f>
        <v>103</v>
      </c>
      <c r="X21" s="1347"/>
      <c r="Y21" s="3789"/>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789"/>
      <c r="Q22" s="1344"/>
      <c r="R22" s="700"/>
      <c r="S22" s="701"/>
      <c r="T22" s="700"/>
      <c r="U22" s="701"/>
      <c r="V22" s="700"/>
      <c r="W22" s="701"/>
      <c r="X22" s="1347"/>
      <c r="Y22" s="3789"/>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789"/>
      <c r="Q23" s="1344" t="str">
        <f t="shared" ref="Q23:Q37" si="8">B23</f>
        <v>区域土地利用方向</v>
      </c>
      <c r="R23" s="700" t="s">
        <v>14</v>
      </c>
      <c r="S23" s="701">
        <f>F23</f>
        <v>100</v>
      </c>
      <c r="T23" s="700" t="s">
        <v>14</v>
      </c>
      <c r="U23" s="701">
        <f>H23</f>
        <v>100</v>
      </c>
      <c r="V23" s="700" t="s">
        <v>14</v>
      </c>
      <c r="W23" s="701">
        <f>J23</f>
        <v>100</v>
      </c>
      <c r="X23" s="1347"/>
      <c r="Y23" s="3789"/>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789"/>
      <c r="Q24" s="1344"/>
      <c r="R24" s="700"/>
      <c r="S24" s="701"/>
      <c r="T24" s="700"/>
      <c r="U24" s="701"/>
      <c r="V24" s="700"/>
      <c r="W24" s="701"/>
      <c r="X24" s="1347"/>
      <c r="Y24" s="3789"/>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789"/>
      <c r="Q25" s="1344" t="str">
        <f t="shared" si="8"/>
        <v>自然及人文环境状况</v>
      </c>
      <c r="R25" s="700" t="s">
        <v>14</v>
      </c>
      <c r="S25" s="701">
        <f>F25</f>
        <v>98</v>
      </c>
      <c r="T25" s="700" t="s">
        <v>14</v>
      </c>
      <c r="U25" s="701">
        <f>H25</f>
        <v>98</v>
      </c>
      <c r="V25" s="700" t="s">
        <v>14</v>
      </c>
      <c r="W25" s="701">
        <f>J25</f>
        <v>98</v>
      </c>
      <c r="X25" s="1347"/>
      <c r="Y25" s="3789"/>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789"/>
      <c r="Q26" s="1344"/>
      <c r="R26" s="700"/>
      <c r="S26" s="701"/>
      <c r="T26" s="700"/>
      <c r="U26" s="701"/>
      <c r="V26" s="700"/>
      <c r="W26" s="701"/>
      <c r="X26" s="1347"/>
      <c r="Y26" s="3789"/>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789"/>
      <c r="Q27" s="1335" t="str">
        <f t="shared" si="8"/>
        <v>公共配套设施</v>
      </c>
      <c r="R27" s="696" t="s">
        <v>14</v>
      </c>
      <c r="S27" s="697">
        <f>F27</f>
        <v>100</v>
      </c>
      <c r="T27" s="696" t="s">
        <v>14</v>
      </c>
      <c r="U27" s="697">
        <f>H27</f>
        <v>100</v>
      </c>
      <c r="V27" s="696" t="s">
        <v>14</v>
      </c>
      <c r="W27" s="697">
        <f>J27</f>
        <v>100</v>
      </c>
      <c r="X27" s="698"/>
      <c r="Y27" s="3789"/>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789"/>
      <c r="Q28" s="1335"/>
      <c r="R28" s="696"/>
      <c r="S28" s="697"/>
      <c r="T28" s="696"/>
      <c r="U28" s="697"/>
      <c r="V28" s="696"/>
      <c r="W28" s="697"/>
      <c r="X28" s="698"/>
      <c r="Y28" s="3789"/>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789"/>
      <c r="Q29" s="1335" t="str">
        <f t="shared" ref="Q29" si="9">B29</f>
        <v>基础设施水平</v>
      </c>
      <c r="R29" s="696" t="s">
        <v>14</v>
      </c>
      <c r="S29" s="697">
        <f>F29</f>
        <v>100</v>
      </c>
      <c r="T29" s="696" t="s">
        <v>14</v>
      </c>
      <c r="U29" s="697">
        <f>H29</f>
        <v>100</v>
      </c>
      <c r="V29" s="696" t="s">
        <v>14</v>
      </c>
      <c r="W29" s="697">
        <f>J29</f>
        <v>100</v>
      </c>
      <c r="X29" s="698"/>
      <c r="Y29" s="3789"/>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789"/>
      <c r="Q30" s="1335"/>
      <c r="R30" s="696"/>
      <c r="S30" s="697"/>
      <c r="T30" s="696"/>
      <c r="U30" s="697"/>
      <c r="V30" s="696"/>
      <c r="W30" s="697"/>
      <c r="X30" s="698"/>
      <c r="Y30" s="3789"/>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789"/>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789"/>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789"/>
      <c r="Q32" s="1344" t="str">
        <f t="shared" si="8"/>
        <v>毗邻道路的类型与等级</v>
      </c>
      <c r="R32" s="700" t="s">
        <v>14</v>
      </c>
      <c r="S32" s="701">
        <f t="shared" si="10"/>
        <v>100</v>
      </c>
      <c r="T32" s="700" t="s">
        <v>14</v>
      </c>
      <c r="U32" s="701">
        <f t="shared" si="11"/>
        <v>100</v>
      </c>
      <c r="V32" s="700" t="s">
        <v>14</v>
      </c>
      <c r="W32" s="701">
        <f t="shared" si="12"/>
        <v>100</v>
      </c>
      <c r="X32" s="1347"/>
      <c r="Y32" s="3789"/>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789"/>
      <c r="Q33" s="1344"/>
      <c r="R33" s="700"/>
      <c r="S33" s="701"/>
      <c r="T33" s="700"/>
      <c r="U33" s="701"/>
      <c r="V33" s="700"/>
      <c r="W33" s="701"/>
      <c r="X33" s="1347"/>
      <c r="Y33" s="3789"/>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789"/>
      <c r="Q34" s="1344" t="str">
        <f t="shared" si="8"/>
        <v>土地级别</v>
      </c>
      <c r="R34" s="700" t="s">
        <v>14</v>
      </c>
      <c r="S34" s="701">
        <f t="shared" si="10"/>
        <v>100</v>
      </c>
      <c r="T34" s="700" t="s">
        <v>14</v>
      </c>
      <c r="U34" s="701">
        <f t="shared" si="11"/>
        <v>100</v>
      </c>
      <c r="V34" s="700" t="s">
        <v>14</v>
      </c>
      <c r="W34" s="701">
        <f t="shared" si="12"/>
        <v>100</v>
      </c>
      <c r="X34" s="1347"/>
      <c r="Y34" s="3789"/>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789"/>
      <c r="Q35" s="1344">
        <f t="shared" si="8"/>
        <v>111</v>
      </c>
      <c r="R35" s="700" t="s">
        <v>14</v>
      </c>
      <c r="S35" s="701">
        <f t="shared" si="10"/>
        <v>100</v>
      </c>
      <c r="T35" s="700" t="s">
        <v>14</v>
      </c>
      <c r="U35" s="701">
        <f t="shared" si="11"/>
        <v>100</v>
      </c>
      <c r="V35" s="700" t="s">
        <v>14</v>
      </c>
      <c r="W35" s="701">
        <f t="shared" si="12"/>
        <v>100</v>
      </c>
      <c r="X35" s="1347"/>
      <c r="Y35" s="3789"/>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33" t="s">
        <v>1696</v>
      </c>
      <c r="Q36" s="1344">
        <f t="shared" si="8"/>
        <v>111</v>
      </c>
      <c r="R36" s="700" t="s">
        <v>14</v>
      </c>
      <c r="S36" s="701">
        <f t="shared" si="10"/>
        <v>100</v>
      </c>
      <c r="T36" s="700" t="s">
        <v>14</v>
      </c>
      <c r="U36" s="701">
        <f t="shared" si="11"/>
        <v>100</v>
      </c>
      <c r="V36" s="700" t="s">
        <v>14</v>
      </c>
      <c r="W36" s="701">
        <f t="shared" si="12"/>
        <v>100</v>
      </c>
      <c r="X36" s="1347"/>
      <c r="Y36" s="3793"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793"/>
      <c r="Q37" s="1344">
        <f t="shared" si="8"/>
        <v>111</v>
      </c>
      <c r="R37" s="703" t="s">
        <v>14</v>
      </c>
      <c r="S37" s="704">
        <f t="shared" si="10"/>
        <v>100</v>
      </c>
      <c r="T37" s="703" t="s">
        <v>14</v>
      </c>
      <c r="U37" s="704">
        <f t="shared" si="11"/>
        <v>100</v>
      </c>
      <c r="V37" s="703" t="s">
        <v>14</v>
      </c>
      <c r="W37" s="704">
        <f t="shared" si="12"/>
        <v>100</v>
      </c>
      <c r="X37" s="705"/>
      <c r="Y37" s="3793"/>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793"/>
      <c r="Q38" s="1344" t="str">
        <f>B38</f>
        <v>宗地面积</v>
      </c>
      <c r="R38" s="700" t="s">
        <v>14</v>
      </c>
      <c r="S38" s="701" t="e">
        <f t="shared" si="10"/>
        <v>#REF!</v>
      </c>
      <c r="T38" s="700" t="s">
        <v>14</v>
      </c>
      <c r="U38" s="701" t="e">
        <f t="shared" si="11"/>
        <v>#REF!</v>
      </c>
      <c r="V38" s="700" t="s">
        <v>14</v>
      </c>
      <c r="W38" s="701" t="e">
        <f t="shared" si="12"/>
        <v>#REF!</v>
      </c>
      <c r="X38" s="1347"/>
      <c r="Y38" s="3793"/>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793"/>
      <c r="Q39" s="1344" t="str">
        <f t="shared" ref="Q39:Q45" si="14">B39</f>
        <v>宗地形状</v>
      </c>
      <c r="R39" s="700" t="s">
        <v>14</v>
      </c>
      <c r="S39" s="701">
        <f t="shared" si="10"/>
        <v>102</v>
      </c>
      <c r="T39" s="700" t="s">
        <v>14</v>
      </c>
      <c r="U39" s="701">
        <f t="shared" si="11"/>
        <v>102</v>
      </c>
      <c r="V39" s="700" t="s">
        <v>14</v>
      </c>
      <c r="W39" s="701">
        <f t="shared" si="12"/>
        <v>102</v>
      </c>
      <c r="X39" s="1347"/>
      <c r="Y39" s="3793"/>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793"/>
      <c r="Q40" s="1344" t="str">
        <f t="shared" si="14"/>
        <v>临街宽度及深度</v>
      </c>
      <c r="R40" s="700" t="s">
        <v>14</v>
      </c>
      <c r="S40" s="701">
        <f t="shared" si="10"/>
        <v>100</v>
      </c>
      <c r="T40" s="700" t="s">
        <v>14</v>
      </c>
      <c r="U40" s="701">
        <f t="shared" si="11"/>
        <v>100</v>
      </c>
      <c r="V40" s="700" t="s">
        <v>14</v>
      </c>
      <c r="W40" s="701">
        <f t="shared" si="12"/>
        <v>100</v>
      </c>
      <c r="X40" s="1347"/>
      <c r="Y40" s="3793"/>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793"/>
      <c r="Q41" s="1344" t="str">
        <f t="shared" si="14"/>
        <v>宗地开发程度</v>
      </c>
      <c r="R41" s="696" t="s">
        <v>14</v>
      </c>
      <c r="S41" s="697">
        <f t="shared" si="10"/>
        <v>99</v>
      </c>
      <c r="T41" s="696" t="s">
        <v>14</v>
      </c>
      <c r="U41" s="697">
        <f t="shared" si="11"/>
        <v>99</v>
      </c>
      <c r="V41" s="696" t="s">
        <v>14</v>
      </c>
      <c r="W41" s="697">
        <f t="shared" si="12"/>
        <v>99</v>
      </c>
      <c r="X41" s="698"/>
      <c r="Y41" s="3793"/>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793" t="s">
        <v>1696</v>
      </c>
      <c r="Q42" s="1344" t="str">
        <f t="shared" si="14"/>
        <v>工程地质条件</v>
      </c>
      <c r="R42" s="700" t="s">
        <v>14</v>
      </c>
      <c r="S42" s="701">
        <f t="shared" si="10"/>
        <v>100</v>
      </c>
      <c r="T42" s="700" t="s">
        <v>14</v>
      </c>
      <c r="U42" s="701">
        <f t="shared" si="11"/>
        <v>100</v>
      </c>
      <c r="V42" s="700" t="s">
        <v>14</v>
      </c>
      <c r="W42" s="701">
        <f t="shared" si="12"/>
        <v>100</v>
      </c>
      <c r="X42" s="1347"/>
      <c r="Y42" s="3793"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793"/>
      <c r="Q43" s="1344">
        <f t="shared" si="14"/>
        <v>111</v>
      </c>
      <c r="R43" s="700" t="s">
        <v>14</v>
      </c>
      <c r="S43" s="701">
        <f t="shared" si="10"/>
        <v>100</v>
      </c>
      <c r="T43" s="700" t="s">
        <v>14</v>
      </c>
      <c r="U43" s="701">
        <f t="shared" si="11"/>
        <v>100</v>
      </c>
      <c r="V43" s="700" t="s">
        <v>14</v>
      </c>
      <c r="W43" s="701">
        <f t="shared" si="12"/>
        <v>100</v>
      </c>
      <c r="X43" s="1347"/>
      <c r="Y43" s="3793"/>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793"/>
      <c r="Q44" s="1344">
        <f t="shared" si="14"/>
        <v>111</v>
      </c>
      <c r="R44" s="700" t="s">
        <v>14</v>
      </c>
      <c r="S44" s="701">
        <f t="shared" si="10"/>
        <v>100</v>
      </c>
      <c r="T44" s="700" t="s">
        <v>14</v>
      </c>
      <c r="U44" s="701">
        <f t="shared" si="11"/>
        <v>100</v>
      </c>
      <c r="V44" s="700" t="s">
        <v>14</v>
      </c>
      <c r="W44" s="701">
        <f t="shared" si="12"/>
        <v>100</v>
      </c>
      <c r="X44" s="1347"/>
      <c r="Y44" s="3793"/>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793"/>
      <c r="Q45" s="1344">
        <f t="shared" si="14"/>
        <v>111</v>
      </c>
      <c r="R45" s="703" t="s">
        <v>14</v>
      </c>
      <c r="S45" s="704">
        <f t="shared" si="10"/>
        <v>100</v>
      </c>
      <c r="T45" s="703" t="s">
        <v>14</v>
      </c>
      <c r="U45" s="704">
        <f t="shared" si="11"/>
        <v>100</v>
      </c>
      <c r="V45" s="703" t="s">
        <v>14</v>
      </c>
      <c r="W45" s="704">
        <f t="shared" si="12"/>
        <v>100</v>
      </c>
      <c r="X45" s="705"/>
      <c r="Y45" s="3793"/>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786" t="str">
        <f>A46</f>
        <v>成交单价</v>
      </c>
      <c r="Q46" s="3786"/>
      <c r="R46" s="3817" t="e">
        <f>E46</f>
        <v>#REF!</v>
      </c>
      <c r="S46" s="3817"/>
      <c r="T46" s="3817" t="e">
        <f>G46</f>
        <v>#REF!</v>
      </c>
      <c r="U46" s="3817"/>
      <c r="V46" s="3817" t="e">
        <f>I46</f>
        <v>#REF!</v>
      </c>
      <c r="W46" s="3817"/>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786" t="str">
        <f>A47</f>
        <v>比较价值（元/平方米）</v>
      </c>
      <c r="Q47" s="3786"/>
      <c r="R47" s="3830" t="e">
        <f>ROUND(PRODUCT(R46,AA7:AA45),0)</f>
        <v>#REF!</v>
      </c>
      <c r="S47" s="3830"/>
      <c r="T47" s="3830" t="e">
        <f>ROUND(PRODUCT(T46,AB7:AB45),0)</f>
        <v>#REF!</v>
      </c>
      <c r="U47" s="3830"/>
      <c r="V47" s="3830" t="e">
        <f>ROUND(PRODUCT(V46,AC7:AC45),0)</f>
        <v>#REF!</v>
      </c>
      <c r="W47" s="3830"/>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783" t="str">
        <f>A48</f>
        <v>估价对象XX用房的比较价值（楼面单价，元/平方米）</v>
      </c>
      <c r="Q48" s="3784"/>
      <c r="R48" s="3831" t="e">
        <f>ROUND(IF(D47="简单平均",AVERAGE(R47:W47),R47*F47+T47*H47+V47*J47),0)</f>
        <v>#REF!</v>
      </c>
      <c r="S48" s="3831"/>
      <c r="T48" s="3831"/>
      <c r="U48" s="3831"/>
      <c r="V48" s="3831"/>
      <c r="W48" s="3831"/>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01" t="s">
        <v>1887</v>
      </c>
      <c r="H55" s="3832"/>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1422.5</v>
      </c>
      <c r="F56" s="878" t="e">
        <f t="shared" ref="F56:F64" si="15">ROUND(B56*E56/10000,0)</f>
        <v>#REF!</v>
      </c>
      <c r="G56" s="3797"/>
      <c r="H56" s="3786"/>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1467.45</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28</v>
      </c>
      <c r="D10" s="837">
        <f ca="1">IF(B1="",'数据-汇总表'!E6,IF(INDIRECT("'数据-取费表'!c"&amp;$G$1)="住宅",INDIRECT("'数据-取费表'!s"&amp;$G$1),INDIRECT("'数据-取费表'!k"&amp;$G$1)+INDIRECT("'数据-取费表'!s"&amp;$G$1)))</f>
        <v>1467.45</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29</v>
      </c>
      <c r="D19" s="841">
        <f ca="1">D9+D10</f>
        <v>1467.45</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715</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656</v>
      </c>
      <c r="D34" s="217"/>
      <c r="E34" s="220"/>
      <c r="F34" s="257">
        <f ca="1">IF('数据-取费表'!B24=0,1,IF(B1="",'数据-取费表'!N16,INDIRECT("'数据-取费表'!n"&amp;$G$1)))</f>
        <v>1</v>
      </c>
      <c r="G34" s="219" t="s">
        <v>1526</v>
      </c>
    </row>
    <row r="35" spans="1:7" ht="13.5" customHeight="1">
      <c r="A35" s="772" t="s">
        <v>351</v>
      </c>
      <c r="B35" s="215" t="s">
        <v>1527</v>
      </c>
      <c r="C35" s="220">
        <f ca="1">ROUND(C34*F35,0)</f>
        <v>20</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29</v>
      </c>
      <c r="D37" s="217">
        <f ca="1">D19</f>
        <v>1467.45</v>
      </c>
      <c r="E37" s="249">
        <f>'数据-取费表'!B35</f>
        <v>200</v>
      </c>
      <c r="F37" s="259"/>
      <c r="G37" s="261" t="s">
        <v>1532</v>
      </c>
    </row>
    <row r="38" spans="1:7" ht="13.5" customHeight="1">
      <c r="A38" s="772"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25</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25</v>
      </c>
      <c r="D42" s="238"/>
      <c r="E42" s="238"/>
      <c r="F42" s="239"/>
      <c r="G42" s="3835" t="s">
        <v>1544</v>
      </c>
    </row>
    <row r="43" spans="1:7" ht="13.5" customHeight="1">
      <c r="A43" s="772" t="s">
        <v>347</v>
      </c>
      <c r="B43" s="215" t="s">
        <v>1545</v>
      </c>
      <c r="C43" s="238">
        <f ca="1">ROUND(IF('数据-取费表'!B22&lt;=1,C39*F22*'数据-取费表'!B21/2,C39*(POWER((1+F22),'数据-取费表'!B21/2)-1)),0)</f>
        <v>0</v>
      </c>
      <c r="D43" s="238"/>
      <c r="E43" s="238"/>
      <c r="F43" s="239"/>
      <c r="G43" s="3836"/>
    </row>
    <row r="44" spans="1:7" ht="13.5" customHeight="1">
      <c r="A44" s="772" t="s">
        <v>348</v>
      </c>
      <c r="B44" s="215" t="s">
        <v>1546</v>
      </c>
      <c r="C44" s="238">
        <f ca="1">ROUND(IF('数据-取费表'!B22&lt;=1,C40*F22*'数据-取费表'!B21/2,C40*(POWER((1+F22),'数据-取费表'!B21/2)-1)),4)</f>
        <v>6.9999999999999999E-4</v>
      </c>
      <c r="D44" s="238"/>
      <c r="E44" s="238"/>
      <c r="F44" s="239"/>
      <c r="G44" s="3837"/>
    </row>
    <row r="45" spans="1:7" s="214" customFormat="1" ht="13.5" customHeight="1">
      <c r="A45" s="255" t="s">
        <v>1547</v>
      </c>
      <c r="B45" s="244" t="s">
        <v>1513</v>
      </c>
      <c r="C45" s="245">
        <f ca="1">C46</f>
        <v>109</v>
      </c>
      <c r="D45" s="235">
        <f ca="1">C47</f>
        <v>3.0000000000000001E-3</v>
      </c>
      <c r="E45" s="236" t="s">
        <v>1539</v>
      </c>
      <c r="F45" s="246">
        <f ca="1">F27</f>
        <v>0.15</v>
      </c>
      <c r="G45" s="247" t="s">
        <v>1548</v>
      </c>
    </row>
    <row r="46" spans="1:7" s="214" customFormat="1" ht="13.5" customHeight="1">
      <c r="A46" s="772" t="s">
        <v>346</v>
      </c>
      <c r="B46" s="248" t="s">
        <v>1549</v>
      </c>
      <c r="C46" s="249">
        <f ca="1">ROUND((C33+C39)*F27,0)</f>
        <v>109</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934</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906</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35" t="s">
        <v>1591</v>
      </c>
    </row>
    <row r="43" spans="1:7" ht="13.5" customHeight="1">
      <c r="A43" s="772" t="s">
        <v>347</v>
      </c>
      <c r="B43" s="215" t="s">
        <v>1545</v>
      </c>
      <c r="C43" s="238" t="e">
        <f ca="1">ROUND(IF('数据-取费表'!B22&lt;=1,C39*F22*'数据-取费表'!B20/2,C39*(POWER((1+F22),'数据-取费表'!B20/2)-1)),0)</f>
        <v>#N/A</v>
      </c>
      <c r="D43" s="238"/>
      <c r="E43" s="238"/>
      <c r="F43" s="239"/>
      <c r="G43" s="3836"/>
    </row>
    <row r="44" spans="1:7" ht="13.5" customHeight="1">
      <c r="A44" s="772" t="s">
        <v>348</v>
      </c>
      <c r="B44" s="215" t="s">
        <v>1546</v>
      </c>
      <c r="C44" s="238">
        <f ca="1">ROUND(IF('数据-取费表'!B22&lt;=1,C40*F22*'数据-取费表'!B20/2,C40*(POWER((1+F22),'数据-取费表'!B20/2)-1)),4)</f>
        <v>6.9999999999999999E-4</v>
      </c>
      <c r="D44" s="238"/>
      <c r="E44" s="238"/>
      <c r="F44" s="239"/>
      <c r="G44" s="3837"/>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302</v>
      </c>
      <c r="C2" s="276" t="s">
        <v>1595</v>
      </c>
      <c r="D2" s="276"/>
      <c r="E2" s="2790"/>
      <c r="F2" s="2790"/>
      <c r="G2" s="2790"/>
      <c r="H2" s="2790"/>
      <c r="I2" s="2790"/>
      <c r="J2" s="2790"/>
      <c r="K2" s="2790"/>
    </row>
    <row r="3" spans="1:33" ht="18" customHeight="1" thickBot="1">
      <c r="A3" s="203" t="s">
        <v>1464</v>
      </c>
      <c r="B3" s="204">
        <f ca="1">ROUND(B2*10000/IF(C1="",'数据-汇总表'!E3,INDIRECT("'数据-取费表'!K"&amp;$K$1)),0)</f>
        <v>2058</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1467.45</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1467.45</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-265</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28</v>
      </c>
      <c r="D20" s="838">
        <f ca="1">IF(C1="",'数据-汇总表'!E6,IF(INDIRECT("'数据-取费表'!c"&amp;$K$1)="住宅",INDIRECT("'数据-取费表'!s"&amp;$K$1),INDIRECT("'数据-取费表'!k"&amp;$K$1)+INDIRECT("'数据-取费表'!s"&amp;$K$1)))</f>
        <v>1467.45</v>
      </c>
      <c r="E20" s="21">
        <f>'数据-取费表'!B28</f>
        <v>190</v>
      </c>
      <c r="F20" s="796"/>
      <c r="G20" s="12"/>
      <c r="H20" s="801"/>
      <c r="I20" s="801"/>
      <c r="J20" s="801"/>
      <c r="K20" s="802"/>
    </row>
    <row r="21" spans="1:33" s="795" customFormat="1" ht="13.5" customHeight="1">
      <c r="A21" s="782" t="s">
        <v>357</v>
      </c>
      <c r="B21" s="805" t="s">
        <v>1628</v>
      </c>
      <c r="C21" s="806">
        <f ca="1">C16+C17+C18</f>
        <v>-265</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302</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01" t="s">
        <v>1770</v>
      </c>
      <c r="D4" s="3802"/>
      <c r="E4" s="3803" t="s">
        <v>1771</v>
      </c>
      <c r="F4" s="3804"/>
      <c r="G4" s="3801" t="s">
        <v>1772</v>
      </c>
      <c r="H4" s="3802"/>
      <c r="I4" s="3801" t="s">
        <v>1773</v>
      </c>
      <c r="J4" s="3802"/>
      <c r="K4" s="556" t="s">
        <v>1774</v>
      </c>
      <c r="L4" s="905"/>
      <c r="M4" s="906"/>
      <c r="N4" s="906"/>
      <c r="O4" s="906"/>
      <c r="P4" s="3805" t="s">
        <v>1775</v>
      </c>
      <c r="Q4" s="3806"/>
      <c r="R4" s="3811" t="s">
        <v>1771</v>
      </c>
      <c r="S4" s="3812"/>
      <c r="T4" s="3811" t="s">
        <v>1772</v>
      </c>
      <c r="U4" s="3812"/>
      <c r="V4" s="3817" t="s">
        <v>1773</v>
      </c>
      <c r="W4" s="3817"/>
      <c r="X4" s="1347"/>
      <c r="Y4" s="3811" t="s">
        <v>1775</v>
      </c>
      <c r="Z4" s="3812"/>
      <c r="AA4" s="3798" t="s">
        <v>1771</v>
      </c>
      <c r="AB4" s="3799" t="s">
        <v>1772</v>
      </c>
      <c r="AC4" s="3798" t="s">
        <v>1773</v>
      </c>
    </row>
    <row r="5" spans="1:29" ht="15">
      <c r="A5" s="358"/>
      <c r="B5" s="359"/>
      <c r="C5" s="3825" t="s">
        <v>1673</v>
      </c>
      <c r="D5" s="3821"/>
      <c r="E5" s="3828" t="s">
        <v>3429</v>
      </c>
      <c r="F5" s="3829"/>
      <c r="G5" s="3820" t="s">
        <v>3400</v>
      </c>
      <c r="H5" s="3821"/>
      <c r="I5" s="3820" t="s">
        <v>3428</v>
      </c>
      <c r="J5" s="3821"/>
      <c r="K5" s="556"/>
      <c r="L5" s="905"/>
      <c r="M5" s="906"/>
      <c r="N5" s="906"/>
      <c r="O5" s="906"/>
      <c r="P5" s="3807"/>
      <c r="Q5" s="3808"/>
      <c r="R5" s="3813"/>
      <c r="S5" s="3814"/>
      <c r="T5" s="3813"/>
      <c r="U5" s="3814"/>
      <c r="V5" s="3817"/>
      <c r="W5" s="3817"/>
      <c r="X5" s="1347"/>
      <c r="Y5" s="3813"/>
      <c r="Z5" s="3814"/>
      <c r="AA5" s="3799"/>
      <c r="AB5" s="3799"/>
      <c r="AC5" s="3799"/>
    </row>
    <row r="6" spans="1:29" ht="15.75" thickBot="1">
      <c r="A6" s="360"/>
      <c r="B6" s="361"/>
      <c r="C6" s="3818" t="s">
        <v>1677</v>
      </c>
      <c r="D6" s="3819"/>
      <c r="E6" s="3826" t="s">
        <v>1677</v>
      </c>
      <c r="F6" s="3827"/>
      <c r="G6" s="3818" t="s">
        <v>1677</v>
      </c>
      <c r="H6" s="3819"/>
      <c r="I6" s="3818" t="s">
        <v>1677</v>
      </c>
      <c r="J6" s="3819"/>
      <c r="K6" s="556" t="s">
        <v>1678</v>
      </c>
      <c r="L6" s="905"/>
      <c r="M6" s="906"/>
      <c r="N6" s="906"/>
      <c r="O6" s="906"/>
      <c r="P6" s="3809"/>
      <c r="Q6" s="3810"/>
      <c r="R6" s="3813"/>
      <c r="S6" s="3814"/>
      <c r="T6" s="3815"/>
      <c r="U6" s="3816"/>
      <c r="V6" s="3817"/>
      <c r="W6" s="3817"/>
      <c r="X6" s="1347"/>
      <c r="Y6" s="3815"/>
      <c r="Z6" s="3816"/>
      <c r="AA6" s="3800"/>
      <c r="AB6" s="3800"/>
      <c r="AC6" s="3800"/>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822" t="s">
        <v>1680</v>
      </c>
      <c r="Q7" s="3824"/>
      <c r="R7" s="696" t="s">
        <v>14</v>
      </c>
      <c r="S7" s="697">
        <f t="shared" ref="S7:S15" si="0">F7</f>
        <v>100</v>
      </c>
      <c r="T7" s="696" t="s">
        <v>14</v>
      </c>
      <c r="U7" s="697">
        <f t="shared" ref="U7:U15" si="1">H7</f>
        <v>100</v>
      </c>
      <c r="V7" s="696" t="s">
        <v>14</v>
      </c>
      <c r="W7" s="697">
        <f t="shared" ref="W7:W15" si="2">J7</f>
        <v>100</v>
      </c>
      <c r="X7" s="698"/>
      <c r="Y7" s="3822" t="s">
        <v>1680</v>
      </c>
      <c r="Z7" s="3823"/>
      <c r="AA7" s="699">
        <f>D7/F7</f>
        <v>1</v>
      </c>
      <c r="AB7" s="699">
        <f>D7/H7</f>
        <v>1</v>
      </c>
      <c r="AC7" s="699">
        <f>D7/J7</f>
        <v>1</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22" t="s">
        <v>1683</v>
      </c>
      <c r="Q8" s="3823"/>
      <c r="R8" s="696" t="s">
        <v>14</v>
      </c>
      <c r="S8" s="697">
        <f t="shared" si="0"/>
        <v>101</v>
      </c>
      <c r="T8" s="696" t="s">
        <v>14</v>
      </c>
      <c r="U8" s="697">
        <f t="shared" si="1"/>
        <v>101</v>
      </c>
      <c r="V8" s="696" t="s">
        <v>14</v>
      </c>
      <c r="W8" s="697">
        <f t="shared" si="2"/>
        <v>101</v>
      </c>
      <c r="X8" s="698"/>
      <c r="Y8" s="3822" t="s">
        <v>1683</v>
      </c>
      <c r="Z8" s="3823"/>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786" t="s">
        <v>1686</v>
      </c>
      <c r="Q9" s="1335" t="str">
        <f t="shared" ref="Q9:Q15" si="6">B9</f>
        <v>用途</v>
      </c>
      <c r="R9" s="696" t="s">
        <v>14</v>
      </c>
      <c r="S9" s="697">
        <f t="shared" si="0"/>
        <v>100</v>
      </c>
      <c r="T9" s="696" t="s">
        <v>14</v>
      </c>
      <c r="U9" s="697">
        <f t="shared" si="1"/>
        <v>100</v>
      </c>
      <c r="V9" s="696" t="s">
        <v>14</v>
      </c>
      <c r="W9" s="697">
        <f t="shared" si="2"/>
        <v>100</v>
      </c>
      <c r="X9" s="698"/>
      <c r="Y9" s="3690"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786"/>
      <c r="Q10" s="1335" t="str">
        <f t="shared" si="6"/>
        <v>土地使用年限（年）</v>
      </c>
      <c r="R10" s="696" t="s">
        <v>14</v>
      </c>
      <c r="S10" s="697">
        <f t="shared" si="0"/>
        <v>100</v>
      </c>
      <c r="T10" s="696" t="s">
        <v>14</v>
      </c>
      <c r="U10" s="697">
        <f t="shared" si="1"/>
        <v>100</v>
      </c>
      <c r="V10" s="696" t="s">
        <v>14</v>
      </c>
      <c r="W10" s="697">
        <f t="shared" si="2"/>
        <v>100</v>
      </c>
      <c r="X10" s="698"/>
      <c r="Y10" s="3690"/>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786"/>
      <c r="Q11" s="1335" t="str">
        <f t="shared" si="6"/>
        <v>容积率</v>
      </c>
      <c r="R11" s="696" t="s">
        <v>14</v>
      </c>
      <c r="S11" s="697">
        <f t="shared" si="0"/>
        <v>100</v>
      </c>
      <c r="T11" s="696" t="s">
        <v>14</v>
      </c>
      <c r="U11" s="697">
        <f t="shared" si="1"/>
        <v>100</v>
      </c>
      <c r="V11" s="696" t="s">
        <v>14</v>
      </c>
      <c r="W11" s="697">
        <f t="shared" si="2"/>
        <v>100</v>
      </c>
      <c r="X11" s="698"/>
      <c r="Y11" s="3690"/>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786"/>
      <c r="Q12" s="1335">
        <f t="shared" si="6"/>
        <v>111</v>
      </c>
      <c r="R12" s="696" t="s">
        <v>14</v>
      </c>
      <c r="S12" s="697">
        <f t="shared" si="0"/>
        <v>100</v>
      </c>
      <c r="T12" s="696" t="s">
        <v>14</v>
      </c>
      <c r="U12" s="697">
        <f t="shared" si="1"/>
        <v>100</v>
      </c>
      <c r="V12" s="696" t="s">
        <v>14</v>
      </c>
      <c r="W12" s="697">
        <f t="shared" si="2"/>
        <v>100</v>
      </c>
      <c r="X12" s="698"/>
      <c r="Y12" s="3690"/>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786"/>
      <c r="Q13" s="1335">
        <f t="shared" si="6"/>
        <v>111</v>
      </c>
      <c r="R13" s="696" t="s">
        <v>14</v>
      </c>
      <c r="S13" s="697">
        <f t="shared" si="0"/>
        <v>100</v>
      </c>
      <c r="T13" s="696" t="s">
        <v>14</v>
      </c>
      <c r="U13" s="697">
        <f t="shared" si="1"/>
        <v>100</v>
      </c>
      <c r="V13" s="696" t="s">
        <v>14</v>
      </c>
      <c r="W13" s="697">
        <f t="shared" si="2"/>
        <v>100</v>
      </c>
      <c r="X13" s="698"/>
      <c r="Y13" s="3690"/>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786"/>
      <c r="Q14" s="1335">
        <f t="shared" si="6"/>
        <v>111</v>
      </c>
      <c r="R14" s="696" t="s">
        <v>14</v>
      </c>
      <c r="S14" s="697">
        <f t="shared" si="0"/>
        <v>100</v>
      </c>
      <c r="T14" s="696" t="s">
        <v>14</v>
      </c>
      <c r="U14" s="697">
        <f t="shared" si="1"/>
        <v>100</v>
      </c>
      <c r="V14" s="696" t="s">
        <v>14</v>
      </c>
      <c r="W14" s="697">
        <f t="shared" si="2"/>
        <v>100</v>
      </c>
      <c r="X14" s="698"/>
      <c r="Y14" s="3690"/>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788" t="s">
        <v>1691</v>
      </c>
      <c r="Q15" s="1344" t="str">
        <f t="shared" si="6"/>
        <v>产业集聚程度</v>
      </c>
      <c r="R15" s="700" t="s">
        <v>14</v>
      </c>
      <c r="S15" s="701">
        <f t="shared" si="0"/>
        <v>100</v>
      </c>
      <c r="T15" s="700" t="s">
        <v>14</v>
      </c>
      <c r="U15" s="701">
        <f t="shared" si="1"/>
        <v>100</v>
      </c>
      <c r="V15" s="700" t="s">
        <v>14</v>
      </c>
      <c r="W15" s="701">
        <f t="shared" si="2"/>
        <v>100</v>
      </c>
      <c r="X15" s="1347"/>
      <c r="Y15" s="3788"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789"/>
      <c r="Q16" s="1344"/>
      <c r="R16" s="700"/>
      <c r="S16" s="701"/>
      <c r="T16" s="700"/>
      <c r="U16" s="701"/>
      <c r="V16" s="700"/>
      <c r="W16" s="701"/>
      <c r="X16" s="1347"/>
      <c r="Y16" s="3789"/>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789"/>
      <c r="Q17" s="1344" t="str">
        <f>B17</f>
        <v>交通便捷度</v>
      </c>
      <c r="R17" s="700" t="s">
        <v>14</v>
      </c>
      <c r="S17" s="701">
        <f>F17</f>
        <v>100</v>
      </c>
      <c r="T17" s="700" t="s">
        <v>14</v>
      </c>
      <c r="U17" s="701">
        <f>H17</f>
        <v>100</v>
      </c>
      <c r="V17" s="700" t="s">
        <v>14</v>
      </c>
      <c r="W17" s="701">
        <f>J17</f>
        <v>100</v>
      </c>
      <c r="X17" s="1347"/>
      <c r="Y17" s="3789"/>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789"/>
      <c r="Q18" s="1344"/>
      <c r="R18" s="700"/>
      <c r="S18" s="701"/>
      <c r="T18" s="700"/>
      <c r="U18" s="701"/>
      <c r="V18" s="700"/>
      <c r="W18" s="701"/>
      <c r="X18" s="1347"/>
      <c r="Y18" s="3789"/>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789"/>
      <c r="Q19" s="1344" t="str">
        <f>B19</f>
        <v>公共配套设施</v>
      </c>
      <c r="R19" s="700" t="s">
        <v>14</v>
      </c>
      <c r="S19" s="701">
        <f>F19</f>
        <v>100</v>
      </c>
      <c r="T19" s="700" t="s">
        <v>14</v>
      </c>
      <c r="U19" s="701">
        <f>H19</f>
        <v>100</v>
      </c>
      <c r="V19" s="700" t="s">
        <v>14</v>
      </c>
      <c r="W19" s="701">
        <f>J19</f>
        <v>100</v>
      </c>
      <c r="X19" s="1347"/>
      <c r="Y19" s="3789"/>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789"/>
      <c r="Q20" s="1344"/>
      <c r="R20" s="700"/>
      <c r="S20" s="701"/>
      <c r="T20" s="700"/>
      <c r="U20" s="701"/>
      <c r="V20" s="700"/>
      <c r="W20" s="701"/>
      <c r="X20" s="1347"/>
      <c r="Y20" s="3789"/>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789"/>
      <c r="Q21" s="1344" t="str">
        <f>B21</f>
        <v>基础设施水平</v>
      </c>
      <c r="R21" s="700" t="s">
        <v>14</v>
      </c>
      <c r="S21" s="701">
        <f>F21</f>
        <v>100</v>
      </c>
      <c r="T21" s="700" t="s">
        <v>14</v>
      </c>
      <c r="U21" s="701">
        <f>H21</f>
        <v>100</v>
      </c>
      <c r="V21" s="700" t="s">
        <v>14</v>
      </c>
      <c r="W21" s="701">
        <f>J21</f>
        <v>100</v>
      </c>
      <c r="X21" s="1347"/>
      <c r="Y21" s="3789"/>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789"/>
      <c r="Q22" s="1344"/>
      <c r="R22" s="700"/>
      <c r="S22" s="701"/>
      <c r="T22" s="700"/>
      <c r="U22" s="701"/>
      <c r="V22" s="700"/>
      <c r="W22" s="701"/>
      <c r="X22" s="1347"/>
      <c r="Y22" s="3789"/>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789"/>
      <c r="Q23" s="1344" t="str">
        <f>B23</f>
        <v>环境质量</v>
      </c>
      <c r="R23" s="700" t="s">
        <v>14</v>
      </c>
      <c r="S23" s="701">
        <f>F23</f>
        <v>100</v>
      </c>
      <c r="T23" s="700" t="s">
        <v>14</v>
      </c>
      <c r="U23" s="701">
        <f>H23</f>
        <v>100</v>
      </c>
      <c r="V23" s="700" t="s">
        <v>14</v>
      </c>
      <c r="W23" s="701">
        <f>J23</f>
        <v>100</v>
      </c>
      <c r="X23" s="1347"/>
      <c r="Y23" s="3789"/>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789"/>
      <c r="Q24" s="1344"/>
      <c r="R24" s="700"/>
      <c r="S24" s="701"/>
      <c r="T24" s="700"/>
      <c r="U24" s="701"/>
      <c r="V24" s="700"/>
      <c r="W24" s="701"/>
      <c r="X24" s="1347"/>
      <c r="Y24" s="3789"/>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789"/>
      <c r="Q25" s="1344">
        <f>B25</f>
        <v>0</v>
      </c>
      <c r="R25" s="700" t="s">
        <v>14</v>
      </c>
      <c r="S25" s="701">
        <f>F25</f>
        <v>100</v>
      </c>
      <c r="T25" s="700" t="s">
        <v>14</v>
      </c>
      <c r="U25" s="701">
        <f>H25</f>
        <v>100</v>
      </c>
      <c r="V25" s="700" t="s">
        <v>14</v>
      </c>
      <c r="W25" s="701">
        <f>J25</f>
        <v>100</v>
      </c>
      <c r="X25" s="1347"/>
      <c r="Y25" s="3789"/>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789"/>
      <c r="Q26" s="1344">
        <f t="shared" ref="Q26:Q40" si="11">B26</f>
        <v>0</v>
      </c>
      <c r="R26" s="700" t="s">
        <v>14</v>
      </c>
      <c r="S26" s="701">
        <f>F26</f>
        <v>100</v>
      </c>
      <c r="T26" s="700" t="s">
        <v>14</v>
      </c>
      <c r="U26" s="701">
        <f>H26</f>
        <v>100</v>
      </c>
      <c r="V26" s="700" t="s">
        <v>14</v>
      </c>
      <c r="W26" s="701">
        <f>J26</f>
        <v>100</v>
      </c>
      <c r="X26" s="1347"/>
      <c r="Y26" s="3789"/>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789"/>
      <c r="Q27" s="1335">
        <f t="shared" si="11"/>
        <v>0</v>
      </c>
      <c r="R27" s="696" t="s">
        <v>14</v>
      </c>
      <c r="S27" s="697">
        <f>F27</f>
        <v>100</v>
      </c>
      <c r="T27" s="696" t="s">
        <v>14</v>
      </c>
      <c r="U27" s="697">
        <f>H27</f>
        <v>100</v>
      </c>
      <c r="V27" s="696" t="s">
        <v>14</v>
      </c>
      <c r="W27" s="697">
        <f>J27</f>
        <v>100</v>
      </c>
      <c r="X27" s="698"/>
      <c r="Y27" s="3789"/>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789"/>
      <c r="Q28" s="1344">
        <f t="shared" si="11"/>
        <v>0</v>
      </c>
      <c r="R28" s="700" t="s">
        <v>14</v>
      </c>
      <c r="S28" s="701">
        <f t="shared" ref="S28:S40" si="12">F28</f>
        <v>100</v>
      </c>
      <c r="T28" s="700" t="s">
        <v>14</v>
      </c>
      <c r="U28" s="701">
        <f t="shared" ref="U28:U40" si="13">H28</f>
        <v>100</v>
      </c>
      <c r="V28" s="700" t="s">
        <v>14</v>
      </c>
      <c r="W28" s="701">
        <f t="shared" ref="W28:W40" si="14">J28</f>
        <v>100</v>
      </c>
      <c r="X28" s="1347"/>
      <c r="Y28" s="3789"/>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33" t="s">
        <v>1696</v>
      </c>
      <c r="Q29" s="1344" t="str">
        <f t="shared" si="11"/>
        <v>建筑类型</v>
      </c>
      <c r="R29" s="700" t="s">
        <v>14</v>
      </c>
      <c r="S29" s="701">
        <f t="shared" si="12"/>
        <v>100</v>
      </c>
      <c r="T29" s="700" t="s">
        <v>14</v>
      </c>
      <c r="U29" s="701">
        <f t="shared" si="13"/>
        <v>100</v>
      </c>
      <c r="V29" s="700" t="s">
        <v>14</v>
      </c>
      <c r="W29" s="701">
        <f t="shared" si="14"/>
        <v>100</v>
      </c>
      <c r="X29" s="1347"/>
      <c r="Y29" s="3793"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275.55</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793"/>
      <c r="Q30" s="702" t="str">
        <f t="shared" si="11"/>
        <v>项目建筑规模</v>
      </c>
      <c r="R30" s="703" t="s">
        <v>14</v>
      </c>
      <c r="S30" s="704">
        <f t="shared" si="12"/>
        <v>101</v>
      </c>
      <c r="T30" s="703" t="s">
        <v>14</v>
      </c>
      <c r="U30" s="704">
        <f t="shared" si="13"/>
        <v>101</v>
      </c>
      <c r="V30" s="703" t="s">
        <v>14</v>
      </c>
      <c r="W30" s="704">
        <f t="shared" si="14"/>
        <v>101</v>
      </c>
      <c r="X30" s="705"/>
      <c r="Y30" s="3793"/>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793"/>
      <c r="Q31" s="1344" t="str">
        <f t="shared" si="11"/>
        <v>建筑结构</v>
      </c>
      <c r="R31" s="700" t="s">
        <v>14</v>
      </c>
      <c r="S31" s="701">
        <f t="shared" si="12"/>
        <v>100</v>
      </c>
      <c r="T31" s="700" t="s">
        <v>14</v>
      </c>
      <c r="U31" s="701">
        <f t="shared" si="13"/>
        <v>100</v>
      </c>
      <c r="V31" s="700" t="s">
        <v>14</v>
      </c>
      <c r="W31" s="701">
        <f t="shared" si="14"/>
        <v>100</v>
      </c>
      <c r="X31" s="1347"/>
      <c r="Y31" s="3793"/>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793"/>
      <c r="Q32" s="1344" t="str">
        <f t="shared" si="11"/>
        <v>公共部分装修</v>
      </c>
      <c r="R32" s="700" t="s">
        <v>14</v>
      </c>
      <c r="S32" s="701">
        <f t="shared" si="12"/>
        <v>100</v>
      </c>
      <c r="T32" s="700" t="s">
        <v>14</v>
      </c>
      <c r="U32" s="701">
        <f t="shared" si="13"/>
        <v>100</v>
      </c>
      <c r="V32" s="700" t="s">
        <v>14</v>
      </c>
      <c r="W32" s="701">
        <f t="shared" si="14"/>
        <v>100</v>
      </c>
      <c r="X32" s="1347"/>
      <c r="Y32" s="3793"/>
      <c r="Z32" s="1348" t="str">
        <f t="shared" si="15"/>
        <v>公共部分装修</v>
      </c>
      <c r="AA32" s="1345">
        <f t="shared" si="3"/>
        <v>1</v>
      </c>
      <c r="AB32" s="1345">
        <f t="shared" si="4"/>
        <v>1</v>
      </c>
      <c r="AC32" s="1345">
        <f t="shared" si="5"/>
        <v>1</v>
      </c>
    </row>
    <row r="33" spans="1:29" ht="15">
      <c r="A33" s="422"/>
      <c r="B33" s="374" t="s">
        <v>1786</v>
      </c>
      <c r="C33" s="3445">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793"/>
      <c r="Q33" s="1344" t="str">
        <f t="shared" si="11"/>
        <v>成新度</v>
      </c>
      <c r="R33" s="700" t="s">
        <v>14</v>
      </c>
      <c r="S33" s="701">
        <f t="shared" si="12"/>
        <v>100</v>
      </c>
      <c r="T33" s="700" t="s">
        <v>14</v>
      </c>
      <c r="U33" s="701">
        <f t="shared" si="13"/>
        <v>100</v>
      </c>
      <c r="V33" s="700" t="s">
        <v>14</v>
      </c>
      <c r="W33" s="701">
        <f t="shared" si="14"/>
        <v>100</v>
      </c>
      <c r="X33" s="1347"/>
      <c r="Y33" s="3793"/>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793"/>
      <c r="Q34" s="1335" t="str">
        <f t="shared" si="11"/>
        <v>物业管理</v>
      </c>
      <c r="R34" s="696" t="s">
        <v>14</v>
      </c>
      <c r="S34" s="697">
        <f t="shared" si="12"/>
        <v>100</v>
      </c>
      <c r="T34" s="696" t="s">
        <v>14</v>
      </c>
      <c r="U34" s="697">
        <f t="shared" si="13"/>
        <v>100</v>
      </c>
      <c r="V34" s="696" t="s">
        <v>14</v>
      </c>
      <c r="W34" s="697">
        <f t="shared" si="14"/>
        <v>100</v>
      </c>
      <c r="X34" s="698"/>
      <c r="Y34" s="3793"/>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793" t="s">
        <v>1696</v>
      </c>
      <c r="Q35" s="1344" t="str">
        <f t="shared" si="11"/>
        <v>市政基础设施</v>
      </c>
      <c r="R35" s="700" t="s">
        <v>14</v>
      </c>
      <c r="S35" s="701">
        <f t="shared" si="12"/>
        <v>100</v>
      </c>
      <c r="T35" s="700" t="s">
        <v>14</v>
      </c>
      <c r="U35" s="701">
        <f t="shared" si="13"/>
        <v>100</v>
      </c>
      <c r="V35" s="700" t="s">
        <v>14</v>
      </c>
      <c r="W35" s="701">
        <f t="shared" si="14"/>
        <v>100</v>
      </c>
      <c r="X35" s="1347"/>
      <c r="Y35" s="3793"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793"/>
      <c r="Q36" s="1344" t="str">
        <f t="shared" si="11"/>
        <v>内部装修</v>
      </c>
      <c r="R36" s="700" t="s">
        <v>14</v>
      </c>
      <c r="S36" s="701">
        <f t="shared" si="12"/>
        <v>100</v>
      </c>
      <c r="T36" s="700" t="s">
        <v>14</v>
      </c>
      <c r="U36" s="701">
        <f t="shared" si="13"/>
        <v>101</v>
      </c>
      <c r="V36" s="700" t="s">
        <v>14</v>
      </c>
      <c r="W36" s="701">
        <f t="shared" si="14"/>
        <v>101</v>
      </c>
      <c r="X36" s="1347"/>
      <c r="Y36" s="3793"/>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793"/>
      <c r="Q37" s="1344" t="str">
        <f t="shared" si="11"/>
        <v>内部装修状况</v>
      </c>
      <c r="R37" s="700" t="s">
        <v>14</v>
      </c>
      <c r="S37" s="701">
        <f t="shared" si="12"/>
        <v>100</v>
      </c>
      <c r="T37" s="700" t="s">
        <v>14</v>
      </c>
      <c r="U37" s="701">
        <f t="shared" si="13"/>
        <v>100</v>
      </c>
      <c r="V37" s="700" t="s">
        <v>14</v>
      </c>
      <c r="W37" s="701">
        <f t="shared" si="14"/>
        <v>100</v>
      </c>
      <c r="X37" s="1347"/>
      <c r="Y37" s="3793"/>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793"/>
      <c r="Q38" s="702" t="str">
        <f t="shared" si="11"/>
        <v>含地下1层</v>
      </c>
      <c r="R38" s="703" t="s">
        <v>14</v>
      </c>
      <c r="S38" s="704">
        <f t="shared" si="12"/>
        <v>100</v>
      </c>
      <c r="T38" s="703" t="s">
        <v>14</v>
      </c>
      <c r="U38" s="704">
        <f t="shared" si="13"/>
        <v>100</v>
      </c>
      <c r="V38" s="703" t="s">
        <v>14</v>
      </c>
      <c r="W38" s="704">
        <f t="shared" si="14"/>
        <v>100</v>
      </c>
      <c r="X38" s="705"/>
      <c r="Y38" s="3793"/>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793"/>
      <c r="Q39" s="1344">
        <f t="shared" si="11"/>
        <v>111</v>
      </c>
      <c r="R39" s="700" t="s">
        <v>14</v>
      </c>
      <c r="S39" s="701">
        <f t="shared" si="12"/>
        <v>100</v>
      </c>
      <c r="T39" s="700" t="s">
        <v>14</v>
      </c>
      <c r="U39" s="701">
        <f t="shared" si="13"/>
        <v>100</v>
      </c>
      <c r="V39" s="700" t="s">
        <v>14</v>
      </c>
      <c r="W39" s="701">
        <f t="shared" si="14"/>
        <v>100</v>
      </c>
      <c r="X39" s="1347"/>
      <c r="Y39" s="3793"/>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794"/>
      <c r="Q40" s="1344">
        <f t="shared" si="11"/>
        <v>111</v>
      </c>
      <c r="R40" s="700" t="s">
        <v>14</v>
      </c>
      <c r="S40" s="701">
        <f t="shared" si="12"/>
        <v>100</v>
      </c>
      <c r="T40" s="700" t="s">
        <v>14</v>
      </c>
      <c r="U40" s="701">
        <f t="shared" si="13"/>
        <v>100</v>
      </c>
      <c r="V40" s="700" t="s">
        <v>14</v>
      </c>
      <c r="W40" s="701">
        <f t="shared" si="14"/>
        <v>100</v>
      </c>
      <c r="X40" s="1347"/>
      <c r="Y40" s="3794"/>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786" t="str">
        <f>A41</f>
        <v>成交单价（元/平方米）</v>
      </c>
      <c r="Q41" s="3786"/>
      <c r="R41" s="3787">
        <f>E41</f>
        <v>23300</v>
      </c>
      <c r="S41" s="3787"/>
      <c r="T41" s="3787">
        <f>G41</f>
        <v>23300</v>
      </c>
      <c r="U41" s="3787"/>
      <c r="V41" s="3787">
        <f>I41</f>
        <v>24000</v>
      </c>
      <c r="W41" s="3787"/>
      <c r="X41" s="685"/>
      <c r="Y41" s="707"/>
      <c r="Z41" s="685"/>
      <c r="AA41" s="685"/>
      <c r="AB41" s="685"/>
      <c r="AC41" s="685"/>
    </row>
    <row r="42" spans="1:29" ht="15.75" thickBot="1">
      <c r="A42" s="434" t="s">
        <v>1793</v>
      </c>
      <c r="B42" s="435"/>
      <c r="C42" s="1152">
        <f>R43</f>
        <v>22917</v>
      </c>
      <c r="D42" s="2305" t="s">
        <v>2137</v>
      </c>
      <c r="E42" s="1153">
        <f>R42</f>
        <v>22841</v>
      </c>
      <c r="F42" s="2306"/>
      <c r="G42" s="1152">
        <f>T42</f>
        <v>22615</v>
      </c>
      <c r="H42" s="2306"/>
      <c r="I42" s="1153">
        <f>V42</f>
        <v>23294</v>
      </c>
      <c r="J42" s="2306"/>
      <c r="K42" s="2308">
        <f>F42+H42+J42</f>
        <v>0</v>
      </c>
      <c r="L42" s="918"/>
      <c r="M42" s="919"/>
      <c r="N42" s="906"/>
      <c r="O42" s="919"/>
      <c r="P42" s="3786" t="str">
        <f>A42</f>
        <v>比较价值（元/平方米）</v>
      </c>
      <c r="Q42" s="3786"/>
      <c r="R42" s="3787">
        <f>IF(F1="售价",ROUND(PRODUCT(R41,AA7:AA40),0),ROUND(PRODUCT(R41,AA7:AA40),1))</f>
        <v>22841</v>
      </c>
      <c r="S42" s="3787"/>
      <c r="T42" s="3787">
        <f>IF(F1="售价",ROUND(PRODUCT(T41,AB7:AB40),0),ROUND(PRODUCT(T41,AB7:AB40),1))</f>
        <v>22615</v>
      </c>
      <c r="U42" s="3787"/>
      <c r="V42" s="3787">
        <f>IF(F1="售价",ROUND(PRODUCT(V41,AC7:AC40),0),ROUND(PRODUCT(V41,AC7:AC40),1))</f>
        <v>23294</v>
      </c>
      <c r="W42" s="3787"/>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783" t="str">
        <f>A43</f>
        <v>估价对象XX用房的比较价值（楼面单价，元/平方米）</v>
      </c>
      <c r="Q43" s="3784"/>
      <c r="R43" s="3785">
        <f>IF(F1="售价",ROUND(IF(D42="简单平均",AVERAGE(R42:V42),R42*F42+T42*H42+V42*J42),0),ROUND(IF(D42="简单平均",AVERAGE(R42:V42),R42*F42+T42*H42+V42*J42),1))</f>
        <v>22917</v>
      </c>
      <c r="S43" s="3785"/>
      <c r="T43" s="3785"/>
      <c r="U43" s="3785"/>
      <c r="V43" s="3785"/>
      <c r="W43" s="3785"/>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4"/>
      <c r="L46" s="881"/>
      <c r="M46" s="919"/>
      <c r="N46" s="919"/>
      <c r="O46" s="919"/>
    </row>
    <row r="47" spans="1:29" ht="13.5" customHeight="1">
      <c r="A47" s="2709"/>
      <c r="B47" s="2709"/>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2" priority="20" stopIfTrue="1" operator="containsText" text="超过">
      <formula>NOT(ISERROR(SEARCH("超过",F46)))</formula>
    </cfRule>
  </conditionalFormatting>
  <conditionalFormatting sqref="H48">
    <cfRule type="containsText" dxfId="161" priority="19" stopIfTrue="1" operator="containsText" text="超过">
      <formula>NOT(ISERROR(SEARCH("超过",H48)))</formula>
    </cfRule>
  </conditionalFormatting>
  <conditionalFormatting sqref="F48">
    <cfRule type="containsText" dxfId="160" priority="18" stopIfTrue="1" operator="containsText" text="超过">
      <formula>NOT(ISERROR(SEARCH("超过",F48)))</formula>
    </cfRule>
  </conditionalFormatting>
  <conditionalFormatting sqref="F47 H47">
    <cfRule type="containsText" dxfId="159" priority="17" stopIfTrue="1" operator="containsText" text="超过">
      <formula>NOT(ISERROR(SEARCH("超过",F47)))</formula>
    </cfRule>
  </conditionalFormatting>
  <conditionalFormatting sqref="E46">
    <cfRule type="expression" dxfId="158" priority="16" stopIfTrue="1">
      <formula>$F$46="超过30%"</formula>
    </cfRule>
  </conditionalFormatting>
  <conditionalFormatting sqref="E47">
    <cfRule type="expression" dxfId="157" priority="15" stopIfTrue="1">
      <formula>$F$47="超过20%"</formula>
    </cfRule>
  </conditionalFormatting>
  <conditionalFormatting sqref="E48">
    <cfRule type="expression" dxfId="156" priority="14" stopIfTrue="1">
      <formula>$F$48="超过30%"</formula>
    </cfRule>
  </conditionalFormatting>
  <conditionalFormatting sqref="G48">
    <cfRule type="expression" dxfId="155" priority="13" stopIfTrue="1">
      <formula>$H$48="超过30%"</formula>
    </cfRule>
  </conditionalFormatting>
  <conditionalFormatting sqref="G46">
    <cfRule type="expression" dxfId="154" priority="12" stopIfTrue="1">
      <formula>$H$46="超过30%"</formula>
    </cfRule>
  </conditionalFormatting>
  <conditionalFormatting sqref="G47">
    <cfRule type="expression" dxfId="153" priority="11" stopIfTrue="1">
      <formula>$H$47="超过20%"</formula>
    </cfRule>
  </conditionalFormatting>
  <conditionalFormatting sqref="J46">
    <cfRule type="containsText" dxfId="152" priority="10" stopIfTrue="1" operator="containsText" text="超过">
      <formula>NOT(ISERROR(SEARCH("超过",J46)))</formula>
    </cfRule>
  </conditionalFormatting>
  <conditionalFormatting sqref="J48">
    <cfRule type="containsText" dxfId="151" priority="9" stopIfTrue="1" operator="containsText" text="超过">
      <formula>NOT(ISERROR(SEARCH("超过",J48)))</formula>
    </cfRule>
  </conditionalFormatting>
  <conditionalFormatting sqref="J47">
    <cfRule type="containsText" dxfId="150" priority="8" stopIfTrue="1" operator="containsText" text="超过">
      <formula>NOT(ISERROR(SEARCH("超过",J47)))</formula>
    </cfRule>
  </conditionalFormatting>
  <conditionalFormatting sqref="I46">
    <cfRule type="expression" dxfId="149" priority="7" stopIfTrue="1">
      <formula>$J$46="超过30%"</formula>
    </cfRule>
  </conditionalFormatting>
  <conditionalFormatting sqref="I47">
    <cfRule type="expression" dxfId="148" priority="6" stopIfTrue="1">
      <formula>$J$47="超过20%"</formula>
    </cfRule>
  </conditionalFormatting>
  <conditionalFormatting sqref="I48">
    <cfRule type="expression" dxfId="147" priority="5" stopIfTrue="1">
      <formula>$J$48="超过30%"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40" t="s">
        <v>694</v>
      </c>
      <c r="C6" s="1066" t="e">
        <f ca="1">ROUND(F6*F8*F7*(1-F9)/10000,0)</f>
        <v>#N/A</v>
      </c>
      <c r="D6" s="155" t="s">
        <v>2108</v>
      </c>
      <c r="E6" s="302" t="s">
        <v>696</v>
      </c>
      <c r="F6" s="303" t="e">
        <f ca="1">INDIRECT("'数据-取费表'!u"&amp;$G$1)</f>
        <v>#N/A</v>
      </c>
      <c r="G6" s="1376"/>
      <c r="H6" s="1061" t="s">
        <v>398</v>
      </c>
      <c r="I6" s="3840" t="s">
        <v>694</v>
      </c>
      <c r="J6" s="301" t="e">
        <f ca="1">ROUND(M6*M8*M7*(1-M9)/10000,0)</f>
        <v>#N/A</v>
      </c>
      <c r="K6" s="155" t="s">
        <v>2107</v>
      </c>
      <c r="L6" s="302" t="s">
        <v>696</v>
      </c>
      <c r="M6" s="303" t="e">
        <f ca="1">INDIRECT("'数据-取费表'!z"&amp;$G$1)</f>
        <v>#N/A</v>
      </c>
    </row>
    <row r="7" spans="1:37" ht="18" customHeight="1">
      <c r="A7" s="1065"/>
      <c r="B7" s="3841"/>
      <c r="C7" s="1067"/>
      <c r="D7" s="307"/>
      <c r="E7" s="1068" t="s">
        <v>697</v>
      </c>
      <c r="F7" s="303" t="e">
        <f ca="1">IF(INDIRECT("'数据-取费表'!ah"&amp;$G$1)="",INDIRECT("'数据-取费表'!k"&amp;$G$1),INDIRECT("'数据-取费表'!ah"&amp;$G$1))</f>
        <v>#N/A</v>
      </c>
      <c r="G7" s="1376"/>
      <c r="H7" s="304"/>
      <c r="I7" s="3841"/>
      <c r="J7" s="306"/>
      <c r="K7" s="307"/>
      <c r="L7" s="302" t="s">
        <v>697</v>
      </c>
      <c r="M7" s="303" t="e">
        <f ca="1">F7</f>
        <v>#N/A</v>
      </c>
    </row>
    <row r="8" spans="1:37" ht="18" customHeight="1">
      <c r="A8" s="304"/>
      <c r="B8" s="3841"/>
      <c r="C8" s="306"/>
      <c r="D8" s="307"/>
      <c r="E8" s="302" t="s">
        <v>698</v>
      </c>
      <c r="F8" s="303" t="e">
        <f ca="1">INDIRECT("'数据-取费表'!ai"&amp;$G$1)</f>
        <v>#N/A</v>
      </c>
      <c r="G8" s="1376"/>
      <c r="H8" s="304"/>
      <c r="I8" s="3841"/>
      <c r="J8" s="306"/>
      <c r="K8" s="307"/>
      <c r="L8" s="302" t="s">
        <v>698</v>
      </c>
      <c r="M8" s="303" t="e">
        <f ca="1">INDIRECT("'数据-取费表'!ai"&amp;$G$1)</f>
        <v>#N/A</v>
      </c>
    </row>
    <row r="9" spans="1:37" ht="18" customHeight="1">
      <c r="A9" s="304"/>
      <c r="B9" s="3842"/>
      <c r="C9" s="306"/>
      <c r="D9" s="307"/>
      <c r="E9" s="302" t="s">
        <v>699</v>
      </c>
      <c r="F9" s="312" t="e">
        <f ca="1">INDIRECT("'数据-取费表'!w"&amp;$G$1)</f>
        <v>#N/A</v>
      </c>
      <c r="G9" s="1376"/>
      <c r="H9" s="304"/>
      <c r="I9" s="3842"/>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38" t="s">
        <v>837</v>
      </c>
      <c r="L53" s="3839"/>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49" t="s">
        <v>2316</v>
      </c>
      <c r="K2" s="3850"/>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51" t="s">
        <v>2326</v>
      </c>
      <c r="K3" s="3852"/>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51" t="s">
        <v>2328</v>
      </c>
      <c r="K4" s="3852"/>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57" t="s">
        <v>2332</v>
      </c>
      <c r="B6" s="3858"/>
      <c r="C6" s="3859"/>
      <c r="D6" s="2854"/>
      <c r="E6" s="2855"/>
      <c r="F6" s="2856"/>
      <c r="G6" s="2857"/>
      <c r="H6" s="2832"/>
      <c r="I6" s="2833"/>
      <c r="J6" s="3843">
        <v>1</v>
      </c>
      <c r="K6" s="3844"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43"/>
      <c r="K7" s="3845"/>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60" t="s">
        <v>2346</v>
      </c>
      <c r="C8" s="3861"/>
      <c r="D8" s="2873" t="s">
        <v>2347</v>
      </c>
      <c r="E8" s="2874" t="s">
        <v>2348</v>
      </c>
      <c r="F8" s="2875" t="s">
        <v>2349</v>
      </c>
      <c r="G8" s="2876"/>
      <c r="H8" s="2832"/>
      <c r="I8" s="2833"/>
      <c r="J8" s="3843"/>
      <c r="K8" s="3845"/>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60" t="s">
        <v>2352</v>
      </c>
      <c r="C9" s="3861"/>
      <c r="D9" s="2873">
        <f>ROUND(D6*E9,0)</f>
        <v>0</v>
      </c>
      <c r="E9" s="2877"/>
      <c r="F9" s="2878" t="s">
        <v>2353</v>
      </c>
      <c r="G9" s="2857"/>
      <c r="H9" s="2832"/>
      <c r="I9" s="2833"/>
      <c r="J9" s="3843"/>
      <c r="K9" s="3845"/>
      <c r="L9" s="2867" t="s">
        <v>2354</v>
      </c>
      <c r="M9" s="2868"/>
      <c r="N9" s="2844"/>
      <c r="O9" s="2869"/>
      <c r="P9" s="2869"/>
      <c r="Q9" s="2870">
        <v>365</v>
      </c>
      <c r="R9" s="2871">
        <f t="shared" si="0"/>
        <v>0</v>
      </c>
      <c r="S9" s="2825"/>
      <c r="T9" s="2825"/>
      <c r="U9" s="2825"/>
      <c r="V9" s="2833"/>
    </row>
    <row r="10" spans="1:22" s="2837" customFormat="1" ht="13.15" customHeight="1">
      <c r="A10" s="2872">
        <v>2</v>
      </c>
      <c r="B10" s="3860" t="s">
        <v>2355</v>
      </c>
      <c r="C10" s="3861"/>
      <c r="D10" s="2873">
        <f>ROUND(D6*E10,0)</f>
        <v>0</v>
      </c>
      <c r="E10" s="2877"/>
      <c r="F10" s="2878" t="s">
        <v>2356</v>
      </c>
      <c r="G10" s="2857"/>
      <c r="H10" s="2832"/>
      <c r="I10" s="2833"/>
      <c r="J10" s="3843"/>
      <c r="K10" s="3845"/>
      <c r="L10" s="2867" t="s">
        <v>2357</v>
      </c>
      <c r="M10" s="2868"/>
      <c r="N10" s="2844"/>
      <c r="O10" s="2869"/>
      <c r="P10" s="2869"/>
      <c r="Q10" s="2870">
        <v>365</v>
      </c>
      <c r="R10" s="2871">
        <f t="shared" si="0"/>
        <v>0</v>
      </c>
      <c r="S10" s="2825"/>
      <c r="T10" s="2825"/>
      <c r="U10" s="2825"/>
      <c r="V10" s="2833"/>
    </row>
    <row r="11" spans="1:22" s="2837" customFormat="1" ht="13.15" customHeight="1">
      <c r="A11" s="2872">
        <v>3</v>
      </c>
      <c r="B11" s="3860" t="s">
        <v>2358</v>
      </c>
      <c r="C11" s="3861"/>
      <c r="D11" s="2873">
        <f>D12+D14+D15+D16</f>
        <v>0</v>
      </c>
      <c r="E11" s="2879" t="e">
        <f>D11/D6</f>
        <v>#DIV/0!</v>
      </c>
      <c r="F11" s="2875"/>
      <c r="G11" s="2876"/>
      <c r="H11" s="2832"/>
      <c r="I11" s="2833"/>
      <c r="J11" s="3843"/>
      <c r="K11" s="3845"/>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53" t="s">
        <v>2361</v>
      </c>
      <c r="C12" s="3854"/>
      <c r="D12" s="2881">
        <f>ROUND(D13*1.2%*(1-30%),0)</f>
        <v>0</v>
      </c>
      <c r="E12" s="2882">
        <v>1.2E-2</v>
      </c>
      <c r="F12" s="2875" t="s">
        <v>2362</v>
      </c>
      <c r="G12" s="2876"/>
      <c r="H12" s="2832"/>
      <c r="I12" s="2833"/>
      <c r="J12" s="3843"/>
      <c r="K12" s="3845"/>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43"/>
      <c r="K13" s="3845"/>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53" t="s">
        <v>2367</v>
      </c>
      <c r="C14" s="3854"/>
      <c r="D14" s="2881">
        <f>ROUND(E14*B5/10000,0)</f>
        <v>0</v>
      </c>
      <c r="E14" s="2870"/>
      <c r="F14" s="2875" t="s">
        <v>2368</v>
      </c>
      <c r="G14" s="2876"/>
      <c r="H14" s="2832"/>
      <c r="I14" s="2833"/>
      <c r="J14" s="3843"/>
      <c r="K14" s="3846"/>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53" t="s">
        <v>2371</v>
      </c>
      <c r="C15" s="3854"/>
      <c r="D15" s="2881">
        <f>ROUND(D6*E15,0)</f>
        <v>0</v>
      </c>
      <c r="E15" s="2882">
        <v>5.5E-2</v>
      </c>
      <c r="F15" s="2875" t="s">
        <v>2372</v>
      </c>
      <c r="G15" s="2857"/>
      <c r="H15" s="2832"/>
      <c r="I15" s="2833"/>
      <c r="J15" s="3843">
        <v>2</v>
      </c>
      <c r="K15" s="3844"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53" t="s">
        <v>2380</v>
      </c>
      <c r="C16" s="3854"/>
      <c r="D16" s="2892">
        <f>D6*E16</f>
        <v>0</v>
      </c>
      <c r="E16" s="2893"/>
      <c r="F16" s="2878" t="s">
        <v>2381</v>
      </c>
      <c r="G16" s="2857"/>
      <c r="H16" s="2832"/>
      <c r="I16" s="2833"/>
      <c r="J16" s="3843"/>
      <c r="K16" s="3845"/>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55" t="s">
        <v>2383</v>
      </c>
      <c r="C17" s="3856"/>
      <c r="D17" s="2895">
        <f>ROUND(D6*E17,0)</f>
        <v>0</v>
      </c>
      <c r="E17" s="2896"/>
      <c r="F17" s="2897" t="s">
        <v>2384</v>
      </c>
      <c r="G17" s="2857"/>
      <c r="H17" s="2832"/>
      <c r="I17" s="2833"/>
      <c r="J17" s="3843"/>
      <c r="K17" s="3845"/>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43"/>
      <c r="K18" s="3845"/>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43"/>
      <c r="K19" s="3846"/>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43">
        <v>3</v>
      </c>
      <c r="K20" s="3844"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43"/>
      <c r="K21" s="3845"/>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43"/>
      <c r="K22" s="3845"/>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43"/>
      <c r="K23" s="3845"/>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43"/>
      <c r="K24" s="3846"/>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47">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48"/>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49" t="s">
        <v>2316</v>
      </c>
      <c r="K32" s="3850"/>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51" t="s">
        <v>2326</v>
      </c>
      <c r="K33" s="3852"/>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51" t="s">
        <v>2328</v>
      </c>
      <c r="K34" s="3852"/>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43">
        <v>1</v>
      </c>
      <c r="K36" s="3844"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43"/>
      <c r="K37" s="3845"/>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43"/>
      <c r="K38" s="3845"/>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43"/>
      <c r="K39" s="3845"/>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43"/>
      <c r="K40" s="3846"/>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47">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48"/>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f ca="1">SUMIF(B6:B13,"&lt;&gt;#ref!",B6:B13)</f>
        <v>3664.8620999999998</v>
      </c>
      <c r="C2" s="1863" t="s">
        <v>1651</v>
      </c>
      <c r="D2" s="1864" t="s">
        <v>1652</v>
      </c>
      <c r="E2" s="2592">
        <f>SUM(E6:E13)</f>
        <v>1467.45</v>
      </c>
      <c r="F2" s="2691"/>
      <c r="G2" s="1481"/>
      <c r="H2" s="1481"/>
      <c r="I2" s="1481"/>
      <c r="J2" s="1481"/>
      <c r="K2" s="1481"/>
      <c r="L2" s="1481"/>
      <c r="M2" s="1481"/>
      <c r="N2" s="1481"/>
      <c r="O2" s="1481"/>
      <c r="P2" s="1481"/>
      <c r="Q2" s="1481"/>
      <c r="R2" s="1481"/>
      <c r="S2" s="1481"/>
    </row>
    <row r="3" spans="1:22" ht="15.75">
      <c r="A3" s="1861" t="s">
        <v>686</v>
      </c>
      <c r="B3" s="2586">
        <f ca="1">ROUND(B2*10000/E2,0)</f>
        <v>24974</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62" t="s">
        <v>1654</v>
      </c>
      <c r="C5" s="3863"/>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932.08370000000002</v>
      </c>
      <c r="C6" s="1863" t="s">
        <v>1651</v>
      </c>
      <c r="D6" s="2693"/>
      <c r="E6" s="2591">
        <f>IF(OR(A6=0,F6="否"),0,'数据-取费表'!K6+'数据-取费表'!S6)</f>
        <v>275.55</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2712.8395999999998</v>
      </c>
      <c r="C7" s="1863" t="s">
        <v>1651</v>
      </c>
      <c r="D7" s="2693"/>
      <c r="E7" s="2591">
        <f>IF(OR(A7=0,F7="否"),0,'数据-取费表'!K7+'数据-取费表'!S7)</f>
        <v>1146.95</v>
      </c>
      <c r="F7" s="1867" t="s">
        <v>1657</v>
      </c>
      <c r="G7" s="1481"/>
      <c r="H7" s="1481"/>
      <c r="I7" s="1481"/>
      <c r="J7" s="1481"/>
      <c r="K7" s="1481"/>
      <c r="L7" s="1481"/>
      <c r="M7" s="1481"/>
      <c r="N7" s="1481"/>
      <c r="O7" s="1481"/>
      <c r="P7" s="1481"/>
      <c r="Q7" s="1481"/>
      <c r="R7" s="1481"/>
      <c r="S7" s="1481"/>
    </row>
    <row r="8" spans="1:22">
      <c r="A8" s="2589" t="str">
        <f>'数据-取费表'!AN8</f>
        <v>收益法 (元)</v>
      </c>
      <c r="B8" s="2587">
        <f ca="1">IF(F8="是",'数据-取费表'!AO8,0)</f>
        <v>19.938800000000001</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L21" sqref="L2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4315</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1456.6675</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52864</v>
      </c>
      <c r="C3" s="354" t="s">
        <v>1768</v>
      </c>
      <c r="D3" s="353">
        <f>IF(D1="",'数据-汇总表'!E3,SUMIF('数据-汇总表'!$C19:$C33,D1,'数据-汇总表'!$E19:$E33))</f>
        <v>275.55</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01" t="s">
        <v>1770</v>
      </c>
      <c r="D4" s="3802"/>
      <c r="E4" s="3803" t="s">
        <v>1771</v>
      </c>
      <c r="F4" s="3804"/>
      <c r="G4" s="3801" t="s">
        <v>1772</v>
      </c>
      <c r="H4" s="3802"/>
      <c r="I4" s="3801" t="s">
        <v>1773</v>
      </c>
      <c r="J4" s="3802"/>
      <c r="K4" s="556" t="s">
        <v>1774</v>
      </c>
      <c r="L4" s="2699"/>
      <c r="M4" s="2700"/>
      <c r="N4" s="2700"/>
      <c r="O4" s="2700"/>
      <c r="P4" s="3805" t="s">
        <v>1775</v>
      </c>
      <c r="Q4" s="3806"/>
      <c r="R4" s="3811" t="s">
        <v>1771</v>
      </c>
      <c r="S4" s="3812"/>
      <c r="T4" s="3811" t="s">
        <v>1772</v>
      </c>
      <c r="U4" s="3812"/>
      <c r="V4" s="3817" t="s">
        <v>1773</v>
      </c>
      <c r="W4" s="3817"/>
      <c r="X4" s="1347"/>
      <c r="Y4" s="3811" t="s">
        <v>1775</v>
      </c>
      <c r="Z4" s="3812"/>
      <c r="AA4" s="3798" t="s">
        <v>1771</v>
      </c>
      <c r="AB4" s="3817" t="s">
        <v>1772</v>
      </c>
      <c r="AC4" s="3798" t="s">
        <v>1773</v>
      </c>
    </row>
    <row r="5" spans="1:29" ht="15">
      <c r="A5" s="358"/>
      <c r="B5" s="359"/>
      <c r="C5" s="3825" t="s">
        <v>1673</v>
      </c>
      <c r="D5" s="3821"/>
      <c r="E5" s="3828" t="s">
        <v>4362</v>
      </c>
      <c r="F5" s="3829"/>
      <c r="G5" s="3820" t="s">
        <v>4363</v>
      </c>
      <c r="H5" s="3821"/>
      <c r="I5" s="3820" t="s">
        <v>4385</v>
      </c>
      <c r="J5" s="3821"/>
      <c r="K5" s="556"/>
      <c r="L5" s="2699"/>
      <c r="M5" s="2700"/>
      <c r="N5" s="2700"/>
      <c r="O5" s="2700"/>
      <c r="P5" s="3807"/>
      <c r="Q5" s="3808"/>
      <c r="R5" s="3813"/>
      <c r="S5" s="3814"/>
      <c r="T5" s="3813"/>
      <c r="U5" s="3814"/>
      <c r="V5" s="3817"/>
      <c r="W5" s="3817"/>
      <c r="X5" s="1347"/>
      <c r="Y5" s="3813"/>
      <c r="Z5" s="3814"/>
      <c r="AA5" s="3799"/>
      <c r="AB5" s="3817"/>
      <c r="AC5" s="3799"/>
    </row>
    <row r="6" spans="1:29" ht="15.75" thickBot="1">
      <c r="A6" s="360"/>
      <c r="B6" s="361"/>
      <c r="C6" s="3818" t="s">
        <v>1677</v>
      </c>
      <c r="D6" s="3819"/>
      <c r="E6" s="3826" t="s">
        <v>1677</v>
      </c>
      <c r="F6" s="3827"/>
      <c r="G6" s="3818" t="s">
        <v>1677</v>
      </c>
      <c r="H6" s="3819"/>
      <c r="I6" s="3818" t="s">
        <v>1677</v>
      </c>
      <c r="J6" s="3819"/>
      <c r="K6" s="556" t="s">
        <v>1678</v>
      </c>
      <c r="L6" s="2699"/>
      <c r="M6" s="2700"/>
      <c r="N6" s="2700"/>
      <c r="O6" s="2700"/>
      <c r="P6" s="3809"/>
      <c r="Q6" s="3810"/>
      <c r="R6" s="3813"/>
      <c r="S6" s="3814"/>
      <c r="T6" s="3815"/>
      <c r="U6" s="3816"/>
      <c r="V6" s="3817"/>
      <c r="W6" s="3817"/>
      <c r="X6" s="1347"/>
      <c r="Y6" s="3815"/>
      <c r="Z6" s="3816"/>
      <c r="AA6" s="3800"/>
      <c r="AB6" s="3817"/>
      <c r="AC6" s="3800"/>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1"/>
      <c r="M7" s="2702"/>
      <c r="N7" s="2702"/>
      <c r="O7" s="2702"/>
      <c r="P7" s="3822" t="s">
        <v>1680</v>
      </c>
      <c r="Q7" s="3824"/>
      <c r="R7" s="696" t="s">
        <v>14</v>
      </c>
      <c r="S7" s="697">
        <f t="shared" ref="S7:S15" si="0">F7</f>
        <v>100</v>
      </c>
      <c r="T7" s="696" t="s">
        <v>14</v>
      </c>
      <c r="U7" s="697">
        <f t="shared" ref="U7:U15" si="1">H7</f>
        <v>100</v>
      </c>
      <c r="V7" s="696" t="s">
        <v>14</v>
      </c>
      <c r="W7" s="697">
        <f t="shared" ref="W7:W15" si="2">J7</f>
        <v>100</v>
      </c>
      <c r="X7" s="698"/>
      <c r="Y7" s="3822" t="s">
        <v>1680</v>
      </c>
      <c r="Z7" s="3823"/>
      <c r="AA7" s="699">
        <f>D7/F7</f>
        <v>1</v>
      </c>
      <c r="AB7" s="699">
        <f>D7/H7</f>
        <v>1</v>
      </c>
      <c r="AC7" s="699">
        <f>D7/J7</f>
        <v>1</v>
      </c>
    </row>
    <row r="8" spans="1:29" s="108" customFormat="1" ht="15.75" thickBot="1">
      <c r="A8" s="362" t="s">
        <v>1681</v>
      </c>
      <c r="B8" s="363"/>
      <c r="C8" s="368" t="s">
        <v>3401</v>
      </c>
      <c r="D8" s="365">
        <v>100</v>
      </c>
      <c r="E8" s="368" t="s">
        <v>4335</v>
      </c>
      <c r="F8" s="367">
        <f>SUMIF(61:61,E8,62:62)-SUMIF(61:61,C8,62:62)+100</f>
        <v>102</v>
      </c>
      <c r="G8" s="368" t="s">
        <v>4335</v>
      </c>
      <c r="H8" s="365">
        <f>SUMIF(61:61,G8,62:62)-SUMIF(61:61,C8,62:62)+100</f>
        <v>102</v>
      </c>
      <c r="I8" s="368" t="s">
        <v>4335</v>
      </c>
      <c r="J8" s="365">
        <f>SUMIF(61:61,I8,62:62)-SUMIF(61:61,C8,62:62)+100</f>
        <v>102</v>
      </c>
      <c r="K8" s="557"/>
      <c r="L8" s="2701"/>
      <c r="M8" s="2702"/>
      <c r="N8" s="2702"/>
      <c r="O8" s="2702"/>
      <c r="P8" s="3822" t="s">
        <v>1683</v>
      </c>
      <c r="Q8" s="3823"/>
      <c r="R8" s="696" t="s">
        <v>14</v>
      </c>
      <c r="S8" s="697">
        <f t="shared" si="0"/>
        <v>102</v>
      </c>
      <c r="T8" s="696" t="s">
        <v>14</v>
      </c>
      <c r="U8" s="697">
        <f t="shared" si="1"/>
        <v>102</v>
      </c>
      <c r="V8" s="696" t="s">
        <v>14</v>
      </c>
      <c r="W8" s="697">
        <f t="shared" si="2"/>
        <v>102</v>
      </c>
      <c r="X8" s="698"/>
      <c r="Y8" s="3822" t="s">
        <v>1683</v>
      </c>
      <c r="Z8" s="3823"/>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4364</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797" t="s">
        <v>1686</v>
      </c>
      <c r="Q9" s="1335" t="str">
        <f t="shared" ref="Q9:Q15" si="6">B9</f>
        <v>用途</v>
      </c>
      <c r="R9" s="696" t="s">
        <v>14</v>
      </c>
      <c r="S9" s="697">
        <f t="shared" si="0"/>
        <v>100</v>
      </c>
      <c r="T9" s="696" t="s">
        <v>14</v>
      </c>
      <c r="U9" s="697">
        <f t="shared" si="1"/>
        <v>100</v>
      </c>
      <c r="V9" s="696" t="s">
        <v>14</v>
      </c>
      <c r="W9" s="697">
        <f t="shared" si="2"/>
        <v>100</v>
      </c>
      <c r="X9" s="698"/>
      <c r="Y9" s="3690"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797"/>
      <c r="Q10" s="1335" t="str">
        <f t="shared" si="6"/>
        <v>土地使用年限（年）</v>
      </c>
      <c r="R10" s="696" t="s">
        <v>14</v>
      </c>
      <c r="S10" s="697">
        <f t="shared" si="0"/>
        <v>100</v>
      </c>
      <c r="T10" s="696" t="s">
        <v>14</v>
      </c>
      <c r="U10" s="697">
        <f t="shared" si="1"/>
        <v>100</v>
      </c>
      <c r="V10" s="696" t="s">
        <v>14</v>
      </c>
      <c r="W10" s="697">
        <f t="shared" si="2"/>
        <v>100</v>
      </c>
      <c r="X10" s="698"/>
      <c r="Y10" s="3690"/>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797"/>
      <c r="Q11" s="1335" t="str">
        <f t="shared" si="6"/>
        <v>容积率</v>
      </c>
      <c r="R11" s="696" t="s">
        <v>14</v>
      </c>
      <c r="S11" s="697">
        <f t="shared" si="0"/>
        <v>100</v>
      </c>
      <c r="T11" s="696" t="s">
        <v>14</v>
      </c>
      <c r="U11" s="697">
        <f t="shared" si="1"/>
        <v>100</v>
      </c>
      <c r="V11" s="696" t="s">
        <v>14</v>
      </c>
      <c r="W11" s="697">
        <f t="shared" si="2"/>
        <v>100</v>
      </c>
      <c r="X11" s="698"/>
      <c r="Y11" s="3690"/>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797"/>
      <c r="Q12" s="1335">
        <f t="shared" si="6"/>
        <v>111</v>
      </c>
      <c r="R12" s="696" t="s">
        <v>14</v>
      </c>
      <c r="S12" s="697">
        <f t="shared" si="0"/>
        <v>100</v>
      </c>
      <c r="T12" s="696" t="s">
        <v>14</v>
      </c>
      <c r="U12" s="697">
        <f t="shared" si="1"/>
        <v>100</v>
      </c>
      <c r="V12" s="696" t="s">
        <v>14</v>
      </c>
      <c r="W12" s="697">
        <f t="shared" si="2"/>
        <v>100</v>
      </c>
      <c r="X12" s="698"/>
      <c r="Y12" s="3690"/>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797"/>
      <c r="Q13" s="1335">
        <f t="shared" si="6"/>
        <v>111</v>
      </c>
      <c r="R13" s="696" t="s">
        <v>14</v>
      </c>
      <c r="S13" s="697">
        <f t="shared" si="0"/>
        <v>100</v>
      </c>
      <c r="T13" s="696" t="s">
        <v>14</v>
      </c>
      <c r="U13" s="697">
        <f t="shared" si="1"/>
        <v>100</v>
      </c>
      <c r="V13" s="696" t="s">
        <v>14</v>
      </c>
      <c r="W13" s="697">
        <f t="shared" si="2"/>
        <v>100</v>
      </c>
      <c r="X13" s="698"/>
      <c r="Y13" s="3690"/>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797"/>
      <c r="Q14" s="1335">
        <f t="shared" si="6"/>
        <v>111</v>
      </c>
      <c r="R14" s="696" t="s">
        <v>14</v>
      </c>
      <c r="S14" s="697">
        <f t="shared" si="0"/>
        <v>100</v>
      </c>
      <c r="T14" s="696" t="s">
        <v>14</v>
      </c>
      <c r="U14" s="697">
        <f t="shared" si="1"/>
        <v>100</v>
      </c>
      <c r="V14" s="696" t="s">
        <v>14</v>
      </c>
      <c r="W14" s="697">
        <f t="shared" si="2"/>
        <v>100</v>
      </c>
      <c r="X14" s="698"/>
      <c r="Y14" s="3690"/>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795" t="s">
        <v>1691</v>
      </c>
      <c r="Q15" s="1344" t="str">
        <f t="shared" si="6"/>
        <v>商业繁华度</v>
      </c>
      <c r="R15" s="700" t="s">
        <v>14</v>
      </c>
      <c r="S15" s="701">
        <f t="shared" si="0"/>
        <v>100</v>
      </c>
      <c r="T15" s="700" t="s">
        <v>14</v>
      </c>
      <c r="U15" s="701">
        <f t="shared" si="1"/>
        <v>100</v>
      </c>
      <c r="V15" s="700" t="s">
        <v>14</v>
      </c>
      <c r="W15" s="701">
        <f t="shared" si="2"/>
        <v>100</v>
      </c>
      <c r="X15" s="1347"/>
      <c r="Y15" s="3788"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796"/>
      <c r="Q16" s="1344"/>
      <c r="R16" s="700"/>
      <c r="S16" s="701"/>
      <c r="T16" s="700"/>
      <c r="U16" s="701"/>
      <c r="V16" s="700"/>
      <c r="W16" s="701"/>
      <c r="X16" s="1347"/>
      <c r="Y16" s="3789"/>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796"/>
      <c r="Q17" s="1344" t="str">
        <f>B17</f>
        <v>交通便捷度</v>
      </c>
      <c r="R17" s="700" t="s">
        <v>14</v>
      </c>
      <c r="S17" s="701">
        <f>F17</f>
        <v>100</v>
      </c>
      <c r="T17" s="700" t="s">
        <v>14</v>
      </c>
      <c r="U17" s="701">
        <f>H17</f>
        <v>100</v>
      </c>
      <c r="V17" s="700" t="s">
        <v>14</v>
      </c>
      <c r="W17" s="701">
        <f>J17</f>
        <v>100</v>
      </c>
      <c r="X17" s="1347"/>
      <c r="Y17" s="3789"/>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796"/>
      <c r="Q18" s="1344"/>
      <c r="R18" s="700"/>
      <c r="S18" s="701"/>
      <c r="T18" s="700"/>
      <c r="U18" s="701"/>
      <c r="V18" s="700"/>
      <c r="W18" s="701"/>
      <c r="X18" s="1347"/>
      <c r="Y18" s="3789"/>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796"/>
      <c r="Q19" s="1344" t="str">
        <f>B19</f>
        <v>公共配套设施</v>
      </c>
      <c r="R19" s="700" t="s">
        <v>14</v>
      </c>
      <c r="S19" s="701">
        <f>F19</f>
        <v>100</v>
      </c>
      <c r="T19" s="700" t="s">
        <v>14</v>
      </c>
      <c r="U19" s="701">
        <f>H19</f>
        <v>100</v>
      </c>
      <c r="V19" s="700" t="s">
        <v>14</v>
      </c>
      <c r="W19" s="701">
        <f>J19</f>
        <v>100</v>
      </c>
      <c r="X19" s="1347"/>
      <c r="Y19" s="3789"/>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796"/>
      <c r="Q20" s="1344"/>
      <c r="R20" s="700"/>
      <c r="S20" s="701"/>
      <c r="T20" s="700"/>
      <c r="U20" s="701"/>
      <c r="V20" s="700"/>
      <c r="W20" s="701"/>
      <c r="X20" s="1347"/>
      <c r="Y20" s="3789"/>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796"/>
      <c r="Q21" s="1344" t="str">
        <f>B21</f>
        <v>基础设施水平</v>
      </c>
      <c r="R21" s="700" t="s">
        <v>14</v>
      </c>
      <c r="S21" s="701">
        <f>F21</f>
        <v>100</v>
      </c>
      <c r="T21" s="700" t="s">
        <v>14</v>
      </c>
      <c r="U21" s="701">
        <f>H21</f>
        <v>100</v>
      </c>
      <c r="V21" s="700" t="s">
        <v>14</v>
      </c>
      <c r="W21" s="701">
        <f>J21</f>
        <v>100</v>
      </c>
      <c r="X21" s="1347"/>
      <c r="Y21" s="3789"/>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796"/>
      <c r="Q22" s="1344"/>
      <c r="R22" s="700"/>
      <c r="S22" s="701"/>
      <c r="T22" s="700"/>
      <c r="U22" s="701"/>
      <c r="V22" s="700"/>
      <c r="W22" s="701"/>
      <c r="X22" s="1347"/>
      <c r="Y22" s="3789"/>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6"/>
      <c r="M23" s="2700"/>
      <c r="N23" s="2700"/>
      <c r="O23" s="2700"/>
      <c r="P23" s="3796"/>
      <c r="Q23" s="1344" t="str">
        <f>B23</f>
        <v>自然及人文环境</v>
      </c>
      <c r="R23" s="700" t="s">
        <v>14</v>
      </c>
      <c r="S23" s="701">
        <f>F23</f>
        <v>98</v>
      </c>
      <c r="T23" s="700" t="s">
        <v>14</v>
      </c>
      <c r="U23" s="701">
        <f>H23</f>
        <v>98</v>
      </c>
      <c r="V23" s="700" t="s">
        <v>14</v>
      </c>
      <c r="W23" s="701">
        <f>J23</f>
        <v>100</v>
      </c>
      <c r="X23" s="1347"/>
      <c r="Y23" s="3789"/>
      <c r="Z23" s="1348" t="str">
        <f>Q23</f>
        <v>自然及人文环境</v>
      </c>
      <c r="AA23" s="1345">
        <f t="shared" si="3"/>
        <v>1.0204081632653061</v>
      </c>
      <c r="AB23" s="1345">
        <f t="shared" si="4"/>
        <v>1.0204081632653061</v>
      </c>
      <c r="AC23" s="1345">
        <f t="shared" si="5"/>
        <v>1</v>
      </c>
    </row>
    <row r="24" spans="1:29" ht="15">
      <c r="A24" s="378"/>
      <c r="B24" s="406"/>
      <c r="C24" s="397" t="s">
        <v>3403</v>
      </c>
      <c r="D24" s="398"/>
      <c r="E24" s="1888" t="s">
        <v>3419</v>
      </c>
      <c r="F24" s="399"/>
      <c r="G24" s="1888" t="s">
        <v>3419</v>
      </c>
      <c r="H24" s="398"/>
      <c r="I24" s="397" t="s">
        <v>3403</v>
      </c>
      <c r="J24" s="398"/>
      <c r="K24" s="561"/>
      <c r="L24" s="2706"/>
      <c r="M24" s="2700"/>
      <c r="N24" s="2700"/>
      <c r="O24" s="2700"/>
      <c r="P24" s="3796"/>
      <c r="Q24" s="1344"/>
      <c r="R24" s="700"/>
      <c r="S24" s="701"/>
      <c r="T24" s="700"/>
      <c r="U24" s="701"/>
      <c r="V24" s="700"/>
      <c r="W24" s="701"/>
      <c r="X24" s="1347"/>
      <c r="Y24" s="3789"/>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796"/>
      <c r="Q25" s="1344" t="str">
        <f t="shared" ref="Q25:Q46" si="11">B25</f>
        <v>临街状况</v>
      </c>
      <c r="R25" s="700" t="s">
        <v>14</v>
      </c>
      <c r="S25" s="701">
        <f>F25</f>
        <v>100</v>
      </c>
      <c r="T25" s="700" t="s">
        <v>14</v>
      </c>
      <c r="U25" s="701">
        <f>H25</f>
        <v>100</v>
      </c>
      <c r="V25" s="700" t="s">
        <v>14</v>
      </c>
      <c r="W25" s="701">
        <f>J25</f>
        <v>100</v>
      </c>
      <c r="X25" s="1347"/>
      <c r="Y25" s="3789"/>
      <c r="Z25" s="1348" t="str">
        <f>Q25</f>
        <v>临街状况</v>
      </c>
      <c r="AA25" s="1345">
        <f t="shared" si="3"/>
        <v>1</v>
      </c>
      <c r="AB25" s="1345">
        <f t="shared" si="4"/>
        <v>1</v>
      </c>
      <c r="AC25" s="1345">
        <f t="shared" si="5"/>
        <v>1</v>
      </c>
    </row>
    <row r="26" spans="1:29" ht="15">
      <c r="A26" s="378"/>
      <c r="B26" s="1125" t="s">
        <v>1781</v>
      </c>
      <c r="C26" s="3553" t="s">
        <v>4380</v>
      </c>
      <c r="D26" s="385">
        <v>100</v>
      </c>
      <c r="E26" s="3553" t="s">
        <v>4380</v>
      </c>
      <c r="F26" s="411">
        <f>SUMIF(88:88,E26,89:89)-SUMIF(88:88,C26,89:89)+100</f>
        <v>100</v>
      </c>
      <c r="G26" s="3553" t="s">
        <v>4380</v>
      </c>
      <c r="H26" s="385">
        <f>SUMIF(88:88,G26,89:89)-SUMIF(88:88,C26,89:89)+100</f>
        <v>100</v>
      </c>
      <c r="I26" s="3553" t="s">
        <v>4380</v>
      </c>
      <c r="J26" s="385">
        <f>SUMIF(88:88,I26,89:89)-SUMIF(88:88,C26,89:89)+100</f>
        <v>100</v>
      </c>
      <c r="K26" s="559"/>
      <c r="L26" s="2706"/>
      <c r="M26" s="2700"/>
      <c r="N26" s="2700"/>
      <c r="O26" s="2700"/>
      <c r="P26" s="3796"/>
      <c r="Q26" s="1344" t="str">
        <f t="shared" si="11"/>
        <v>平面位置/可视性</v>
      </c>
      <c r="R26" s="700" t="s">
        <v>14</v>
      </c>
      <c r="S26" s="701">
        <f>F26</f>
        <v>100</v>
      </c>
      <c r="T26" s="700" t="s">
        <v>14</v>
      </c>
      <c r="U26" s="701">
        <f>H26</f>
        <v>100</v>
      </c>
      <c r="V26" s="700" t="s">
        <v>14</v>
      </c>
      <c r="W26" s="701">
        <f>J26</f>
        <v>100</v>
      </c>
      <c r="X26" s="1347"/>
      <c r="Y26" s="3789"/>
      <c r="Z26" s="1348" t="str">
        <f>Q26</f>
        <v>平面位置/可视性</v>
      </c>
      <c r="AA26" s="1345">
        <f t="shared" si="3"/>
        <v>1</v>
      </c>
      <c r="AB26" s="1345">
        <f t="shared" si="4"/>
        <v>1</v>
      </c>
      <c r="AC26" s="1345">
        <f t="shared" si="5"/>
        <v>1</v>
      </c>
    </row>
    <row r="27" spans="1:29" s="108" customFormat="1" ht="15">
      <c r="A27" s="381"/>
      <c r="B27" s="401" t="s">
        <v>1782</v>
      </c>
      <c r="C27" s="1944" t="s">
        <v>4381</v>
      </c>
      <c r="D27" s="412">
        <v>100</v>
      </c>
      <c r="E27" s="1944" t="s">
        <v>4379</v>
      </c>
      <c r="F27" s="414">
        <f>SUMIF(90:90,E27,91:91)-SUMIF(90:90,C27,91:91)+100</f>
        <v>106</v>
      </c>
      <c r="G27" s="1944" t="s">
        <v>4379</v>
      </c>
      <c r="H27" s="412">
        <f>SUMIF(90:90,G27,91:91)-SUMIF(90:90,C27,91:91)+100</f>
        <v>106</v>
      </c>
      <c r="I27" s="1944" t="s">
        <v>4379</v>
      </c>
      <c r="J27" s="412">
        <f>SUMIF(90:90,I27,91:91)-SUMIF(90:90,C27,91:91)+100</f>
        <v>106</v>
      </c>
      <c r="K27" s="558">
        <v>3</v>
      </c>
      <c r="L27" s="2701"/>
      <c r="M27" s="2702"/>
      <c r="N27" s="2702"/>
      <c r="O27" s="2702"/>
      <c r="P27" s="3796"/>
      <c r="Q27" s="1335" t="str">
        <f t="shared" si="11"/>
        <v>人流量</v>
      </c>
      <c r="R27" s="696" t="s">
        <v>14</v>
      </c>
      <c r="S27" s="697">
        <f>F27</f>
        <v>106</v>
      </c>
      <c r="T27" s="696" t="s">
        <v>14</v>
      </c>
      <c r="U27" s="697">
        <f>H27</f>
        <v>106</v>
      </c>
      <c r="V27" s="696" t="s">
        <v>14</v>
      </c>
      <c r="W27" s="697">
        <f>J27</f>
        <v>106</v>
      </c>
      <c r="X27" s="698"/>
      <c r="Y27" s="3789"/>
      <c r="Z27" s="52" t="str">
        <f>Q27</f>
        <v>人流量</v>
      </c>
      <c r="AA27" s="1345">
        <f>D27/F27</f>
        <v>0.94339622641509435</v>
      </c>
      <c r="AB27" s="1345">
        <f>D27/H27</f>
        <v>0.94339622641509435</v>
      </c>
      <c r="AC27" s="1345">
        <f>D27/J27</f>
        <v>0.94339622641509435</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796"/>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789"/>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796"/>
      <c r="Q29" s="1344">
        <f t="shared" si="11"/>
        <v>111</v>
      </c>
      <c r="R29" s="700" t="s">
        <v>14</v>
      </c>
      <c r="S29" s="701">
        <f t="shared" si="12"/>
        <v>100</v>
      </c>
      <c r="T29" s="700" t="s">
        <v>14</v>
      </c>
      <c r="U29" s="701">
        <f t="shared" si="13"/>
        <v>100</v>
      </c>
      <c r="V29" s="700" t="s">
        <v>14</v>
      </c>
      <c r="W29" s="701">
        <f t="shared" si="14"/>
        <v>100</v>
      </c>
      <c r="X29" s="1347"/>
      <c r="Y29" s="3789"/>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796"/>
      <c r="Q30" s="1344">
        <f t="shared" si="11"/>
        <v>111</v>
      </c>
      <c r="R30" s="700" t="s">
        <v>14</v>
      </c>
      <c r="S30" s="701">
        <f t="shared" si="12"/>
        <v>100</v>
      </c>
      <c r="T30" s="700" t="s">
        <v>14</v>
      </c>
      <c r="U30" s="701">
        <f t="shared" si="13"/>
        <v>100</v>
      </c>
      <c r="V30" s="700" t="s">
        <v>14</v>
      </c>
      <c r="W30" s="701">
        <f t="shared" si="14"/>
        <v>100</v>
      </c>
      <c r="X30" s="1347"/>
      <c r="Y30" s="3789"/>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796"/>
      <c r="Q31" s="1344">
        <f t="shared" si="11"/>
        <v>111</v>
      </c>
      <c r="R31" s="700" t="s">
        <v>14</v>
      </c>
      <c r="S31" s="701">
        <f t="shared" si="12"/>
        <v>100</v>
      </c>
      <c r="T31" s="700" t="s">
        <v>14</v>
      </c>
      <c r="U31" s="701">
        <f t="shared" si="13"/>
        <v>100</v>
      </c>
      <c r="V31" s="700" t="s">
        <v>14</v>
      </c>
      <c r="W31" s="701">
        <f t="shared" si="14"/>
        <v>100</v>
      </c>
      <c r="X31" s="1347"/>
      <c r="Y31" s="3789"/>
      <c r="Z31" s="1348">
        <f t="shared" si="15"/>
        <v>111</v>
      </c>
      <c r="AA31" s="1345">
        <f t="shared" si="3"/>
        <v>1</v>
      </c>
      <c r="AB31" s="1345">
        <f t="shared" si="4"/>
        <v>1</v>
      </c>
      <c r="AC31" s="1345">
        <f t="shared" si="5"/>
        <v>1</v>
      </c>
    </row>
    <row r="32" spans="1:29" ht="15">
      <c r="A32" s="390" t="s">
        <v>1694</v>
      </c>
      <c r="B32" s="63" t="s">
        <v>1784</v>
      </c>
      <c r="C32" s="1900" t="s">
        <v>4382</v>
      </c>
      <c r="D32" s="417">
        <v>100</v>
      </c>
      <c r="E32" s="1900" t="s">
        <v>4377</v>
      </c>
      <c r="F32" s="411">
        <f>SUMIF(100:100,E32,101:101)-SUMIF(100:100,C32,101:101)+100</f>
        <v>98</v>
      </c>
      <c r="G32" s="1900" t="s">
        <v>4377</v>
      </c>
      <c r="H32" s="385">
        <f>SUMIF(100:100,G32,101:101)-SUMIF(100:100,C32,101:101)+100</f>
        <v>98</v>
      </c>
      <c r="I32" s="1900" t="s">
        <v>4377</v>
      </c>
      <c r="J32" s="417">
        <f>SUMIF(100:100,I32,101:101)-SUMIF(100:100,C32,101:101)+100</f>
        <v>98</v>
      </c>
      <c r="K32" s="558">
        <v>2</v>
      </c>
      <c r="L32" s="2706"/>
      <c r="M32" s="2700"/>
      <c r="N32" s="2700"/>
      <c r="O32" s="2700"/>
      <c r="P32" s="3790" t="s">
        <v>1696</v>
      </c>
      <c r="Q32" s="1344" t="str">
        <f t="shared" si="11"/>
        <v>商业类型</v>
      </c>
      <c r="R32" s="700" t="s">
        <v>14</v>
      </c>
      <c r="S32" s="701">
        <f t="shared" si="12"/>
        <v>98</v>
      </c>
      <c r="T32" s="700" t="s">
        <v>14</v>
      </c>
      <c r="U32" s="701">
        <f t="shared" si="13"/>
        <v>98</v>
      </c>
      <c r="V32" s="700" t="s">
        <v>14</v>
      </c>
      <c r="W32" s="701">
        <f t="shared" si="14"/>
        <v>98</v>
      </c>
      <c r="X32" s="1347"/>
      <c r="Y32" s="3793" t="s">
        <v>1696</v>
      </c>
      <c r="Z32" s="1348" t="str">
        <f t="shared" si="15"/>
        <v>商业类型</v>
      </c>
      <c r="AA32" s="1345">
        <f t="shared" si="3"/>
        <v>1.0204081632653061</v>
      </c>
      <c r="AB32" s="1345">
        <f t="shared" si="4"/>
        <v>1.0204081632653061</v>
      </c>
      <c r="AC32" s="1345">
        <f t="shared" si="5"/>
        <v>1.0204081632653061</v>
      </c>
    </row>
    <row r="33" spans="1:29" s="421" customFormat="1" ht="15">
      <c r="A33" s="418"/>
      <c r="B33" s="374" t="s">
        <v>1697</v>
      </c>
      <c r="C33" s="419">
        <f>[5]分套价值!C5</f>
        <v>410.74</v>
      </c>
      <c r="D33" s="127">
        <v>100</v>
      </c>
      <c r="E33" s="419">
        <v>86</v>
      </c>
      <c r="F33" s="375">
        <f>LOOKUP(E33,103:103,104:104)-LOOKUP(C33,103:103,104:104)+100</f>
        <v>103</v>
      </c>
      <c r="G33" s="419">
        <v>85</v>
      </c>
      <c r="H33" s="127">
        <f>LOOKUP(G33,103:103,104:104)-LOOKUP(C33,103:103,104:104)+100</f>
        <v>103</v>
      </c>
      <c r="I33" s="419">
        <v>38</v>
      </c>
      <c r="J33" s="127">
        <f>LOOKUP(I33,103:103,104:104)-LOOKUP(C33,103:103,104:104)+100</f>
        <v>104</v>
      </c>
      <c r="K33" s="559"/>
      <c r="L33" s="2705"/>
      <c r="M33" s="2707"/>
      <c r="N33" s="2707"/>
      <c r="O33" s="2707"/>
      <c r="P33" s="3791"/>
      <c r="Q33" s="702" t="str">
        <f t="shared" si="11"/>
        <v>项目建筑规模</v>
      </c>
      <c r="R33" s="703" t="s">
        <v>14</v>
      </c>
      <c r="S33" s="704">
        <f t="shared" si="12"/>
        <v>103</v>
      </c>
      <c r="T33" s="703" t="s">
        <v>14</v>
      </c>
      <c r="U33" s="704">
        <f t="shared" si="13"/>
        <v>103</v>
      </c>
      <c r="V33" s="703" t="s">
        <v>14</v>
      </c>
      <c r="W33" s="704">
        <f t="shared" si="14"/>
        <v>104</v>
      </c>
      <c r="X33" s="705"/>
      <c r="Y33" s="3793"/>
      <c r="Z33" s="706" t="str">
        <f t="shared" si="15"/>
        <v>项目建筑规模</v>
      </c>
      <c r="AA33" s="1345">
        <f t="shared" si="3"/>
        <v>0.970873786407767</v>
      </c>
      <c r="AB33" s="1345">
        <f t="shared" si="4"/>
        <v>0.970873786407767</v>
      </c>
      <c r="AC33" s="1345">
        <f t="shared" si="5"/>
        <v>0.96153846153846156</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791"/>
      <c r="Q34" s="1344" t="str">
        <f t="shared" si="11"/>
        <v>建筑结构</v>
      </c>
      <c r="R34" s="700" t="s">
        <v>14</v>
      </c>
      <c r="S34" s="701">
        <f t="shared" si="12"/>
        <v>100</v>
      </c>
      <c r="T34" s="700" t="s">
        <v>14</v>
      </c>
      <c r="U34" s="701">
        <f t="shared" si="13"/>
        <v>100</v>
      </c>
      <c r="V34" s="700" t="s">
        <v>14</v>
      </c>
      <c r="W34" s="701">
        <f t="shared" si="14"/>
        <v>100</v>
      </c>
      <c r="X34" s="1347"/>
      <c r="Y34" s="3793"/>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791"/>
      <c r="Q35" s="1344" t="str">
        <f t="shared" si="11"/>
        <v>公共部分装修</v>
      </c>
      <c r="R35" s="700" t="s">
        <v>14</v>
      </c>
      <c r="S35" s="701">
        <f t="shared" si="12"/>
        <v>100</v>
      </c>
      <c r="T35" s="700" t="s">
        <v>14</v>
      </c>
      <c r="U35" s="701">
        <f t="shared" si="13"/>
        <v>100</v>
      </c>
      <c r="V35" s="700" t="s">
        <v>14</v>
      </c>
      <c r="W35" s="701">
        <f t="shared" si="14"/>
        <v>100</v>
      </c>
      <c r="X35" s="1347"/>
      <c r="Y35" s="3793"/>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791"/>
      <c r="Q36" s="1344" t="str">
        <f t="shared" si="11"/>
        <v>成新度</v>
      </c>
      <c r="R36" s="700" t="s">
        <v>14</v>
      </c>
      <c r="S36" s="701">
        <f t="shared" si="12"/>
        <v>100</v>
      </c>
      <c r="T36" s="700" t="s">
        <v>14</v>
      </c>
      <c r="U36" s="701">
        <f t="shared" si="13"/>
        <v>100</v>
      </c>
      <c r="V36" s="700" t="s">
        <v>14</v>
      </c>
      <c r="W36" s="701">
        <f t="shared" si="14"/>
        <v>100</v>
      </c>
      <c r="X36" s="1347"/>
      <c r="Y36" s="3793"/>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791"/>
      <c r="Q37" s="1335" t="str">
        <f t="shared" si="11"/>
        <v>市政基础设施</v>
      </c>
      <c r="R37" s="696" t="s">
        <v>14</v>
      </c>
      <c r="S37" s="697">
        <f t="shared" si="12"/>
        <v>100</v>
      </c>
      <c r="T37" s="696" t="s">
        <v>14</v>
      </c>
      <c r="U37" s="697">
        <f t="shared" si="13"/>
        <v>100</v>
      </c>
      <c r="V37" s="696" t="s">
        <v>14</v>
      </c>
      <c r="W37" s="697">
        <f t="shared" si="14"/>
        <v>100</v>
      </c>
      <c r="X37" s="698"/>
      <c r="Y37" s="3793"/>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791" t="s">
        <v>1696</v>
      </c>
      <c r="Q38" s="1344" t="str">
        <f t="shared" si="11"/>
        <v>业态</v>
      </c>
      <c r="R38" s="700" t="s">
        <v>14</v>
      </c>
      <c r="S38" s="701">
        <f t="shared" si="12"/>
        <v>100</v>
      </c>
      <c r="T38" s="700" t="s">
        <v>14</v>
      </c>
      <c r="U38" s="701">
        <f t="shared" si="13"/>
        <v>100</v>
      </c>
      <c r="V38" s="700" t="s">
        <v>14</v>
      </c>
      <c r="W38" s="701">
        <f t="shared" si="14"/>
        <v>100</v>
      </c>
      <c r="X38" s="1347"/>
      <c r="Y38" s="3793" t="s">
        <v>1696</v>
      </c>
      <c r="Z38" s="1348" t="str">
        <f t="shared" si="15"/>
        <v>业态</v>
      </c>
      <c r="AA38" s="1345">
        <f t="shared" si="3"/>
        <v>1</v>
      </c>
      <c r="AB38" s="1345">
        <f t="shared" si="4"/>
        <v>1</v>
      </c>
      <c r="AC38" s="1345">
        <f t="shared" si="5"/>
        <v>1</v>
      </c>
    </row>
    <row r="39" spans="1:29" ht="15">
      <c r="A39" s="422"/>
      <c r="B39" s="374" t="s">
        <v>1789</v>
      </c>
      <c r="C39" s="1896" t="s">
        <v>4311</v>
      </c>
      <c r="D39" s="385">
        <v>100</v>
      </c>
      <c r="E39" s="1896" t="s">
        <v>4311</v>
      </c>
      <c r="F39" s="411">
        <f>SUMIF(116:116,E39,117:117)-SUMIF(116:116,C39,117:117)+100</f>
        <v>100</v>
      </c>
      <c r="G39" s="1896" t="s">
        <v>4311</v>
      </c>
      <c r="H39" s="385">
        <f>SUMIF(116:116,G39,117:117)-SUMIF(116:116,C39,117:117)+100</f>
        <v>100</v>
      </c>
      <c r="I39" s="1896" t="s">
        <v>4311</v>
      </c>
      <c r="J39" s="385">
        <f>SUMIF(116:116,I39,117:117)-SUMIF(116:116,C39,117:117)+100</f>
        <v>100</v>
      </c>
      <c r="K39" s="558">
        <v>2</v>
      </c>
      <c r="L39" s="2706"/>
      <c r="M39" s="2700"/>
      <c r="N39" s="2700"/>
      <c r="O39" s="2700"/>
      <c r="P39" s="3791"/>
      <c r="Q39" s="1344" t="str">
        <f t="shared" si="11"/>
        <v>层高</v>
      </c>
      <c r="R39" s="700" t="s">
        <v>14</v>
      </c>
      <c r="S39" s="701">
        <f t="shared" si="12"/>
        <v>100</v>
      </c>
      <c r="T39" s="700" t="s">
        <v>14</v>
      </c>
      <c r="U39" s="701">
        <f t="shared" si="13"/>
        <v>100</v>
      </c>
      <c r="V39" s="700" t="s">
        <v>14</v>
      </c>
      <c r="W39" s="701">
        <f t="shared" si="14"/>
        <v>100</v>
      </c>
      <c r="X39" s="1347"/>
      <c r="Y39" s="3793"/>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791"/>
      <c r="Q40" s="1344" t="str">
        <f t="shared" si="11"/>
        <v>单套建筑面积</v>
      </c>
      <c r="R40" s="700" t="s">
        <v>14</v>
      </c>
      <c r="S40" s="701">
        <f t="shared" si="12"/>
        <v>100</v>
      </c>
      <c r="T40" s="700" t="s">
        <v>14</v>
      </c>
      <c r="U40" s="701">
        <f t="shared" si="13"/>
        <v>100</v>
      </c>
      <c r="V40" s="700" t="s">
        <v>14</v>
      </c>
      <c r="W40" s="701">
        <f t="shared" si="14"/>
        <v>100</v>
      </c>
      <c r="X40" s="1347"/>
      <c r="Y40" s="3793"/>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791"/>
      <c r="Q41" s="702" t="str">
        <f t="shared" si="11"/>
        <v>进深比</v>
      </c>
      <c r="R41" s="703" t="s">
        <v>14</v>
      </c>
      <c r="S41" s="704">
        <f t="shared" si="12"/>
        <v>100</v>
      </c>
      <c r="T41" s="703" t="s">
        <v>14</v>
      </c>
      <c r="U41" s="704">
        <f t="shared" si="13"/>
        <v>100</v>
      </c>
      <c r="V41" s="703" t="s">
        <v>14</v>
      </c>
      <c r="W41" s="704">
        <f t="shared" si="14"/>
        <v>100</v>
      </c>
      <c r="X41" s="705"/>
      <c r="Y41" s="3793"/>
      <c r="Z41" s="706" t="str">
        <f t="shared" si="15"/>
        <v>进深比</v>
      </c>
      <c r="AA41" s="1345">
        <f t="shared" si="3"/>
        <v>1</v>
      </c>
      <c r="AB41" s="1345">
        <f t="shared" si="4"/>
        <v>1</v>
      </c>
      <c r="AC41" s="1345">
        <f t="shared" si="5"/>
        <v>1</v>
      </c>
    </row>
    <row r="42" spans="1:29" ht="15">
      <c r="A42" s="422"/>
      <c r="B42" s="374" t="s">
        <v>1792</v>
      </c>
      <c r="C42" s="1896" t="s">
        <v>4351</v>
      </c>
      <c r="D42" s="385">
        <v>100</v>
      </c>
      <c r="E42" s="1896" t="s">
        <v>4378</v>
      </c>
      <c r="F42" s="411">
        <f>SUMIF(122:122,E42,123:123)-SUMIF(122:122,C42,123:123)+100</f>
        <v>102</v>
      </c>
      <c r="G42" s="1896" t="s">
        <v>4351</v>
      </c>
      <c r="H42" s="385">
        <f>SUMIF(122:122,G42,123:123)-SUMIF(122:122,C42,123:123)+100</f>
        <v>100</v>
      </c>
      <c r="I42" s="1896" t="s">
        <v>4351</v>
      </c>
      <c r="J42" s="385">
        <f>SUMIF(122:122,I42,123:123)-SUMIF(122:122,C42,123:123)+100</f>
        <v>100</v>
      </c>
      <c r="K42" s="558">
        <v>1</v>
      </c>
      <c r="L42" s="2706"/>
      <c r="M42" s="2700"/>
      <c r="N42" s="2700"/>
      <c r="O42" s="2700"/>
      <c r="P42" s="3791"/>
      <c r="Q42" s="1344" t="str">
        <f t="shared" si="11"/>
        <v>内部装修</v>
      </c>
      <c r="R42" s="700" t="s">
        <v>14</v>
      </c>
      <c r="S42" s="701">
        <f t="shared" si="12"/>
        <v>102</v>
      </c>
      <c r="T42" s="700" t="s">
        <v>14</v>
      </c>
      <c r="U42" s="701">
        <f t="shared" si="13"/>
        <v>100</v>
      </c>
      <c r="V42" s="700" t="s">
        <v>14</v>
      </c>
      <c r="W42" s="701">
        <f t="shared" si="14"/>
        <v>100</v>
      </c>
      <c r="X42" s="1347"/>
      <c r="Y42" s="3793"/>
      <c r="Z42" s="1348" t="str">
        <f t="shared" si="15"/>
        <v>内部装修</v>
      </c>
      <c r="AA42" s="1345">
        <f t="shared" si="3"/>
        <v>0.98039215686274506</v>
      </c>
      <c r="AB42" s="1345">
        <f t="shared" si="4"/>
        <v>1</v>
      </c>
      <c r="AC42" s="1345">
        <f t="shared" si="5"/>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791"/>
      <c r="Q43" s="1344" t="str">
        <f t="shared" si="11"/>
        <v>内部装修维护情况</v>
      </c>
      <c r="R43" s="700" t="s">
        <v>14</v>
      </c>
      <c r="S43" s="701">
        <f t="shared" si="12"/>
        <v>100</v>
      </c>
      <c r="T43" s="700" t="s">
        <v>14</v>
      </c>
      <c r="U43" s="701">
        <f t="shared" si="13"/>
        <v>100</v>
      </c>
      <c r="V43" s="700" t="s">
        <v>14</v>
      </c>
      <c r="W43" s="701">
        <f t="shared" si="14"/>
        <v>100</v>
      </c>
      <c r="X43" s="1347"/>
      <c r="Y43" s="3793"/>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791"/>
      <c r="Q44" s="1335">
        <f t="shared" si="11"/>
        <v>111</v>
      </c>
      <c r="R44" s="696" t="s">
        <v>14</v>
      </c>
      <c r="S44" s="697">
        <f t="shared" si="12"/>
        <v>100</v>
      </c>
      <c r="T44" s="696" t="s">
        <v>14</v>
      </c>
      <c r="U44" s="697">
        <f t="shared" si="13"/>
        <v>100</v>
      </c>
      <c r="V44" s="696" t="s">
        <v>14</v>
      </c>
      <c r="W44" s="697">
        <f t="shared" si="14"/>
        <v>100</v>
      </c>
      <c r="X44" s="698"/>
      <c r="Y44" s="3793"/>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791"/>
      <c r="Q45" s="1344">
        <f t="shared" si="11"/>
        <v>111</v>
      </c>
      <c r="R45" s="700" t="s">
        <v>14</v>
      </c>
      <c r="S45" s="701">
        <f t="shared" si="12"/>
        <v>100</v>
      </c>
      <c r="T45" s="700" t="s">
        <v>14</v>
      </c>
      <c r="U45" s="701">
        <f t="shared" si="13"/>
        <v>100</v>
      </c>
      <c r="V45" s="700" t="s">
        <v>14</v>
      </c>
      <c r="W45" s="701">
        <f t="shared" si="14"/>
        <v>100</v>
      </c>
      <c r="X45" s="1347"/>
      <c r="Y45" s="3793"/>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792"/>
      <c r="Q46" s="1344">
        <f t="shared" si="11"/>
        <v>111</v>
      </c>
      <c r="R46" s="700" t="s">
        <v>14</v>
      </c>
      <c r="S46" s="701">
        <f t="shared" si="12"/>
        <v>100</v>
      </c>
      <c r="T46" s="700" t="s">
        <v>14</v>
      </c>
      <c r="U46" s="701">
        <f t="shared" si="13"/>
        <v>100</v>
      </c>
      <c r="V46" s="700" t="s">
        <v>14</v>
      </c>
      <c r="W46" s="701">
        <f t="shared" si="14"/>
        <v>100</v>
      </c>
      <c r="X46" s="1347"/>
      <c r="Y46" s="3794"/>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8"/>
      <c r="M47" s="2709"/>
      <c r="N47" s="2700"/>
      <c r="O47" s="2709"/>
      <c r="P47" s="3786" t="str">
        <f>A47</f>
        <v>成交单价（元/平方米）</v>
      </c>
      <c r="Q47" s="3786"/>
      <c r="R47" s="3817">
        <f>E47</f>
        <v>58000</v>
      </c>
      <c r="S47" s="3817"/>
      <c r="T47" s="3817">
        <f>G47</f>
        <v>52000</v>
      </c>
      <c r="U47" s="3817"/>
      <c r="V47" s="3817">
        <f>I47</f>
        <v>62600</v>
      </c>
      <c r="W47" s="3817"/>
      <c r="X47" s="685"/>
      <c r="Y47" s="707"/>
      <c r="Z47" s="685"/>
      <c r="AA47" s="685"/>
      <c r="AB47" s="685"/>
      <c r="AC47" s="685"/>
    </row>
    <row r="48" spans="1:29" ht="15.75" thickBot="1">
      <c r="A48" s="434" t="s">
        <v>1793</v>
      </c>
      <c r="B48" s="435"/>
      <c r="C48" s="1152">
        <f>R49</f>
        <v>52864</v>
      </c>
      <c r="D48" s="2305" t="s">
        <v>2137</v>
      </c>
      <c r="E48" s="1153">
        <f>R48</f>
        <v>53166</v>
      </c>
      <c r="F48" s="2306"/>
      <c r="G48" s="1152">
        <f>T48</f>
        <v>48619</v>
      </c>
      <c r="H48" s="2306"/>
      <c r="I48" s="1153">
        <f>V48</f>
        <v>56808</v>
      </c>
      <c r="J48" s="2306"/>
      <c r="K48" s="2308">
        <f>F48+H48+J48</f>
        <v>0</v>
      </c>
      <c r="L48" s="2708"/>
      <c r="M48" s="2709"/>
      <c r="N48" s="2700"/>
      <c r="O48" s="2709"/>
      <c r="P48" s="3786" t="str">
        <f>A48</f>
        <v>比较价值（元/平方米）</v>
      </c>
      <c r="Q48" s="3786"/>
      <c r="R48" s="3787">
        <f>IF(F1="售价",ROUND(PRODUCT(R47,AA7:AA46),0),ROUND(PRODUCT(R47,AA7:AA46),1))</f>
        <v>53166</v>
      </c>
      <c r="S48" s="3787"/>
      <c r="T48" s="3787">
        <f>IF(F1="售价",ROUND(PRODUCT(T47,AB7:AB46),0),ROUND(PRODUCT(T47,AB7:AB46),1))</f>
        <v>48619</v>
      </c>
      <c r="U48" s="3787"/>
      <c r="V48" s="3787">
        <f>IF(F1="售价",ROUND(PRODUCT(V47,AC7:AC46),0),ROUND(PRODUCT(V47,AC7:AC46),1))</f>
        <v>56808</v>
      </c>
      <c r="W48" s="3787"/>
      <c r="X48" s="685"/>
      <c r="Y48" s="685"/>
      <c r="Z48" s="685"/>
      <c r="AA48" s="685"/>
      <c r="AB48" s="685"/>
      <c r="AC48" s="685"/>
    </row>
    <row r="49" spans="1:29" ht="15.75" thickBot="1">
      <c r="A49" s="438" t="s">
        <v>1794</v>
      </c>
      <c r="B49" s="439"/>
      <c r="C49" s="1155">
        <f>R49</f>
        <v>52864</v>
      </c>
      <c r="D49" s="1155"/>
      <c r="E49" s="1155"/>
      <c r="F49" s="1155"/>
      <c r="G49" s="1155"/>
      <c r="H49" s="1155"/>
      <c r="I49" s="1155"/>
      <c r="J49" s="1155"/>
      <c r="K49" s="710"/>
      <c r="L49" s="2708"/>
      <c r="M49" s="2709"/>
      <c r="N49" s="2700"/>
      <c r="O49" s="2709"/>
      <c r="P49" s="3783" t="str">
        <f>A49</f>
        <v>估价对象XX用房的比较价值（楼面单价，元/平方米）</v>
      </c>
      <c r="Q49" s="3784"/>
      <c r="R49" s="3785">
        <f>IF(F1="售价",ROUND(IF(D48="简单平均",AVERAGE(R48:V48),R48*F48+T48*H48+V48*J48),0),ROUND(IF(D48="简单平均",AVERAGE(R48:V48),R48*F48+T48*H48+V48*J48),1))</f>
        <v>52864</v>
      </c>
      <c r="S49" s="3785"/>
      <c r="T49" s="3785"/>
      <c r="U49" s="3785"/>
      <c r="V49" s="3785"/>
      <c r="W49" s="3785"/>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9.0922770191475655E-2</v>
      </c>
      <c r="F52" s="446" t="str">
        <f>IF(OR(E52&gt;=0.3,E52&lt;=-0.3),"超过30%","")</f>
        <v/>
      </c>
      <c r="G52" s="445">
        <f>IF(G47&lt;G48,G48/G47-1,G47/G48-1)</f>
        <v>6.9540714535469617E-2</v>
      </c>
      <c r="H52" s="446" t="str">
        <f>IF(OR(G52&gt;=0.3,G52&lt;=-0.3),"超过30%","")</f>
        <v/>
      </c>
      <c r="I52" s="445">
        <f>IF(I47&lt;I48,I48/I47-1,I47/I48-1)</f>
        <v>0.1019574707787636</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9.3523108249861098E-2</v>
      </c>
      <c r="F53" s="446" t="str">
        <f>IF(OR(E53&gt;=0.2,E53&lt;=-0.2),"超过20%","")</f>
        <v/>
      </c>
      <c r="G53" s="445">
        <f>IF(G48&lt;I48,I48/G48-1,G48/I48-1)</f>
        <v>0.16843209444867235</v>
      </c>
      <c r="H53" s="446" t="str">
        <f>IF(OR(G53&gt;=0.2,G53&lt;=-0.2),"超过20%","")</f>
        <v/>
      </c>
      <c r="I53" s="445">
        <f>IF(I48&lt;E48,E48/I48-1,I48/E48-1)</f>
        <v>6.8502426362712976E-2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c r="E59" s="458"/>
      <c r="F59" s="458"/>
      <c r="G59" s="458"/>
      <c r="H59" s="458"/>
      <c r="I59" s="458"/>
      <c r="J59" s="458"/>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4297</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98</v>
      </c>
      <c r="E85" s="490">
        <f>D85-$K23</f>
        <v>96</v>
      </c>
      <c r="F85" s="490">
        <f>E85-$K23</f>
        <v>94</v>
      </c>
      <c r="G85" s="490">
        <f>F85-$K23</f>
        <v>92</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4365</v>
      </c>
      <c r="D86" s="3441" t="s">
        <v>4366</v>
      </c>
      <c r="E86" s="3441" t="s">
        <v>4367</v>
      </c>
      <c r="F86" s="3441" t="s">
        <v>4368</v>
      </c>
      <c r="G86" s="3441" t="s">
        <v>4369</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4370</v>
      </c>
      <c r="D88" s="500" t="s">
        <v>3403</v>
      </c>
      <c r="E88" s="500" t="s">
        <v>3419</v>
      </c>
      <c r="F88" s="1915" t="s">
        <v>4360</v>
      </c>
      <c r="G88" s="500" t="s">
        <v>4371</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4372</v>
      </c>
      <c r="D90" s="3441" t="s">
        <v>4373</v>
      </c>
      <c r="E90" s="3441" t="s">
        <v>4374</v>
      </c>
      <c r="F90" s="3441" t="s">
        <v>4375</v>
      </c>
      <c r="G90" s="3441" t="s">
        <v>4376</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97</v>
      </c>
      <c r="E91" s="490">
        <f t="shared" ref="E91:M91" si="22">D91-$K27</f>
        <v>94</v>
      </c>
      <c r="F91" s="490">
        <f t="shared" si="22"/>
        <v>91</v>
      </c>
      <c r="G91" s="490">
        <f t="shared" si="22"/>
        <v>88</v>
      </c>
      <c r="H91" s="490">
        <f t="shared" si="22"/>
        <v>85</v>
      </c>
      <c r="I91" s="490">
        <f t="shared" si="22"/>
        <v>82</v>
      </c>
      <c r="J91" s="490">
        <f t="shared" si="22"/>
        <v>79</v>
      </c>
      <c r="K91" s="490">
        <f t="shared" si="22"/>
        <v>76</v>
      </c>
      <c r="L91" s="490">
        <f t="shared" si="22"/>
        <v>73</v>
      </c>
      <c r="M91" s="490">
        <f t="shared" si="22"/>
        <v>70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4383</v>
      </c>
      <c r="D100" s="3444" t="s">
        <v>4384</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4303</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4299</v>
      </c>
      <c r="D107" s="3441" t="s">
        <v>4300</v>
      </c>
      <c r="E107" s="3441" t="s">
        <v>4301</v>
      </c>
      <c r="F107" s="3473" t="s">
        <v>4302</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4306</v>
      </c>
      <c r="D112" s="3441" t="s">
        <v>4307</v>
      </c>
      <c r="E112" s="3441" t="s">
        <v>4308</v>
      </c>
      <c r="F112" s="3441" t="s">
        <v>4309</v>
      </c>
      <c r="G112" s="3441" t="s">
        <v>4310</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4313</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4314</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4299</v>
      </c>
      <c r="D122" s="3441" t="s">
        <v>4300</v>
      </c>
      <c r="E122" s="3441" t="s">
        <v>4301</v>
      </c>
      <c r="F122" s="3473" t="s">
        <v>4302</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估价对象为北京市昌平区英才南一街15号院1号楼等13栋部分用房房地产，为所有。根据《国有土地使用证》[]，估价对象（分摊）出让国有建设用地使用权面积为0平方米，建筑面积为1467.45平方米。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42" sqref="J42"/>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932.08370000000002</v>
      </c>
      <c r="C2" s="1379" t="s">
        <v>879</v>
      </c>
      <c r="D2" s="1463">
        <f ca="1">C40+J29+L46</f>
        <v>9320837</v>
      </c>
      <c r="E2" s="1380" t="s">
        <v>880</v>
      </c>
      <c r="F2" s="1381"/>
      <c r="G2" s="2690"/>
      <c r="H2" s="2679"/>
      <c r="I2" s="2679"/>
      <c r="J2" s="2679"/>
      <c r="K2" s="2680"/>
      <c r="L2" s="2679"/>
      <c r="M2" s="2679"/>
    </row>
    <row r="3" spans="1:37" ht="18" customHeight="1" thickBot="1">
      <c r="A3" s="1382" t="s">
        <v>806</v>
      </c>
      <c r="B3" s="1383">
        <f ca="1">IF(ISERROR(D2/F43),0,ROUND(D2/F43,0))</f>
        <v>33826</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589103</v>
      </c>
      <c r="D5" s="1356" t="s">
        <v>889</v>
      </c>
      <c r="E5" s="1063"/>
      <c r="F5" s="1064"/>
      <c r="G5" s="1376"/>
      <c r="H5" s="299">
        <v>1</v>
      </c>
      <c r="I5" s="300" t="s">
        <v>888</v>
      </c>
      <c r="J5" s="1062">
        <f ca="1">J6+J10+J12</f>
        <v>0</v>
      </c>
      <c r="K5" s="1356" t="s">
        <v>889</v>
      </c>
      <c r="L5" s="1063"/>
      <c r="M5" s="1064"/>
    </row>
    <row r="6" spans="1:37" ht="18" customHeight="1">
      <c r="A6" s="1061" t="s">
        <v>398</v>
      </c>
      <c r="B6" s="3840" t="s">
        <v>694</v>
      </c>
      <c r="C6" s="1066">
        <f ca="1">ROUND(F6*F8*F7*(1-F9),0)</f>
        <v>588368</v>
      </c>
      <c r="D6" s="155" t="s">
        <v>2105</v>
      </c>
      <c r="E6" s="302" t="s">
        <v>696</v>
      </c>
      <c r="F6" s="303">
        <f ca="1">INDIRECT("'数据-取费表'!u"&amp;$G$1)</f>
        <v>6.5</v>
      </c>
      <c r="G6" s="1376"/>
      <c r="H6" s="1061" t="s">
        <v>398</v>
      </c>
      <c r="I6" s="3840" t="s">
        <v>694</v>
      </c>
      <c r="J6" s="301">
        <f ca="1">ROUND(M6*M8*M7*(1-M9),0)</f>
        <v>0</v>
      </c>
      <c r="K6" s="1368" t="s">
        <v>2106</v>
      </c>
      <c r="L6" s="302" t="s">
        <v>696</v>
      </c>
      <c r="M6" s="303">
        <f ca="1">INDIRECT("'数据-取费表'!z"&amp;$G$1)</f>
        <v>0</v>
      </c>
    </row>
    <row r="7" spans="1:37" ht="18" customHeight="1">
      <c r="A7" s="1065"/>
      <c r="B7" s="3841"/>
      <c r="C7" s="1067"/>
      <c r="D7" s="307"/>
      <c r="E7" s="3502" t="s">
        <v>697</v>
      </c>
      <c r="F7" s="303">
        <f ca="1">IF(INDIRECT("'数据-取费表'!ah"&amp;$G$1)="",INDIRECT("'数据-取费表'!k"&amp;$G$1),INDIRECT("'数据-取费表'!ah"&amp;$G$1))</f>
        <v>275.55</v>
      </c>
      <c r="G7" s="1376"/>
      <c r="H7" s="304"/>
      <c r="I7" s="3841"/>
      <c r="J7" s="306"/>
      <c r="K7" s="307"/>
      <c r="L7" s="302" t="s">
        <v>697</v>
      </c>
      <c r="M7" s="303">
        <f ca="1">F7</f>
        <v>275.55</v>
      </c>
    </row>
    <row r="8" spans="1:37" ht="18" customHeight="1">
      <c r="A8" s="304"/>
      <c r="B8" s="3841"/>
      <c r="C8" s="306"/>
      <c r="D8" s="307"/>
      <c r="E8" s="302" t="s">
        <v>698</v>
      </c>
      <c r="F8" s="303">
        <f ca="1">INDIRECT("'数据-取费表'!ai"&amp;$G$1)</f>
        <v>365</v>
      </c>
      <c r="G8" s="1376"/>
      <c r="H8" s="304"/>
      <c r="I8" s="3841"/>
      <c r="J8" s="306"/>
      <c r="K8" s="307"/>
      <c r="L8" s="302" t="s">
        <v>698</v>
      </c>
      <c r="M8" s="303">
        <f ca="1">INDIRECT("'数据-取费表'!ai"&amp;$G$1)</f>
        <v>365</v>
      </c>
    </row>
    <row r="9" spans="1:37" ht="18" customHeight="1">
      <c r="A9" s="304"/>
      <c r="B9" s="3842"/>
      <c r="C9" s="306"/>
      <c r="D9" s="307"/>
      <c r="E9" s="302" t="s">
        <v>699</v>
      </c>
      <c r="F9" s="312">
        <f ca="1">INDIRECT("'数据-取费表'!w"&amp;$G$1)</f>
        <v>0.1</v>
      </c>
      <c r="G9" s="1376"/>
      <c r="H9" s="304"/>
      <c r="I9" s="3842"/>
      <c r="J9" s="306"/>
      <c r="K9" s="307"/>
      <c r="L9" s="313" t="s">
        <v>699</v>
      </c>
      <c r="M9" s="314">
        <f ca="1">INDIRECT("'数据-取费表'!ab"&amp;$G$1)</f>
        <v>0</v>
      </c>
    </row>
    <row r="10" spans="1:37" ht="18" customHeight="1">
      <c r="A10" s="1061" t="s">
        <v>402</v>
      </c>
      <c r="B10" s="1357" t="s">
        <v>700</v>
      </c>
      <c r="C10" s="316">
        <f ca="1">ROUND(IF(F10="押一",C6/12*F11,IF(F10="押二",C6/12*2*F11,IF(F10="押三",C6/12*3*F11,C11*F11))),0)</f>
        <v>735</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1713562</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1239975</v>
      </c>
      <c r="D14" s="3491" t="s">
        <v>708</v>
      </c>
      <c r="E14" s="3484"/>
      <c r="F14" s="319"/>
      <c r="G14" s="1376"/>
      <c r="H14" s="974" t="s">
        <v>398</v>
      </c>
      <c r="I14" s="302" t="s">
        <v>709</v>
      </c>
      <c r="J14" s="21">
        <f ca="1">C29</f>
        <v>1766559</v>
      </c>
      <c r="K14" s="3500"/>
      <c r="L14" s="799"/>
      <c r="M14" s="800"/>
    </row>
    <row r="15" spans="1:37" s="1389" customFormat="1" ht="18" customHeight="1" thickBot="1">
      <c r="A15" s="974" t="s">
        <v>399</v>
      </c>
      <c r="B15" s="302" t="s">
        <v>710</v>
      </c>
      <c r="C15" s="21">
        <f ca="1">ROUND(C14*F15,0)</f>
        <v>37199</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17666</v>
      </c>
      <c r="K16" s="1079" t="s">
        <v>715</v>
      </c>
      <c r="L16" s="3494"/>
      <c r="M16" s="1064"/>
    </row>
    <row r="17" spans="1:37" s="1389" customFormat="1" ht="18" customHeight="1">
      <c r="A17" s="974" t="s">
        <v>681</v>
      </c>
      <c r="B17" s="302" t="s">
        <v>716</v>
      </c>
      <c r="C17" s="21">
        <f ca="1">ROUND(F17*(F43+INDIRECT("'数据-取费表'!S"&amp;$G$1)),0)</f>
        <v>55110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18600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1350884</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27018</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17666</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47537</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-17666</v>
      </c>
      <c r="K25" s="1087" t="s">
        <v>753</v>
      </c>
      <c r="L25" s="1088"/>
      <c r="M25" s="1089"/>
    </row>
    <row r="26" spans="1:37" ht="18" customHeight="1">
      <c r="A26" s="974" t="s">
        <v>397</v>
      </c>
      <c r="B26" s="302" t="s">
        <v>754</v>
      </c>
      <c r="C26" s="21">
        <f ca="1">ROUND((C19+C20)*F26,0)</f>
        <v>206685</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1766559</v>
      </c>
      <c r="D29" s="1084"/>
      <c r="E29" s="1082"/>
      <c r="F29" s="1085"/>
      <c r="G29" s="1388"/>
      <c r="H29" s="334" t="s">
        <v>396</v>
      </c>
      <c r="I29" s="335" t="s">
        <v>768</v>
      </c>
      <c r="J29" s="336">
        <f ca="1">ROUND(J26/(1+F40)^F41,0)</f>
        <v>0</v>
      </c>
      <c r="K29" s="337" t="s">
        <v>769</v>
      </c>
      <c r="L29" s="338"/>
      <c r="M29" s="339">
        <f ca="1">INDIRECT("'数据-取费表'!k"&amp;$G$1)</f>
        <v>275.55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123407</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98136</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30819</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67242</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75</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65">
        <f>商办车库!G2</f>
        <v>50.16</v>
      </c>
      <c r="G35" s="1376"/>
      <c r="H35" s="2681"/>
      <c r="I35" s="1390"/>
      <c r="J35" s="1391"/>
      <c r="K35" s="2685"/>
      <c r="L35" s="2684"/>
      <c r="M35" s="2684"/>
    </row>
    <row r="36" spans="1:18" ht="18" customHeight="1">
      <c r="A36" s="1094" t="s">
        <v>402</v>
      </c>
      <c r="B36" s="302" t="s">
        <v>738</v>
      </c>
      <c r="C36" s="21">
        <f ca="1">ROUND(C29*F36,0)</f>
        <v>17666</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1714</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5891</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465696</v>
      </c>
      <c r="D39" s="1087" t="s">
        <v>773</v>
      </c>
      <c r="E39" s="1088"/>
      <c r="F39" s="1089"/>
      <c r="G39" s="1376"/>
      <c r="H39" s="2684"/>
      <c r="I39" s="1390"/>
      <c r="J39" s="1391"/>
      <c r="K39" s="2688"/>
      <c r="L39" s="2684"/>
      <c r="M39" s="2684"/>
    </row>
    <row r="40" spans="1:18" ht="18" customHeight="1">
      <c r="A40" s="299" t="s">
        <v>395</v>
      </c>
      <c r="B40" s="300" t="s">
        <v>774</v>
      </c>
      <c r="C40" s="301">
        <f ca="1">ROUND(C39*(1-((1+F42)/(1+F40))^F41)/(F40-F42),0)</f>
        <v>9239581</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552">
        <f ca="1">'数据-取费表'!AE6</f>
        <v>31.35</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33531</v>
      </c>
      <c r="D43" s="337" t="s">
        <v>777</v>
      </c>
      <c r="E43" s="338" t="s">
        <v>778</v>
      </c>
      <c r="F43" s="339">
        <f ca="1">INDIRECT("'数据-取费表'!k"&amp;$G$1)</f>
        <v>275.55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-952.72839999999997</v>
      </c>
      <c r="D45" s="3415" t="s">
        <v>3354</v>
      </c>
      <c r="E45" s="1392"/>
      <c r="F45" s="1392"/>
      <c r="O45" s="1395" t="s">
        <v>808</v>
      </c>
      <c r="P45" s="1453"/>
      <c r="Q45" s="1453"/>
      <c r="R45" s="1453"/>
    </row>
    <row r="46" spans="1:18" s="1376" customFormat="1" ht="13.5" thickBot="1">
      <c r="A46" s="1396" t="s">
        <v>809</v>
      </c>
      <c r="C46" s="1397">
        <f ca="1">ROUND(C45,0)</f>
        <v>-953</v>
      </c>
      <c r="D46" s="1398" t="str">
        <f>C2</f>
        <v>万元</v>
      </c>
      <c r="I46" s="1399" t="s">
        <v>810</v>
      </c>
      <c r="J46" s="1400"/>
      <c r="K46" s="1401"/>
      <c r="L46" s="1402">
        <f ca="1">IF(M47="住宅",0,IF(L48&gt;J51,L60,J60))</f>
        <v>81256</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9239581</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31.35</v>
      </c>
      <c r="O48" s="1410" t="s">
        <v>404</v>
      </c>
      <c r="P48" s="1411" t="s">
        <v>821</v>
      </c>
      <c r="Q48" s="1412">
        <f ca="1">J60</f>
        <v>81256</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1766559</v>
      </c>
      <c r="R49" s="1412" t="s">
        <v>818</v>
      </c>
    </row>
    <row r="50" spans="1:18" s="1376" customFormat="1" ht="13.5" thickBot="1">
      <c r="A50" s="968"/>
      <c r="B50" s="971"/>
      <c r="C50" s="972"/>
      <c r="D50" s="945"/>
      <c r="E50" s="1048" t="s">
        <v>697</v>
      </c>
      <c r="F50" s="1049">
        <f ca="1">F7</f>
        <v>275.55</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6506794</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31.35</v>
      </c>
      <c r="K53" s="3838" t="s">
        <v>837</v>
      </c>
      <c r="L53" s="3839"/>
      <c r="O53" s="1410" t="s">
        <v>409</v>
      </c>
      <c r="P53" s="1411" t="s">
        <v>838</v>
      </c>
      <c r="Q53" s="1412">
        <f ca="1">Q47+Q48</f>
        <v>9320837</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1713562</v>
      </c>
      <c r="D56" s="1439"/>
      <c r="E56" s="1440"/>
      <c r="F56" s="1432"/>
      <c r="I56" s="1441" t="s">
        <v>842</v>
      </c>
      <c r="J56" s="1442" t="s">
        <v>3387</v>
      </c>
      <c r="K56" s="1413" t="s">
        <v>843</v>
      </c>
      <c r="L56" s="1416" t="str">
        <f ca="1">IF(L48&lt;J51,"——",L48-J51)</f>
        <v>——</v>
      </c>
      <c r="O56" s="1410" t="s">
        <v>403</v>
      </c>
      <c r="P56" s="1411" t="s">
        <v>817</v>
      </c>
      <c r="Q56" s="1412">
        <f ca="1">C40+J29</f>
        <v>9239581</v>
      </c>
      <c r="R56" s="1412" t="s">
        <v>818</v>
      </c>
    </row>
    <row r="57" spans="1:18" s="1376" customFormat="1" ht="24.75" thickBot="1">
      <c r="A57" s="1443"/>
      <c r="B57" s="942" t="s">
        <v>767</v>
      </c>
      <c r="C57" s="238">
        <f ca="1">C29</f>
        <v>1766559</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19455</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75</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784352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81256</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75</v>
      </c>
      <c r="D62" s="957" t="s">
        <v>786</v>
      </c>
      <c r="E62" s="942" t="s">
        <v>787</v>
      </c>
      <c r="F62" s="325">
        <f t="shared" si="0"/>
        <v>1.5</v>
      </c>
      <c r="I62" s="1454" t="s">
        <v>858</v>
      </c>
      <c r="J62" s="1455" t="s">
        <v>859</v>
      </c>
      <c r="K62" s="1455" t="s">
        <v>860</v>
      </c>
      <c r="L62" s="1455" t="s">
        <v>861</v>
      </c>
      <c r="M62" s="1456" t="s">
        <v>862</v>
      </c>
      <c r="O62" s="1410" t="s">
        <v>409</v>
      </c>
      <c r="P62" s="1411" t="s">
        <v>863</v>
      </c>
      <c r="Q62" s="1412">
        <f ca="1">Q56+Q57</f>
        <v>9239581</v>
      </c>
      <c r="R62" s="1412" t="s">
        <v>410</v>
      </c>
    </row>
    <row r="63" spans="1:18" s="1376" customFormat="1" ht="13.5" thickBot="1">
      <c r="A63" s="326"/>
      <c r="B63" s="948"/>
      <c r="C63" s="26"/>
      <c r="D63" s="958"/>
      <c r="E63" s="942" t="s">
        <v>788</v>
      </c>
      <c r="F63" s="303">
        <f t="shared" si="0"/>
        <v>50.16</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17666</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1714</v>
      </c>
      <c r="D65" s="956" t="s">
        <v>743</v>
      </c>
      <c r="E65" s="942" t="s">
        <v>712</v>
      </c>
      <c r="F65" s="330">
        <f t="shared" ca="1" si="0"/>
        <v>1E-3</v>
      </c>
      <c r="I65" s="1454" t="s">
        <v>867</v>
      </c>
      <c r="J65" s="1455">
        <v>40</v>
      </c>
      <c r="K65" s="1455">
        <v>30</v>
      </c>
      <c r="L65" s="1455">
        <v>50</v>
      </c>
      <c r="M65" s="1457">
        <v>0.02</v>
      </c>
      <c r="O65" s="1410" t="s">
        <v>403</v>
      </c>
      <c r="P65" s="1411" t="s">
        <v>868</v>
      </c>
      <c r="Q65" s="1412">
        <f ca="1">C40+J29</f>
        <v>9239581</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-19455</v>
      </c>
      <c r="D67" s="955" t="s">
        <v>753</v>
      </c>
      <c r="E67" s="960"/>
      <c r="F67" s="961"/>
      <c r="O67" s="1420" t="s">
        <v>405</v>
      </c>
      <c r="P67" s="1411" t="s">
        <v>850</v>
      </c>
      <c r="Q67" s="1458">
        <f ca="1">L51</f>
        <v>6506794</v>
      </c>
      <c r="R67" s="1412" t="s">
        <v>870</v>
      </c>
    </row>
    <row r="68" spans="1:18" s="1376" customFormat="1" ht="16.5" thickBot="1">
      <c r="A68" s="939" t="s">
        <v>395</v>
      </c>
      <c r="B68" s="940" t="s">
        <v>774</v>
      </c>
      <c r="C68" s="301">
        <f ca="1">ROUND(C67*(1-((1+F70)/(1+F68))^F69)/(F68-F70),0)</f>
        <v>-287703</v>
      </c>
      <c r="D68" s="957" t="s">
        <v>758</v>
      </c>
      <c r="E68" s="942" t="s">
        <v>759</v>
      </c>
      <c r="F68" s="312">
        <f ca="1">F40</f>
        <v>5.5E-2</v>
      </c>
      <c r="O68" s="1420" t="s">
        <v>406</v>
      </c>
      <c r="P68" s="1459" t="s">
        <v>871</v>
      </c>
      <c r="Q68" s="1412">
        <f ca="1">ROUND(Q69-Q70*Q71,0)</f>
        <v>345747</v>
      </c>
      <c r="R68" s="1412" t="s">
        <v>414</v>
      </c>
    </row>
    <row r="69" spans="1:18" s="1376" customFormat="1" ht="13.5" thickBot="1">
      <c r="A69" s="943"/>
      <c r="B69" s="944"/>
      <c r="C69" s="306"/>
      <c r="D69" s="962" t="s">
        <v>762</v>
      </c>
      <c r="E69" s="942" t="s">
        <v>763</v>
      </c>
      <c r="F69" s="333">
        <f ca="1">F41</f>
        <v>31.35</v>
      </c>
      <c r="O69" s="1420" t="s">
        <v>411</v>
      </c>
      <c r="P69" s="1459" t="s">
        <v>872</v>
      </c>
      <c r="Q69" s="1412">
        <f ca="1">C39</f>
        <v>465696</v>
      </c>
      <c r="R69" s="1412" t="s">
        <v>818</v>
      </c>
    </row>
    <row r="70" spans="1:18" s="1376" customFormat="1" ht="13.5" thickBot="1">
      <c r="A70" s="946"/>
      <c r="B70" s="947"/>
      <c r="C70" s="310"/>
      <c r="D70" s="958"/>
      <c r="E70" s="942" t="s">
        <v>766</v>
      </c>
      <c r="F70" s="1046"/>
      <c r="O70" s="1420" t="s">
        <v>412</v>
      </c>
      <c r="P70" s="1459" t="s">
        <v>873</v>
      </c>
      <c r="Q70" s="1412">
        <f ca="1">C13</f>
        <v>1713562</v>
      </c>
      <c r="R70" s="1412" t="s">
        <v>818</v>
      </c>
    </row>
    <row r="71" spans="1:18" s="1376" customFormat="1" ht="13.5" thickBot="1">
      <c r="A71" s="963" t="s">
        <v>396</v>
      </c>
      <c r="B71" s="964" t="s">
        <v>776</v>
      </c>
      <c r="C71" s="336">
        <f ca="1">ROUND(C68/F71,0)</f>
        <v>-1044</v>
      </c>
      <c r="D71" s="965" t="s">
        <v>777</v>
      </c>
      <c r="E71" s="966" t="s">
        <v>778</v>
      </c>
      <c r="F71" s="339">
        <f ca="1">F43</f>
        <v>275.55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119949</v>
      </c>
      <c r="D75" s="1376"/>
      <c r="E75" s="1376"/>
      <c r="F75" s="1376"/>
      <c r="K75" s="1394"/>
      <c r="L75" s="1376"/>
      <c r="O75" s="1410" t="s">
        <v>409</v>
      </c>
      <c r="P75" s="1411" t="s">
        <v>838</v>
      </c>
      <c r="Q75" s="1412">
        <f ca="1">Q65+Q66</f>
        <v>9239581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0.74199999999999999</v>
      </c>
    </row>
    <row r="80" spans="1:18">
      <c r="B80" s="340" t="s">
        <v>800</v>
      </c>
      <c r="C80" s="274">
        <f ca="1">ROUND(C75/C39,3)</f>
        <v>0.25800000000000001</v>
      </c>
    </row>
    <row r="81" spans="2:3">
      <c r="B81" s="270" t="s">
        <v>801</v>
      </c>
      <c r="C81" s="238"/>
    </row>
    <row r="82" spans="2:3">
      <c r="B82" s="273" t="s">
        <v>802</v>
      </c>
      <c r="C82" s="275">
        <f ca="1">1-C83</f>
        <v>0.81499999999999995</v>
      </c>
    </row>
    <row r="83" spans="2:3">
      <c r="B83" s="273" t="s">
        <v>803</v>
      </c>
      <c r="C83" s="274">
        <f ca="1">ROUND(C13/C40,3)</f>
        <v>0.185</v>
      </c>
    </row>
  </sheetData>
  <sheetProtection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24" sqref="Y24"/>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67" t="s">
        <v>2084</v>
      </c>
      <c r="D1" s="3868"/>
      <c r="E1" s="3868"/>
      <c r="F1" s="3868"/>
      <c r="G1" s="3868"/>
      <c r="H1" s="3868"/>
      <c r="I1" s="3868"/>
      <c r="J1" s="3868"/>
      <c r="K1" s="3868"/>
      <c r="L1" s="3868"/>
      <c r="M1" s="3868"/>
      <c r="N1" s="3868"/>
      <c r="O1" s="3868"/>
      <c r="P1" s="3868"/>
      <c r="Q1" s="3868"/>
      <c r="R1" s="3868"/>
      <c r="S1" s="3869"/>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4387</v>
      </c>
      <c r="C5" s="987" t="s">
        <v>4388</v>
      </c>
      <c r="D5" s="988" t="s">
        <v>3507</v>
      </c>
      <c r="E5" s="988" t="s">
        <v>3511</v>
      </c>
      <c r="F5" s="1304" t="s">
        <v>3508</v>
      </c>
      <c r="G5" s="1304" t="s">
        <v>4389</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54" t="s">
        <v>4390</v>
      </c>
      <c r="C7" s="896" t="s">
        <v>4370</v>
      </c>
      <c r="D7" s="890" t="s">
        <v>3403</v>
      </c>
      <c r="E7" s="890" t="s">
        <v>3419</v>
      </c>
      <c r="F7" s="1309" t="s">
        <v>4360</v>
      </c>
      <c r="G7" s="1309" t="s">
        <v>4371</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57517</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32561</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17664.14</v>
      </c>
      <c r="C22" s="3864" t="s">
        <v>27</v>
      </c>
      <c r="D22" s="3865"/>
      <c r="E22" s="3865"/>
      <c r="F22" s="3865"/>
      <c r="G22" s="3865"/>
      <c r="H22" s="3865"/>
      <c r="I22" s="3865"/>
      <c r="J22" s="3865"/>
      <c r="K22" s="3865"/>
      <c r="L22" s="3865"/>
      <c r="M22" s="3865"/>
      <c r="N22" s="3865"/>
      <c r="O22" s="3865"/>
      <c r="P22" s="3865"/>
      <c r="Q22" s="3866"/>
      <c r="R22" s="659">
        <f ca="1">ROUND(S22*10000/B22,0)</f>
        <v>32561</v>
      </c>
      <c r="S22" s="21">
        <f ca="1">SUM(S24:S10000)</f>
        <v>57517</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商办车库!E2</f>
        <v>101</v>
      </c>
      <c r="B24" s="3476">
        <f>商办车库!F2</f>
        <v>275.55</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45249</v>
      </c>
      <c r="S24" s="661">
        <f t="shared" ref="S24:S54" ca="1" si="12">ROUND(R24*B24/10000,0)</f>
        <v>1247</v>
      </c>
      <c r="T24" s="725" t="str">
        <f>商办车库!H2</f>
        <v>商业</v>
      </c>
      <c r="U24" s="725" t="str">
        <f>商办车库!C2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f>商办车库!E3</f>
        <v>102</v>
      </c>
      <c r="B25" s="2408">
        <f>商办车库!F3</f>
        <v>369.34</v>
      </c>
      <c r="C25" s="21">
        <f>IF(B25="",1,(LOOKUP(B25,$3:$3,$4:$4)-LOOKUP($B$24,$3:$3,$4:$4)+100)/100)</f>
        <v>0.99</v>
      </c>
      <c r="D25" s="2795" t="s">
        <v>3508</v>
      </c>
      <c r="E25" s="21">
        <f>(SUMIF($5:$5,D25,$6:$6)-SUMIF($5:$5,$D$24,$6:$6)+100)/100</f>
        <v>1</v>
      </c>
      <c r="F25" s="2795" t="s">
        <v>3403</v>
      </c>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 ca="1">IF(B25="",0,ROUND($R$24*C25*E25*G25*I25*K25*M25*O25*Q25,0))</f>
        <v>44797</v>
      </c>
      <c r="S25" s="316">
        <f t="shared" ca="1" si="12"/>
        <v>1655</v>
      </c>
      <c r="T25" s="720" t="str">
        <f>商办车库!H3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商办车库!E9</f>
        <v>-107</v>
      </c>
      <c r="B27" s="2408">
        <f>商办车库!F9</f>
        <v>307.95</v>
      </c>
      <c r="C27" s="21">
        <f t="shared" si="13"/>
        <v>0.99</v>
      </c>
      <c r="D27" s="662" t="s">
        <v>4389</v>
      </c>
      <c r="E27" s="21">
        <f t="shared" si="14"/>
        <v>0.97</v>
      </c>
      <c r="F27" s="662" t="s">
        <v>4371</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19771</v>
      </c>
      <c r="S27" s="316">
        <f t="shared" ca="1" si="12"/>
        <v>609</v>
      </c>
      <c r="T27" s="720" t="str">
        <f>商办车库!H9</f>
        <v>商业</v>
      </c>
      <c r="U27" s="720" t="str">
        <f>商办车库!C9</f>
        <v>昌平区英才南一街15号院3号楼-1至1层103等[4]套</v>
      </c>
    </row>
    <row r="28" spans="1:45">
      <c r="A28" s="2408">
        <f>商办车库!E10</f>
        <v>101</v>
      </c>
      <c r="B28" s="2408">
        <f>商办车库!F10</f>
        <v>400.49</v>
      </c>
      <c r="C28" s="21">
        <f t="shared" si="13"/>
        <v>0.99</v>
      </c>
      <c r="D28" s="662" t="s">
        <v>4389</v>
      </c>
      <c r="E28" s="21">
        <f t="shared" si="14"/>
        <v>0.97</v>
      </c>
      <c r="F28" s="662" t="s">
        <v>4360</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40845</v>
      </c>
      <c r="S28" s="316">
        <f t="shared" ca="1" si="12"/>
        <v>1636</v>
      </c>
      <c r="T28" s="720" t="str">
        <f>商办车库!H10</f>
        <v>商业</v>
      </c>
    </row>
    <row r="29" spans="1:45">
      <c r="A29" s="2408">
        <f>商办车库!E11</f>
        <v>102</v>
      </c>
      <c r="B29" s="2408">
        <f>商办车库!F11</f>
        <v>84.52</v>
      </c>
      <c r="C29" s="21">
        <f t="shared" si="13"/>
        <v>1.02</v>
      </c>
      <c r="D29" s="662" t="s">
        <v>4389</v>
      </c>
      <c r="E29" s="21">
        <f t="shared" si="14"/>
        <v>0.97</v>
      </c>
      <c r="F29" s="662" t="s">
        <v>4360</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42083</v>
      </c>
      <c r="S29" s="316">
        <f t="shared" ca="1" si="12"/>
        <v>356</v>
      </c>
      <c r="T29" s="720" t="str">
        <f>商办车库!H11</f>
        <v>商业</v>
      </c>
    </row>
    <row r="30" spans="1:45">
      <c r="A30" s="2408">
        <f>商办车库!E12</f>
        <v>103</v>
      </c>
      <c r="B30" s="2408">
        <f>商办车库!F12</f>
        <v>147.1</v>
      </c>
      <c r="C30" s="21">
        <f t="shared" si="13"/>
        <v>1.01</v>
      </c>
      <c r="D30" s="662" t="s">
        <v>4389</v>
      </c>
      <c r="E30" s="21">
        <f t="shared" si="14"/>
        <v>0.97</v>
      </c>
      <c r="F30" s="662" t="s">
        <v>4360</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41671</v>
      </c>
      <c r="S30" s="316">
        <f t="shared" ca="1" si="12"/>
        <v>613</v>
      </c>
      <c r="T30" s="720" t="str">
        <f>商办车库!H12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商办车库!E33</f>
        <v>101</v>
      </c>
      <c r="B32" s="2408">
        <f>商办车库!F33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46606</v>
      </c>
      <c r="S32" s="316">
        <f t="shared" ca="1" si="12"/>
        <v>1170</v>
      </c>
      <c r="T32" s="720" t="str">
        <f>商办车库!H33</f>
        <v>商业</v>
      </c>
      <c r="U32" s="720" t="str">
        <f>商办车库!C14</f>
        <v>昌平区英才南一街15号院4号楼10层2单元1002等[23]套</v>
      </c>
    </row>
    <row r="33" spans="1:21">
      <c r="A33" s="2408">
        <f>商办车库!E34</f>
        <v>102</v>
      </c>
      <c r="B33" s="2408">
        <f>商办车库!F34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47073</v>
      </c>
      <c r="S33" s="316">
        <f t="shared" ca="1" si="12"/>
        <v>894</v>
      </c>
      <c r="T33" s="720" t="str">
        <f>商办车库!H34</f>
        <v>商业</v>
      </c>
    </row>
    <row r="34" spans="1:21">
      <c r="A34" s="2408">
        <f>商办车库!E35</f>
        <v>202</v>
      </c>
      <c r="B34" s="2408">
        <f>商办车库!F35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34605</v>
      </c>
      <c r="S34" s="316">
        <f t="shared" ca="1" si="12"/>
        <v>1502</v>
      </c>
      <c r="T34" s="720" t="str">
        <f>商办车库!H35</f>
        <v>商业</v>
      </c>
    </row>
    <row r="35" spans="1:21">
      <c r="A35" s="2408">
        <f>商办车库!E36</f>
        <v>203</v>
      </c>
      <c r="B35" s="2408">
        <f>商办车库!F36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34256</v>
      </c>
      <c r="S35" s="316">
        <f t="shared" ca="1" si="12"/>
        <v>2614</v>
      </c>
      <c r="T35" s="720" t="str">
        <f>商办车库!H36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f>商办车库!E225</f>
        <v>-101</v>
      </c>
      <c r="B37" s="54">
        <f>商办车库!F225</f>
        <v>211.51</v>
      </c>
      <c r="C37" s="21">
        <f t="shared" si="13"/>
        <v>1</v>
      </c>
      <c r="D37" s="662" t="s">
        <v>4389</v>
      </c>
      <c r="E37" s="21">
        <f t="shared" si="14"/>
        <v>0.97</v>
      </c>
      <c r="F37" s="662" t="s">
        <v>4371</v>
      </c>
      <c r="G37" s="21">
        <f t="shared" si="15"/>
        <v>0.91</v>
      </c>
      <c r="H37" s="662"/>
      <c r="I37" s="21">
        <f t="shared" si="16"/>
        <v>1</v>
      </c>
      <c r="J37" s="662"/>
      <c r="K37" s="21">
        <f t="shared" si="17"/>
        <v>1</v>
      </c>
      <c r="L37" s="662"/>
      <c r="M37" s="21">
        <f t="shared" si="18"/>
        <v>1</v>
      </c>
      <c r="N37" s="662"/>
      <c r="O37" s="21">
        <f t="shared" si="19"/>
        <v>1</v>
      </c>
      <c r="P37" s="662">
        <v>-1</v>
      </c>
      <c r="Q37" s="21">
        <f t="shared" si="20"/>
        <v>0.5</v>
      </c>
      <c r="R37" s="659">
        <f t="shared" ca="1" si="21"/>
        <v>19971</v>
      </c>
      <c r="S37" s="316">
        <f t="shared" ca="1" si="12"/>
        <v>422</v>
      </c>
      <c r="T37" s="720" t="str">
        <f>商办车库!H225</f>
        <v>地下商业</v>
      </c>
      <c r="U37" s="720" t="str">
        <f>商办车库!C223</f>
        <v>昌平区英才南一街15号院B101至B152、B2001至B2102、B3001至B3102-5层B3005等[244]套</v>
      </c>
    </row>
    <row r="38" spans="1:21">
      <c r="A38" s="2408">
        <f>商办车库!E226</f>
        <v>-102</v>
      </c>
      <c r="B38" s="54">
        <f>商办车库!F226</f>
        <v>62.54</v>
      </c>
      <c r="C38" s="21">
        <f t="shared" si="13"/>
        <v>1.02</v>
      </c>
      <c r="D38" s="662" t="s">
        <v>4389</v>
      </c>
      <c r="E38" s="21">
        <f t="shared" si="14"/>
        <v>0.97</v>
      </c>
      <c r="F38" s="662" t="s">
        <v>4371</v>
      </c>
      <c r="G38" s="21">
        <f t="shared" si="15"/>
        <v>0.91</v>
      </c>
      <c r="H38" s="662"/>
      <c r="I38" s="21">
        <f t="shared" si="16"/>
        <v>1</v>
      </c>
      <c r="J38" s="662"/>
      <c r="K38" s="21">
        <f t="shared" si="17"/>
        <v>1</v>
      </c>
      <c r="L38" s="662"/>
      <c r="M38" s="21">
        <f t="shared" si="18"/>
        <v>1</v>
      </c>
      <c r="N38" s="662"/>
      <c r="O38" s="21">
        <f t="shared" si="19"/>
        <v>1</v>
      </c>
      <c r="P38" s="662">
        <v>-1</v>
      </c>
      <c r="Q38" s="21">
        <f t="shared" si="20"/>
        <v>0.5</v>
      </c>
      <c r="R38" s="659">
        <f t="shared" ca="1" si="21"/>
        <v>20370</v>
      </c>
      <c r="S38" s="316">
        <f t="shared" ca="1" si="12"/>
        <v>127</v>
      </c>
      <c r="T38" s="720" t="str">
        <f>商办车库!H226</f>
        <v>地下商业</v>
      </c>
    </row>
    <row r="39" spans="1:21">
      <c r="A39" s="2408">
        <f>商办车库!E227</f>
        <v>-103</v>
      </c>
      <c r="B39" s="54">
        <f>商办车库!F227</f>
        <v>77.900000000000006</v>
      </c>
      <c r="C39" s="21">
        <f t="shared" si="13"/>
        <v>1.02</v>
      </c>
      <c r="D39" s="662" t="s">
        <v>4389</v>
      </c>
      <c r="E39" s="21">
        <f t="shared" si="14"/>
        <v>0.97</v>
      </c>
      <c r="F39" s="662" t="s">
        <v>4371</v>
      </c>
      <c r="G39" s="21">
        <f t="shared" si="15"/>
        <v>0.91</v>
      </c>
      <c r="H39" s="662"/>
      <c r="I39" s="21">
        <f t="shared" si="16"/>
        <v>1</v>
      </c>
      <c r="J39" s="662"/>
      <c r="K39" s="21">
        <f t="shared" si="17"/>
        <v>1</v>
      </c>
      <c r="L39" s="662"/>
      <c r="M39" s="21">
        <f t="shared" si="18"/>
        <v>1</v>
      </c>
      <c r="N39" s="662"/>
      <c r="O39" s="21">
        <f t="shared" si="19"/>
        <v>1</v>
      </c>
      <c r="P39" s="662">
        <v>-1</v>
      </c>
      <c r="Q39" s="21">
        <f t="shared" si="20"/>
        <v>0.5</v>
      </c>
      <c r="R39" s="659">
        <f t="shared" ca="1" si="21"/>
        <v>20370</v>
      </c>
      <c r="S39" s="316">
        <f t="shared" ca="1" si="12"/>
        <v>159</v>
      </c>
      <c r="T39" s="720" t="str">
        <f>商办车库!H227</f>
        <v>地下商业</v>
      </c>
    </row>
    <row r="40" spans="1:21">
      <c r="A40" s="2408">
        <f>商办车库!E228</f>
        <v>-104</v>
      </c>
      <c r="B40" s="54">
        <f>商办车库!F228</f>
        <v>95.91</v>
      </c>
      <c r="C40" s="21">
        <f t="shared" si="13"/>
        <v>1.02</v>
      </c>
      <c r="D40" s="662" t="s">
        <v>4389</v>
      </c>
      <c r="E40" s="21">
        <f t="shared" si="14"/>
        <v>0.97</v>
      </c>
      <c r="F40" s="662" t="s">
        <v>4371</v>
      </c>
      <c r="G40" s="21">
        <f t="shared" si="15"/>
        <v>0.91</v>
      </c>
      <c r="H40" s="662"/>
      <c r="I40" s="21">
        <f t="shared" si="16"/>
        <v>1</v>
      </c>
      <c r="J40" s="662"/>
      <c r="K40" s="21">
        <f t="shared" si="17"/>
        <v>1</v>
      </c>
      <c r="L40" s="662"/>
      <c r="M40" s="21">
        <f t="shared" si="18"/>
        <v>1</v>
      </c>
      <c r="N40" s="662"/>
      <c r="O40" s="21">
        <f t="shared" si="19"/>
        <v>1</v>
      </c>
      <c r="P40" s="662">
        <v>-1</v>
      </c>
      <c r="Q40" s="21">
        <f t="shared" si="20"/>
        <v>0.5</v>
      </c>
      <c r="R40" s="659">
        <f t="shared" ca="1" si="21"/>
        <v>20370</v>
      </c>
      <c r="S40" s="316">
        <f t="shared" ca="1" si="12"/>
        <v>195</v>
      </c>
      <c r="T40" s="720" t="str">
        <f>商办车库!H228</f>
        <v>地下商业</v>
      </c>
    </row>
    <row r="41" spans="1:21">
      <c r="A41" s="2408">
        <f>商办车库!E229</f>
        <v>-105</v>
      </c>
      <c r="B41" s="54">
        <f>商办车库!F229</f>
        <v>95.03</v>
      </c>
      <c r="C41" s="21">
        <f t="shared" si="13"/>
        <v>1.02</v>
      </c>
      <c r="D41" s="662" t="s">
        <v>4389</v>
      </c>
      <c r="E41" s="21">
        <f t="shared" si="14"/>
        <v>0.97</v>
      </c>
      <c r="F41" s="662" t="s">
        <v>4371</v>
      </c>
      <c r="G41" s="21">
        <f t="shared" si="15"/>
        <v>0.91</v>
      </c>
      <c r="H41" s="662"/>
      <c r="I41" s="21">
        <f t="shared" si="16"/>
        <v>1</v>
      </c>
      <c r="J41" s="662"/>
      <c r="K41" s="21">
        <f t="shared" si="17"/>
        <v>1</v>
      </c>
      <c r="L41" s="662"/>
      <c r="M41" s="21">
        <f t="shared" si="18"/>
        <v>1</v>
      </c>
      <c r="N41" s="662"/>
      <c r="O41" s="21">
        <f t="shared" si="19"/>
        <v>1</v>
      </c>
      <c r="P41" s="662">
        <v>-1</v>
      </c>
      <c r="Q41" s="21">
        <f t="shared" si="20"/>
        <v>0.5</v>
      </c>
      <c r="R41" s="659">
        <f t="shared" ca="1" si="21"/>
        <v>20370</v>
      </c>
      <c r="S41" s="316">
        <f t="shared" ca="1" si="12"/>
        <v>194</v>
      </c>
      <c r="T41" s="720" t="str">
        <f>商办车库!H229</f>
        <v>地下商业</v>
      </c>
    </row>
    <row r="42" spans="1:21">
      <c r="A42" s="2408">
        <f>商办车库!E230</f>
        <v>-106</v>
      </c>
      <c r="B42" s="54">
        <f>商办车库!F230</f>
        <v>136.32</v>
      </c>
      <c r="C42" s="21">
        <f t="shared" si="13"/>
        <v>1.01</v>
      </c>
      <c r="D42" s="662" t="s">
        <v>4389</v>
      </c>
      <c r="E42" s="21">
        <f t="shared" si="14"/>
        <v>0.97</v>
      </c>
      <c r="F42" s="662" t="s">
        <v>4371</v>
      </c>
      <c r="G42" s="21">
        <f t="shared" si="15"/>
        <v>0.91</v>
      </c>
      <c r="H42" s="662"/>
      <c r="I42" s="21">
        <f t="shared" si="16"/>
        <v>1</v>
      </c>
      <c r="J42" s="662"/>
      <c r="K42" s="21">
        <f t="shared" si="17"/>
        <v>1</v>
      </c>
      <c r="L42" s="662"/>
      <c r="M42" s="21">
        <f t="shared" si="18"/>
        <v>1</v>
      </c>
      <c r="N42" s="662"/>
      <c r="O42" s="21">
        <f t="shared" si="19"/>
        <v>1</v>
      </c>
      <c r="P42" s="662">
        <v>-1</v>
      </c>
      <c r="Q42" s="21">
        <f t="shared" si="20"/>
        <v>0.5</v>
      </c>
      <c r="R42" s="659">
        <f t="shared" ca="1" si="21"/>
        <v>20170</v>
      </c>
      <c r="S42" s="316">
        <f t="shared" ca="1" si="12"/>
        <v>275</v>
      </c>
      <c r="T42" s="720" t="str">
        <f>商办车库!H230</f>
        <v>地下商业</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2408">
        <f>商办车库!E284</f>
        <v>101</v>
      </c>
      <c r="B44" s="2408">
        <f>商办车库!F284</f>
        <v>244.44</v>
      </c>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ca="1" si="21"/>
        <v>45249</v>
      </c>
      <c r="S44" s="316">
        <f t="shared" ca="1" si="12"/>
        <v>1106</v>
      </c>
      <c r="T44" s="720" t="str">
        <f>商办车库!H284</f>
        <v>商业</v>
      </c>
      <c r="U44" s="720" t="str">
        <f>商办车库!C284</f>
        <v>昌平区英才南二街15号院1号楼1层103等[12]套</v>
      </c>
    </row>
    <row r="45" spans="1:21">
      <c r="A45" s="2408">
        <f>商办车库!E285</f>
        <v>102</v>
      </c>
      <c r="B45" s="2408">
        <f>商办车库!F285</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45701</v>
      </c>
      <c r="S45" s="316">
        <f t="shared" ca="1" si="12"/>
        <v>659</v>
      </c>
      <c r="T45" s="720" t="str">
        <f>商办车库!H285</f>
        <v>商业</v>
      </c>
    </row>
    <row r="46" spans="1:21">
      <c r="A46" s="2408">
        <f>商办车库!E286</f>
        <v>103</v>
      </c>
      <c r="B46" s="2408">
        <f>商办车库!F286</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45249</v>
      </c>
      <c r="S46" s="316">
        <f t="shared" ca="1" si="12"/>
        <v>1193</v>
      </c>
      <c r="T46" s="720" t="str">
        <f>商办车库!H286</f>
        <v>商业</v>
      </c>
    </row>
    <row r="47" spans="1:21">
      <c r="A47" s="2408">
        <f>商办车库!E287</f>
        <v>201</v>
      </c>
      <c r="B47" s="2408">
        <f>商办车库!F287</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33258</v>
      </c>
      <c r="S47" s="316">
        <f t="shared" ca="1" si="12"/>
        <v>2600</v>
      </c>
      <c r="T47" s="720" t="str">
        <f>商办车库!H287</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商办车库!E321</f>
        <v>101</v>
      </c>
      <c r="B49" s="2408">
        <f>商办车库!F321</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47073</v>
      </c>
      <c r="S49" s="316">
        <f t="shared" ca="1" si="12"/>
        <v>586</v>
      </c>
      <c r="T49" s="720" t="str">
        <f>商办车库!H321</f>
        <v>商业</v>
      </c>
      <c r="U49" s="720" t="str">
        <f>商办车库!C297</f>
        <v>昌平区英才南二街15号院2号楼5层2单元501等[34]套</v>
      </c>
    </row>
    <row r="50" spans="1:21">
      <c r="A50" s="2408">
        <f>商办车库!E322</f>
        <v>102</v>
      </c>
      <c r="B50" s="2408">
        <f>商办车库!F322</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47073</v>
      </c>
      <c r="S50" s="316">
        <f t="shared" ca="1" si="12"/>
        <v>764</v>
      </c>
      <c r="T50" s="720" t="str">
        <f>商办车库!H322</f>
        <v>商业</v>
      </c>
    </row>
    <row r="51" spans="1:21">
      <c r="A51" s="2408">
        <f>商办车库!E323</f>
        <v>103</v>
      </c>
      <c r="B51" s="2408">
        <f>商办车库!F323</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46140</v>
      </c>
      <c r="S51" s="316">
        <f t="shared" ca="1" si="12"/>
        <v>1653</v>
      </c>
      <c r="T51" s="720" t="str">
        <f>商办车库!H323</f>
        <v>商业</v>
      </c>
    </row>
    <row r="52" spans="1:21">
      <c r="A52" s="2408">
        <f>商办车库!E324</f>
        <v>104</v>
      </c>
      <c r="B52" s="2408">
        <f>商办车库!F324</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46140</v>
      </c>
      <c r="S52" s="316">
        <f t="shared" ca="1" si="12"/>
        <v>2240</v>
      </c>
      <c r="T52" s="720" t="str">
        <f>商办车库!H324</f>
        <v>商业</v>
      </c>
    </row>
    <row r="53" spans="1:21">
      <c r="A53" s="2408">
        <f>商办车库!E325</f>
        <v>105</v>
      </c>
      <c r="B53" s="2408">
        <f>商办车库!F325</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47073</v>
      </c>
      <c r="S53" s="316">
        <f t="shared" ca="1" si="12"/>
        <v>700</v>
      </c>
      <c r="T53" s="720" t="str">
        <f>商办车库!H325</f>
        <v>商业</v>
      </c>
    </row>
    <row r="54" spans="1:21">
      <c r="A54" s="2408">
        <f>商办车库!E326</f>
        <v>106</v>
      </c>
      <c r="B54" s="2408">
        <f>商办车库!F326</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46140</v>
      </c>
      <c r="S54" s="316">
        <f t="shared" ca="1" si="12"/>
        <v>1667</v>
      </c>
      <c r="T54" s="720" t="str">
        <f>商办车库!H326</f>
        <v>商业</v>
      </c>
    </row>
    <row r="55" spans="1:21">
      <c r="A55" s="2408">
        <f>商办车库!E327</f>
        <v>107</v>
      </c>
      <c r="B55" s="2408">
        <f>商办车库!F327</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46140</v>
      </c>
      <c r="S55" s="316">
        <f t="shared" ref="S55:S77" ca="1" si="22">ROUND(R55*B55/10000,0)</f>
        <v>2161</v>
      </c>
      <c r="T55" s="720" t="str">
        <f>商办车库!H327</f>
        <v>商业</v>
      </c>
    </row>
    <row r="56" spans="1:21">
      <c r="A56" s="2408">
        <f>商办车库!E328</f>
        <v>201</v>
      </c>
      <c r="B56" s="2408">
        <f>商办车库!F328</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35304</v>
      </c>
      <c r="S56" s="316">
        <f t="shared" ca="1" si="22"/>
        <v>504</v>
      </c>
      <c r="T56" s="720" t="str">
        <f>商办车库!H328</f>
        <v>商业</v>
      </c>
    </row>
    <row r="57" spans="1:21">
      <c r="A57" s="2408">
        <f>商办车库!E329</f>
        <v>202</v>
      </c>
      <c r="B57" s="2408">
        <f>商办车库!F329</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33906</v>
      </c>
      <c r="S57" s="316">
        <f t="shared" ca="1" si="22"/>
        <v>5435</v>
      </c>
      <c r="T57" s="720" t="str">
        <f>商办车库!H329</f>
        <v>商业</v>
      </c>
    </row>
    <row r="58" spans="1:21">
      <c r="A58" s="2408">
        <f>商办车库!E330</f>
        <v>203</v>
      </c>
      <c r="B58" s="2408">
        <f>商办车库!F330</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33906</v>
      </c>
      <c r="S58" s="316">
        <f t="shared" ca="1" si="22"/>
        <v>4323</v>
      </c>
      <c r="T58" s="720" t="str">
        <f>商办车库!H330</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商办车库!E332</f>
        <v>-101</v>
      </c>
      <c r="B60" s="2408">
        <f>商办车库!F332</f>
        <v>103.88</v>
      </c>
      <c r="C60" s="21">
        <f t="shared" si="13"/>
        <v>1.01</v>
      </c>
      <c r="D60" s="662" t="s">
        <v>4389</v>
      </c>
      <c r="E60" s="21">
        <f t="shared" si="14"/>
        <v>0.97</v>
      </c>
      <c r="F60" s="662" t="s">
        <v>4360</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20835</v>
      </c>
      <c r="S60" s="316">
        <f t="shared" ca="1" si="22"/>
        <v>216</v>
      </c>
      <c r="T60" s="720" t="str">
        <f>商办车库!H332</f>
        <v>商业</v>
      </c>
      <c r="U60" s="720" t="str">
        <f>商办车库!C332</f>
        <v>昌平区英才南二街15号院4号楼-1层-105等[10]套</v>
      </c>
    </row>
    <row r="61" spans="1:21">
      <c r="A61" s="2408">
        <f>商办车库!E333</f>
        <v>-102</v>
      </c>
      <c r="B61" s="2408">
        <f>商办车库!F333</f>
        <v>161.09</v>
      </c>
      <c r="C61" s="21">
        <f t="shared" si="13"/>
        <v>1.01</v>
      </c>
      <c r="D61" s="662" t="s">
        <v>4389</v>
      </c>
      <c r="E61" s="21">
        <f t="shared" si="14"/>
        <v>0.97</v>
      </c>
      <c r="F61" s="662" t="s">
        <v>4360</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20835</v>
      </c>
      <c r="S61" s="316">
        <f t="shared" ca="1" si="22"/>
        <v>336</v>
      </c>
      <c r="T61" s="720" t="str">
        <f>商办车库!H333</f>
        <v>商业</v>
      </c>
    </row>
    <row r="62" spans="1:21">
      <c r="A62" s="2408">
        <f>商办车库!E334</f>
        <v>-103</v>
      </c>
      <c r="B62" s="2408">
        <f>商办车库!F334</f>
        <v>166.84</v>
      </c>
      <c r="C62" s="21">
        <f t="shared" si="13"/>
        <v>1.01</v>
      </c>
      <c r="D62" s="662" t="s">
        <v>4389</v>
      </c>
      <c r="E62" s="21">
        <f t="shared" si="14"/>
        <v>0.97</v>
      </c>
      <c r="F62" s="662" t="s">
        <v>4360</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20835</v>
      </c>
      <c r="S62" s="316">
        <f t="shared" ca="1" si="22"/>
        <v>348</v>
      </c>
      <c r="T62" s="720" t="str">
        <f>商办车库!H334</f>
        <v>商业</v>
      </c>
    </row>
    <row r="63" spans="1:21">
      <c r="A63" s="2408">
        <f>商办车库!E335</f>
        <v>-104</v>
      </c>
      <c r="B63" s="2408">
        <f>商办车库!F335</f>
        <v>209.67</v>
      </c>
      <c r="C63" s="21">
        <f t="shared" si="13"/>
        <v>1</v>
      </c>
      <c r="D63" s="662" t="s">
        <v>4389</v>
      </c>
      <c r="E63" s="21">
        <f t="shared" si="14"/>
        <v>0.97</v>
      </c>
      <c r="F63" s="662" t="s">
        <v>4360</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20629</v>
      </c>
      <c r="S63" s="316">
        <f t="shared" ca="1" si="22"/>
        <v>433</v>
      </c>
      <c r="T63" s="720" t="str">
        <f>商办车库!H335</f>
        <v>商业</v>
      </c>
    </row>
    <row r="64" spans="1:21">
      <c r="A64" s="2408">
        <f>商办车库!E336</f>
        <v>-105</v>
      </c>
      <c r="B64" s="2408">
        <f>商办车库!F336</f>
        <v>509.5</v>
      </c>
      <c r="C64" s="21">
        <f t="shared" si="13"/>
        <v>0.98</v>
      </c>
      <c r="D64" s="662" t="s">
        <v>4389</v>
      </c>
      <c r="E64" s="21">
        <f t="shared" si="14"/>
        <v>0.97</v>
      </c>
      <c r="F64" s="662" t="s">
        <v>4360</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20216</v>
      </c>
      <c r="S64" s="316">
        <f t="shared" ca="1" si="22"/>
        <v>1030</v>
      </c>
      <c r="T64" s="720" t="str">
        <f>商办车库!H336</f>
        <v>商业</v>
      </c>
    </row>
    <row r="65" spans="1:21">
      <c r="A65" s="2408">
        <f>商办车库!E337</f>
        <v>-106</v>
      </c>
      <c r="B65" s="2408">
        <f>商办车库!F337</f>
        <v>185.51</v>
      </c>
      <c r="C65" s="21">
        <f t="shared" si="13"/>
        <v>1.01</v>
      </c>
      <c r="D65" s="662" t="s">
        <v>4389</v>
      </c>
      <c r="E65" s="21">
        <f t="shared" si="14"/>
        <v>0.97</v>
      </c>
      <c r="F65" s="662" t="s">
        <v>4360</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20835</v>
      </c>
      <c r="S65" s="316">
        <f t="shared" ca="1" si="22"/>
        <v>387</v>
      </c>
      <c r="T65" s="720" t="str">
        <f>商办车库!H337</f>
        <v>商业</v>
      </c>
    </row>
    <row r="66" spans="1:21">
      <c r="A66" s="2408">
        <f>商办车库!E338</f>
        <v>-107</v>
      </c>
      <c r="B66" s="2408">
        <f>商办车库!F338</f>
        <v>243.06</v>
      </c>
      <c r="C66" s="21">
        <f t="shared" si="13"/>
        <v>1</v>
      </c>
      <c r="D66" s="662" t="s">
        <v>4389</v>
      </c>
      <c r="E66" s="21">
        <f t="shared" si="14"/>
        <v>0.97</v>
      </c>
      <c r="F66" s="662" t="s">
        <v>4360</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20629</v>
      </c>
      <c r="S66" s="316">
        <f t="shared" ca="1" si="22"/>
        <v>501</v>
      </c>
      <c r="T66" s="720" t="str">
        <f>商办车库!H338</f>
        <v>商业</v>
      </c>
    </row>
    <row r="67" spans="1:21">
      <c r="A67" s="2408">
        <f>商办车库!E339</f>
        <v>101</v>
      </c>
      <c r="B67" s="2408">
        <f>商办车库!F339</f>
        <v>327.32</v>
      </c>
      <c r="C67" s="21">
        <f t="shared" si="13"/>
        <v>0.99</v>
      </c>
      <c r="D67" s="662" t="s">
        <v>4389</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42149</v>
      </c>
      <c r="S67" s="316">
        <f t="shared" ca="1" si="22"/>
        <v>1380</v>
      </c>
      <c r="T67" s="720" t="str">
        <f>商办车库!H339</f>
        <v>商业</v>
      </c>
    </row>
    <row r="68" spans="1:21">
      <c r="A68" s="2408">
        <f>商办车库!E340</f>
        <v>102</v>
      </c>
      <c r="B68" s="2408">
        <f>商办车库!F340</f>
        <v>138.91999999999999</v>
      </c>
      <c r="C68" s="21">
        <f t="shared" si="13"/>
        <v>1.01</v>
      </c>
      <c r="D68" s="662" t="s">
        <v>4389</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43001</v>
      </c>
      <c r="S68" s="316">
        <f t="shared" ca="1" si="22"/>
        <v>597</v>
      </c>
      <c r="T68" s="720" t="str">
        <f>商办车库!H340</f>
        <v>商业</v>
      </c>
    </row>
    <row r="69" spans="1:21">
      <c r="A69" s="2408">
        <f>商办车库!E341</f>
        <v>103</v>
      </c>
      <c r="B69" s="2408">
        <f>商办车库!F341</f>
        <v>329.32</v>
      </c>
      <c r="C69" s="21">
        <f t="shared" si="13"/>
        <v>0.99</v>
      </c>
      <c r="D69" s="662" t="s">
        <v>4389</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42149</v>
      </c>
      <c r="S69" s="316">
        <f t="shared" ca="1" si="22"/>
        <v>1388</v>
      </c>
      <c r="T69" s="720" t="str">
        <f>商办车库!H341</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商办车库!E343</f>
        <v>101</v>
      </c>
      <c r="B71" s="2408">
        <f>商办车库!F343</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45249</v>
      </c>
      <c r="S71" s="316">
        <f t="shared" ca="1" si="22"/>
        <v>939</v>
      </c>
      <c r="T71" s="720" t="str">
        <f>商办车库!H343</f>
        <v>商业</v>
      </c>
      <c r="U71" s="720" t="str">
        <f>商办车库!C343</f>
        <v>昌平区英才南二街15号院6号楼11层1101等[19]套</v>
      </c>
    </row>
    <row r="72" spans="1:21">
      <c r="A72" s="2408">
        <f>商办车库!E344</f>
        <v>102</v>
      </c>
      <c r="B72" s="2408">
        <f>商办车库!F344</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44344</v>
      </c>
      <c r="S72" s="316">
        <f t="shared" ca="1" si="22"/>
        <v>2252</v>
      </c>
      <c r="T72" s="720" t="str">
        <f>商办车库!H344</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f>商办车库!E364</f>
        <v>-101</v>
      </c>
      <c r="B74" s="2408">
        <f>商办车库!F364</f>
        <v>165.31</v>
      </c>
      <c r="C74" s="21">
        <f t="shared" si="13"/>
        <v>1.01</v>
      </c>
      <c r="D74" s="662" t="s">
        <v>4389</v>
      </c>
      <c r="E74" s="21">
        <f t="shared" si="14"/>
        <v>0.97</v>
      </c>
      <c r="F74" s="662" t="s">
        <v>4360</v>
      </c>
      <c r="G74" s="21">
        <f t="shared" si="15"/>
        <v>0.94</v>
      </c>
      <c r="H74" s="662"/>
      <c r="I74" s="21">
        <f t="shared" si="16"/>
        <v>1</v>
      </c>
      <c r="J74" s="662"/>
      <c r="K74" s="21">
        <f t="shared" si="17"/>
        <v>1</v>
      </c>
      <c r="L74" s="662"/>
      <c r="M74" s="21">
        <f t="shared" si="18"/>
        <v>1</v>
      </c>
      <c r="N74" s="662"/>
      <c r="O74" s="21">
        <f t="shared" si="19"/>
        <v>1</v>
      </c>
      <c r="P74" s="662">
        <v>-1</v>
      </c>
      <c r="Q74" s="21">
        <f t="shared" si="20"/>
        <v>0.5</v>
      </c>
      <c r="R74" s="659">
        <f t="shared" ca="1" si="21"/>
        <v>20835</v>
      </c>
      <c r="S74" s="316">
        <f t="shared" ca="1" si="22"/>
        <v>344</v>
      </c>
      <c r="T74" s="720" t="str">
        <f>商办车库!H364</f>
        <v>地下商业</v>
      </c>
      <c r="U74" s="720" t="str">
        <f>商办车库!C363</f>
        <v>昌平区英才南二街15号院B1001至B1152、B2001至B2440、B3001至B3389-4层B2108、B2109等[553]套</v>
      </c>
    </row>
    <row r="75" spans="1:21">
      <c r="A75" s="2408">
        <f>商办车库!E365</f>
        <v>-102</v>
      </c>
      <c r="B75" s="2408">
        <f>商办车库!F365</f>
        <v>157.99</v>
      </c>
      <c r="C75" s="21">
        <f t="shared" si="13"/>
        <v>1.01</v>
      </c>
      <c r="D75" s="662" t="s">
        <v>4389</v>
      </c>
      <c r="E75" s="21">
        <f t="shared" si="14"/>
        <v>0.97</v>
      </c>
      <c r="F75" s="662" t="s">
        <v>4360</v>
      </c>
      <c r="G75" s="21">
        <f t="shared" si="15"/>
        <v>0.94</v>
      </c>
      <c r="H75" s="662"/>
      <c r="I75" s="21">
        <f t="shared" si="16"/>
        <v>1</v>
      </c>
      <c r="J75" s="662"/>
      <c r="K75" s="21">
        <f t="shared" si="17"/>
        <v>1</v>
      </c>
      <c r="L75" s="662"/>
      <c r="M75" s="21">
        <f t="shared" si="18"/>
        <v>1</v>
      </c>
      <c r="N75" s="662"/>
      <c r="O75" s="21">
        <f t="shared" si="19"/>
        <v>1</v>
      </c>
      <c r="P75" s="662">
        <v>-1</v>
      </c>
      <c r="Q75" s="21">
        <f t="shared" si="20"/>
        <v>0.5</v>
      </c>
      <c r="R75" s="659">
        <f t="shared" ca="1" si="21"/>
        <v>20835</v>
      </c>
      <c r="S75" s="316">
        <f t="shared" ca="1" si="22"/>
        <v>329</v>
      </c>
      <c r="T75" s="720" t="str">
        <f>商办车库!H365</f>
        <v>地下商业</v>
      </c>
    </row>
    <row r="76" spans="1:21">
      <c r="A76" s="2408">
        <f>商办车库!E366</f>
        <v>-103</v>
      </c>
      <c r="B76" s="2408">
        <f>商办车库!F366</f>
        <v>170.45</v>
      </c>
      <c r="C76" s="21">
        <f t="shared" si="13"/>
        <v>1.01</v>
      </c>
      <c r="D76" s="662" t="s">
        <v>4389</v>
      </c>
      <c r="E76" s="21">
        <f t="shared" si="14"/>
        <v>0.97</v>
      </c>
      <c r="F76" s="662" t="s">
        <v>4360</v>
      </c>
      <c r="G76" s="21">
        <f t="shared" si="15"/>
        <v>0.94</v>
      </c>
      <c r="H76" s="662"/>
      <c r="I76" s="21">
        <f t="shared" si="16"/>
        <v>1</v>
      </c>
      <c r="J76" s="662"/>
      <c r="K76" s="21">
        <f t="shared" si="17"/>
        <v>1</v>
      </c>
      <c r="L76" s="662"/>
      <c r="M76" s="21">
        <f t="shared" si="18"/>
        <v>1</v>
      </c>
      <c r="N76" s="662"/>
      <c r="O76" s="21">
        <f t="shared" si="19"/>
        <v>1</v>
      </c>
      <c r="P76" s="662">
        <v>-1</v>
      </c>
      <c r="Q76" s="21">
        <f t="shared" si="20"/>
        <v>0.5</v>
      </c>
      <c r="R76" s="659">
        <f t="shared" ca="1" si="21"/>
        <v>20835</v>
      </c>
      <c r="S76" s="316">
        <f t="shared" ca="1" si="22"/>
        <v>355</v>
      </c>
      <c r="T76" s="720" t="str">
        <f>商办车库!H366</f>
        <v>地下商业</v>
      </c>
    </row>
    <row r="77" spans="1:21">
      <c r="A77" s="2408">
        <f>商办车库!E367</f>
        <v>-104</v>
      </c>
      <c r="B77" s="2408">
        <f>商办车库!F367</f>
        <v>183.16</v>
      </c>
      <c r="C77" s="21">
        <f t="shared" si="13"/>
        <v>1.01</v>
      </c>
      <c r="D77" s="662" t="s">
        <v>4389</v>
      </c>
      <c r="E77" s="21">
        <f t="shared" si="14"/>
        <v>0.97</v>
      </c>
      <c r="F77" s="662" t="s">
        <v>4360</v>
      </c>
      <c r="G77" s="21">
        <f t="shared" si="15"/>
        <v>0.94</v>
      </c>
      <c r="H77" s="662"/>
      <c r="I77" s="21">
        <f t="shared" si="16"/>
        <v>1</v>
      </c>
      <c r="J77" s="662"/>
      <c r="K77" s="21">
        <f t="shared" si="17"/>
        <v>1</v>
      </c>
      <c r="L77" s="662"/>
      <c r="M77" s="21">
        <f t="shared" si="18"/>
        <v>1</v>
      </c>
      <c r="N77" s="662"/>
      <c r="O77" s="21">
        <f t="shared" si="19"/>
        <v>1</v>
      </c>
      <c r="P77" s="662">
        <v>-1</v>
      </c>
      <c r="Q77" s="21">
        <f t="shared" si="20"/>
        <v>0.5</v>
      </c>
      <c r="R77" s="659">
        <f t="shared" ca="1" si="21"/>
        <v>20835</v>
      </c>
      <c r="S77" s="316">
        <f t="shared" ca="1" si="22"/>
        <v>382</v>
      </c>
      <c r="T77" s="720" t="str">
        <f>商办车库!H367</f>
        <v>地下商业</v>
      </c>
    </row>
    <row r="78" spans="1:21">
      <c r="A78" s="2408">
        <f>商办车库!E368</f>
        <v>-105</v>
      </c>
      <c r="B78" s="2408">
        <f>商办车库!F368</f>
        <v>176.13</v>
      </c>
      <c r="C78" s="21">
        <f t="shared" si="13"/>
        <v>1.01</v>
      </c>
      <c r="D78" s="662" t="s">
        <v>4389</v>
      </c>
      <c r="E78" s="21">
        <f t="shared" si="14"/>
        <v>0.97</v>
      </c>
      <c r="F78" s="662" t="s">
        <v>4360</v>
      </c>
      <c r="G78" s="21">
        <f t="shared" si="15"/>
        <v>0.94</v>
      </c>
      <c r="H78" s="662"/>
      <c r="I78" s="21">
        <f t="shared" si="16"/>
        <v>1</v>
      </c>
      <c r="J78" s="662"/>
      <c r="K78" s="21">
        <f t="shared" si="17"/>
        <v>1</v>
      </c>
      <c r="L78" s="662"/>
      <c r="M78" s="21">
        <f t="shared" si="18"/>
        <v>1</v>
      </c>
      <c r="N78" s="662"/>
      <c r="O78" s="21">
        <f t="shared" si="19"/>
        <v>1</v>
      </c>
      <c r="P78" s="662">
        <v>-1</v>
      </c>
      <c r="Q78" s="21">
        <f t="shared" si="20"/>
        <v>0.5</v>
      </c>
      <c r="R78" s="659">
        <f t="shared" ca="1" si="21"/>
        <v>20835</v>
      </c>
      <c r="S78" s="316">
        <f t="shared" ref="S78:S122" ca="1" si="23">ROUND(R78*B78/10000,0)</f>
        <v>367</v>
      </c>
      <c r="T78" s="720" t="str">
        <f>商办车库!H368</f>
        <v>地下商业</v>
      </c>
    </row>
    <row r="79" spans="1:21">
      <c r="A79" s="2408">
        <f>商办车库!E369</f>
        <v>-106</v>
      </c>
      <c r="B79" s="2408">
        <f>商办车库!F369</f>
        <v>255.37</v>
      </c>
      <c r="C79" s="21">
        <f t="shared" si="13"/>
        <v>1</v>
      </c>
      <c r="D79" s="662" t="s">
        <v>4389</v>
      </c>
      <c r="E79" s="21">
        <f t="shared" si="14"/>
        <v>0.97</v>
      </c>
      <c r="F79" s="662" t="s">
        <v>4360</v>
      </c>
      <c r="G79" s="21">
        <f t="shared" si="15"/>
        <v>0.94</v>
      </c>
      <c r="H79" s="662"/>
      <c r="I79" s="21">
        <f t="shared" si="16"/>
        <v>1</v>
      </c>
      <c r="J79" s="662"/>
      <c r="K79" s="21">
        <f t="shared" si="17"/>
        <v>1</v>
      </c>
      <c r="L79" s="662"/>
      <c r="M79" s="21">
        <f t="shared" si="18"/>
        <v>1</v>
      </c>
      <c r="N79" s="662"/>
      <c r="O79" s="21">
        <f t="shared" si="19"/>
        <v>1</v>
      </c>
      <c r="P79" s="662">
        <v>-1</v>
      </c>
      <c r="Q79" s="21">
        <f t="shared" si="20"/>
        <v>0.5</v>
      </c>
      <c r="R79" s="659">
        <f t="shared" ca="1" si="21"/>
        <v>20629</v>
      </c>
      <c r="S79" s="316">
        <f t="shared" ca="1" si="23"/>
        <v>527</v>
      </c>
      <c r="T79" s="720" t="str">
        <f>商办车库!H369</f>
        <v>地下商业</v>
      </c>
    </row>
    <row r="80" spans="1:21">
      <c r="A80" s="2408">
        <f>商办车库!E370</f>
        <v>-107</v>
      </c>
      <c r="B80" s="2408">
        <f>商办车库!F370</f>
        <v>228.94</v>
      </c>
      <c r="C80" s="21">
        <f t="shared" si="13"/>
        <v>1</v>
      </c>
      <c r="D80" s="662" t="s">
        <v>4389</v>
      </c>
      <c r="E80" s="21">
        <f t="shared" si="14"/>
        <v>0.97</v>
      </c>
      <c r="F80" s="662" t="s">
        <v>4360</v>
      </c>
      <c r="G80" s="21">
        <f t="shared" si="15"/>
        <v>0.94</v>
      </c>
      <c r="H80" s="662"/>
      <c r="I80" s="21">
        <f t="shared" si="16"/>
        <v>1</v>
      </c>
      <c r="J80" s="662"/>
      <c r="K80" s="21">
        <f t="shared" si="17"/>
        <v>1</v>
      </c>
      <c r="L80" s="662"/>
      <c r="M80" s="21">
        <f t="shared" si="18"/>
        <v>1</v>
      </c>
      <c r="N80" s="662"/>
      <c r="O80" s="21">
        <f t="shared" si="19"/>
        <v>1</v>
      </c>
      <c r="P80" s="662">
        <v>-1</v>
      </c>
      <c r="Q80" s="21">
        <f t="shared" si="20"/>
        <v>0.5</v>
      </c>
      <c r="R80" s="659">
        <f t="shared" ca="1" si="21"/>
        <v>20629</v>
      </c>
      <c r="S80" s="316">
        <f t="shared" ca="1" si="23"/>
        <v>472</v>
      </c>
      <c r="T80" s="720" t="str">
        <f>商办车库!H370</f>
        <v>地下商业</v>
      </c>
    </row>
    <row r="81" spans="1:20">
      <c r="A81" s="2408">
        <f>商办车库!E371</f>
        <v>-108</v>
      </c>
      <c r="B81" s="2408">
        <f>商办车库!F371</f>
        <v>408.34</v>
      </c>
      <c r="C81" s="21">
        <f t="shared" si="13"/>
        <v>0.99</v>
      </c>
      <c r="D81" s="662" t="s">
        <v>4389</v>
      </c>
      <c r="E81" s="21">
        <f t="shared" si="14"/>
        <v>0.97</v>
      </c>
      <c r="F81" s="662" t="s">
        <v>4360</v>
      </c>
      <c r="G81" s="21">
        <f t="shared" si="15"/>
        <v>0.94</v>
      </c>
      <c r="H81" s="662"/>
      <c r="I81" s="21">
        <f t="shared" si="16"/>
        <v>1</v>
      </c>
      <c r="J81" s="662"/>
      <c r="K81" s="21">
        <f t="shared" si="17"/>
        <v>1</v>
      </c>
      <c r="L81" s="662"/>
      <c r="M81" s="21">
        <f t="shared" si="18"/>
        <v>1</v>
      </c>
      <c r="N81" s="662"/>
      <c r="O81" s="21">
        <f t="shared" si="19"/>
        <v>1</v>
      </c>
      <c r="P81" s="662">
        <v>-1</v>
      </c>
      <c r="Q81" s="21">
        <f t="shared" si="20"/>
        <v>0.5</v>
      </c>
      <c r="R81" s="659">
        <f t="shared" ca="1" si="21"/>
        <v>20423</v>
      </c>
      <c r="S81" s="316">
        <f t="shared" ca="1" si="23"/>
        <v>834</v>
      </c>
      <c r="T81" s="720" t="str">
        <f>商办车库!H371</f>
        <v>地下商业</v>
      </c>
    </row>
    <row r="82" spans="1:20">
      <c r="A82" s="2408">
        <f>商办车库!E372</f>
        <v>-109</v>
      </c>
      <c r="B82" s="2408">
        <f>商办车库!F372</f>
        <v>266.61</v>
      </c>
      <c r="C82" s="21">
        <f t="shared" si="13"/>
        <v>1</v>
      </c>
      <c r="D82" s="662" t="s">
        <v>4389</v>
      </c>
      <c r="E82" s="21">
        <f t="shared" si="14"/>
        <v>0.97</v>
      </c>
      <c r="F82" s="662" t="s">
        <v>4360</v>
      </c>
      <c r="G82" s="21">
        <f t="shared" si="15"/>
        <v>0.94</v>
      </c>
      <c r="H82" s="662"/>
      <c r="I82" s="21">
        <f t="shared" si="16"/>
        <v>1</v>
      </c>
      <c r="J82" s="662"/>
      <c r="K82" s="21">
        <f t="shared" si="17"/>
        <v>1</v>
      </c>
      <c r="L82" s="662"/>
      <c r="M82" s="21">
        <f t="shared" si="18"/>
        <v>1</v>
      </c>
      <c r="N82" s="662"/>
      <c r="O82" s="21">
        <f t="shared" si="19"/>
        <v>1</v>
      </c>
      <c r="P82" s="662">
        <v>-1</v>
      </c>
      <c r="Q82" s="21">
        <f t="shared" si="20"/>
        <v>0.5</v>
      </c>
      <c r="R82" s="659">
        <f t="shared" ca="1" si="21"/>
        <v>20629</v>
      </c>
      <c r="S82" s="316">
        <f t="shared" ca="1" si="23"/>
        <v>550</v>
      </c>
      <c r="T82" s="720" t="str">
        <f>商办车库!H372</f>
        <v>地下商业</v>
      </c>
    </row>
    <row r="83" spans="1:20">
      <c r="A83" s="2408">
        <f>商办车库!E373</f>
        <v>-110</v>
      </c>
      <c r="B83" s="2408">
        <f>商办车库!F373</f>
        <v>276.13</v>
      </c>
      <c r="C83" s="21">
        <f t="shared" si="13"/>
        <v>1</v>
      </c>
      <c r="D83" s="662" t="s">
        <v>4389</v>
      </c>
      <c r="E83" s="21">
        <f t="shared" si="14"/>
        <v>0.97</v>
      </c>
      <c r="F83" s="662" t="s">
        <v>4360</v>
      </c>
      <c r="G83" s="21">
        <f t="shared" si="15"/>
        <v>0.94</v>
      </c>
      <c r="H83" s="662"/>
      <c r="I83" s="21">
        <f t="shared" si="16"/>
        <v>1</v>
      </c>
      <c r="J83" s="662"/>
      <c r="K83" s="21">
        <f t="shared" si="17"/>
        <v>1</v>
      </c>
      <c r="L83" s="662"/>
      <c r="M83" s="21">
        <f t="shared" si="18"/>
        <v>1</v>
      </c>
      <c r="N83" s="662"/>
      <c r="O83" s="21">
        <f t="shared" si="19"/>
        <v>1</v>
      </c>
      <c r="P83" s="662">
        <v>-1</v>
      </c>
      <c r="Q83" s="21">
        <f t="shared" si="20"/>
        <v>0.5</v>
      </c>
      <c r="R83" s="659">
        <f t="shared" ca="1" si="21"/>
        <v>20629</v>
      </c>
      <c r="S83" s="316">
        <f t="shared" ca="1" si="23"/>
        <v>570</v>
      </c>
      <c r="T83" s="720" t="str">
        <f>商办车库!H373</f>
        <v>地下商业</v>
      </c>
    </row>
    <row r="84" spans="1:20">
      <c r="A84" s="2408">
        <f>商办车库!E374</f>
        <v>-111</v>
      </c>
      <c r="B84" s="2408">
        <f>商办车库!F374</f>
        <v>183.98</v>
      </c>
      <c r="C84" s="21">
        <f t="shared" si="13"/>
        <v>1.01</v>
      </c>
      <c r="D84" s="662" t="s">
        <v>4389</v>
      </c>
      <c r="E84" s="21">
        <f t="shared" si="14"/>
        <v>0.97</v>
      </c>
      <c r="F84" s="662" t="s">
        <v>4360</v>
      </c>
      <c r="G84" s="21">
        <f t="shared" si="15"/>
        <v>0.94</v>
      </c>
      <c r="H84" s="662"/>
      <c r="I84" s="21">
        <f t="shared" si="16"/>
        <v>1</v>
      </c>
      <c r="J84" s="662"/>
      <c r="K84" s="21">
        <f t="shared" si="17"/>
        <v>1</v>
      </c>
      <c r="L84" s="662"/>
      <c r="M84" s="21">
        <f t="shared" si="18"/>
        <v>1</v>
      </c>
      <c r="N84" s="662"/>
      <c r="O84" s="21">
        <f t="shared" si="19"/>
        <v>1</v>
      </c>
      <c r="P84" s="662">
        <v>-1</v>
      </c>
      <c r="Q84" s="21">
        <f t="shared" si="20"/>
        <v>0.5</v>
      </c>
      <c r="R84" s="659">
        <f t="shared" ca="1" si="21"/>
        <v>20835</v>
      </c>
      <c r="S84" s="316">
        <f t="shared" ca="1" si="23"/>
        <v>383</v>
      </c>
      <c r="T84" s="720" t="str">
        <f>商办车库!H374</f>
        <v>地下商业</v>
      </c>
    </row>
    <row r="85" spans="1:20">
      <c r="A85" s="2408">
        <f>商办车库!E375</f>
        <v>-112</v>
      </c>
      <c r="B85" s="2408">
        <f>商办车库!F375</f>
        <v>162.04</v>
      </c>
      <c r="C85" s="21">
        <f t="shared" si="13"/>
        <v>1.01</v>
      </c>
      <c r="D85" s="662" t="s">
        <v>4389</v>
      </c>
      <c r="E85" s="21">
        <f t="shared" si="14"/>
        <v>0.97</v>
      </c>
      <c r="F85" s="662" t="s">
        <v>4360</v>
      </c>
      <c r="G85" s="21">
        <f t="shared" si="15"/>
        <v>0.94</v>
      </c>
      <c r="H85" s="662"/>
      <c r="I85" s="21">
        <f t="shared" si="16"/>
        <v>1</v>
      </c>
      <c r="J85" s="662"/>
      <c r="K85" s="21">
        <f t="shared" si="17"/>
        <v>1</v>
      </c>
      <c r="L85" s="662"/>
      <c r="M85" s="21">
        <f t="shared" si="18"/>
        <v>1</v>
      </c>
      <c r="N85" s="662"/>
      <c r="O85" s="21">
        <f t="shared" si="19"/>
        <v>1</v>
      </c>
      <c r="P85" s="662">
        <v>-1</v>
      </c>
      <c r="Q85" s="21">
        <f t="shared" si="20"/>
        <v>0.5</v>
      </c>
      <c r="R85" s="659">
        <f t="shared" ca="1" si="21"/>
        <v>20835</v>
      </c>
      <c r="S85" s="316">
        <f t="shared" ca="1" si="23"/>
        <v>338</v>
      </c>
      <c r="T85" s="720" t="str">
        <f>商办车库!H375</f>
        <v>地下商业</v>
      </c>
    </row>
    <row r="86" spans="1:20">
      <c r="A86" s="2408">
        <f>商办车库!E376</f>
        <v>-113</v>
      </c>
      <c r="B86" s="2408">
        <f>商办车库!F376</f>
        <v>276.98</v>
      </c>
      <c r="C86" s="21">
        <f t="shared" si="13"/>
        <v>1</v>
      </c>
      <c r="D86" s="662" t="s">
        <v>4389</v>
      </c>
      <c r="E86" s="21">
        <f t="shared" si="14"/>
        <v>0.97</v>
      </c>
      <c r="F86" s="662" t="s">
        <v>4360</v>
      </c>
      <c r="G86" s="21">
        <f t="shared" si="15"/>
        <v>0.94</v>
      </c>
      <c r="H86" s="662"/>
      <c r="I86" s="21">
        <f t="shared" si="16"/>
        <v>1</v>
      </c>
      <c r="J86" s="662"/>
      <c r="K86" s="21">
        <f t="shared" si="17"/>
        <v>1</v>
      </c>
      <c r="L86" s="662"/>
      <c r="M86" s="21">
        <f t="shared" si="18"/>
        <v>1</v>
      </c>
      <c r="N86" s="662"/>
      <c r="O86" s="21">
        <f t="shared" si="19"/>
        <v>1</v>
      </c>
      <c r="P86" s="662">
        <v>-1</v>
      </c>
      <c r="Q86" s="21">
        <f t="shared" si="20"/>
        <v>0.5</v>
      </c>
      <c r="R86" s="659">
        <f t="shared" ca="1" si="21"/>
        <v>20629</v>
      </c>
      <c r="S86" s="316">
        <f t="shared" ca="1" si="23"/>
        <v>571</v>
      </c>
      <c r="T86" s="720" t="str">
        <f>商办车库!H376</f>
        <v>地下商业</v>
      </c>
    </row>
    <row r="87" spans="1:20">
      <c r="A87" s="2408">
        <f>商办车库!E377</f>
        <v>-114</v>
      </c>
      <c r="B87" s="2408">
        <f>商办车库!F377</f>
        <v>724.45</v>
      </c>
      <c r="C87" s="21">
        <f t="shared" si="13"/>
        <v>0.98</v>
      </c>
      <c r="D87" s="662" t="s">
        <v>4389</v>
      </c>
      <c r="E87" s="21">
        <f t="shared" si="14"/>
        <v>0.97</v>
      </c>
      <c r="F87" s="662" t="s">
        <v>4360</v>
      </c>
      <c r="G87" s="21">
        <f t="shared" si="15"/>
        <v>0.94</v>
      </c>
      <c r="H87" s="662"/>
      <c r="I87" s="21">
        <f t="shared" si="16"/>
        <v>1</v>
      </c>
      <c r="J87" s="662"/>
      <c r="K87" s="21">
        <f t="shared" si="17"/>
        <v>1</v>
      </c>
      <c r="L87" s="662"/>
      <c r="M87" s="21">
        <f t="shared" si="18"/>
        <v>1</v>
      </c>
      <c r="N87" s="662"/>
      <c r="O87" s="21">
        <f t="shared" si="19"/>
        <v>1</v>
      </c>
      <c r="P87" s="662">
        <v>-1</v>
      </c>
      <c r="Q87" s="21">
        <f t="shared" si="20"/>
        <v>0.5</v>
      </c>
      <c r="R87" s="659">
        <f t="shared" ca="1" si="21"/>
        <v>20216</v>
      </c>
      <c r="S87" s="316">
        <f t="shared" ca="1" si="23"/>
        <v>1465</v>
      </c>
      <c r="T87" s="720" t="str">
        <f>商办车库!H377</f>
        <v>地下商业</v>
      </c>
    </row>
    <row r="88" spans="1:20">
      <c r="A88" s="2408">
        <f>商办车库!E378</f>
        <v>-115</v>
      </c>
      <c r="B88" s="2408">
        <f>商办车库!F378</f>
        <v>471.78</v>
      </c>
      <c r="C88" s="21">
        <f t="shared" si="13"/>
        <v>0.99</v>
      </c>
      <c r="D88" s="662" t="s">
        <v>4389</v>
      </c>
      <c r="E88" s="21">
        <f t="shared" si="14"/>
        <v>0.97</v>
      </c>
      <c r="F88" s="662" t="s">
        <v>4360</v>
      </c>
      <c r="G88" s="21">
        <f t="shared" si="15"/>
        <v>0.94</v>
      </c>
      <c r="H88" s="662"/>
      <c r="I88" s="21">
        <f t="shared" si="16"/>
        <v>1</v>
      </c>
      <c r="J88" s="662"/>
      <c r="K88" s="21">
        <f t="shared" si="17"/>
        <v>1</v>
      </c>
      <c r="L88" s="662"/>
      <c r="M88" s="21">
        <f t="shared" si="18"/>
        <v>1</v>
      </c>
      <c r="N88" s="662"/>
      <c r="O88" s="21">
        <f t="shared" si="19"/>
        <v>1</v>
      </c>
      <c r="P88" s="662">
        <v>-1</v>
      </c>
      <c r="Q88" s="21">
        <f t="shared" si="20"/>
        <v>0.5</v>
      </c>
      <c r="R88" s="659">
        <f t="shared" ca="1" si="21"/>
        <v>20423</v>
      </c>
      <c r="S88" s="316">
        <f t="shared" ca="1" si="23"/>
        <v>964</v>
      </c>
      <c r="T88" s="720" t="str">
        <f>商办车库!H378</f>
        <v>地下商业</v>
      </c>
    </row>
    <row r="89" spans="1:20">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20">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20">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20">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20">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20">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20">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20">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H27" sqref="H27"/>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4361</v>
      </c>
    </row>
    <row r="2" spans="1:12" ht="21.75" customHeight="1" thickBot="1">
      <c r="A2" s="3723" t="str">
        <f>项目基本情况!S2</f>
        <v>北京市昌平区英才南一街15号院1号楼等13栋部分用房房地产</v>
      </c>
      <c r="B2" s="3724"/>
      <c r="C2" s="3724"/>
      <c r="D2" s="3724"/>
      <c r="E2" s="3724"/>
      <c r="F2" s="3724"/>
      <c r="G2" s="3724"/>
      <c r="H2" s="3724"/>
      <c r="I2" s="3725"/>
    </row>
    <row r="3" spans="1:12" ht="12.75">
      <c r="A3" s="3727" t="s">
        <v>1264</v>
      </c>
      <c r="B3" s="3728"/>
      <c r="C3" s="3728"/>
      <c r="D3" s="3728"/>
      <c r="E3" s="3728"/>
      <c r="F3" s="3728"/>
      <c r="G3" s="3728"/>
      <c r="H3" s="3728"/>
      <c r="I3" s="3728"/>
    </row>
    <row r="4" spans="1:12" ht="14.25">
      <c r="A4" s="1746" t="s">
        <v>1265</v>
      </c>
      <c r="B4" s="1747" t="s">
        <v>1266</v>
      </c>
      <c r="C4" s="1748" t="s">
        <v>4355</v>
      </c>
      <c r="D4" s="1748" t="s">
        <v>4295</v>
      </c>
      <c r="E4" s="3729" t="s">
        <v>1267</v>
      </c>
      <c r="F4" s="3730"/>
      <c r="G4" s="3730"/>
      <c r="H4" s="3730"/>
      <c r="I4" s="3731"/>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03" t="s">
        <v>1268</v>
      </c>
      <c r="B5" s="3690">
        <v>25</v>
      </c>
      <c r="C5" s="3706"/>
      <c r="D5" s="3726"/>
      <c r="E5" s="131" t="s">
        <v>1269</v>
      </c>
      <c r="F5" s="1749"/>
      <c r="G5" s="1749"/>
      <c r="H5" s="1749"/>
      <c r="I5" s="1365"/>
    </row>
    <row r="6" spans="1:12" ht="12.75">
      <c r="A6" s="3703"/>
      <c r="B6" s="3690"/>
      <c r="C6" s="3707"/>
      <c r="D6" s="3726"/>
      <c r="E6" s="131" t="s">
        <v>1270</v>
      </c>
      <c r="F6" s="1749"/>
      <c r="G6" s="1749"/>
      <c r="H6" s="1749"/>
      <c r="I6" s="1365"/>
    </row>
    <row r="7" spans="1:12" ht="12.75">
      <c r="A7" s="3703"/>
      <c r="B7" s="3690"/>
      <c r="C7" s="3708"/>
      <c r="D7" s="3726"/>
      <c r="E7" s="131" t="s">
        <v>1271</v>
      </c>
      <c r="F7" s="1749"/>
      <c r="G7" s="1749"/>
      <c r="H7" s="1749"/>
      <c r="I7" s="1365"/>
    </row>
    <row r="8" spans="1:12" ht="12.75">
      <c r="A8" s="3703" t="s">
        <v>1272</v>
      </c>
      <c r="B8" s="3690">
        <v>15</v>
      </c>
      <c r="C8" s="3706"/>
      <c r="D8" s="3726"/>
      <c r="E8" s="131" t="s">
        <v>1273</v>
      </c>
      <c r="F8" s="1749"/>
      <c r="G8" s="1749"/>
      <c r="H8" s="1749"/>
      <c r="I8" s="1365"/>
    </row>
    <row r="9" spans="1:12" ht="12.75">
      <c r="A9" s="3703"/>
      <c r="B9" s="3690"/>
      <c r="C9" s="3708"/>
      <c r="D9" s="3726"/>
      <c r="E9" s="131" t="s">
        <v>1274</v>
      </c>
      <c r="F9" s="1749"/>
      <c r="G9" s="1749"/>
      <c r="H9" s="1749"/>
      <c r="I9" s="1365"/>
    </row>
    <row r="10" spans="1:12" ht="12.75">
      <c r="A10" s="3703" t="s">
        <v>1275</v>
      </c>
      <c r="B10" s="3690">
        <v>15</v>
      </c>
      <c r="C10" s="3706"/>
      <c r="D10" s="3726"/>
      <c r="E10" s="131" t="s">
        <v>1276</v>
      </c>
      <c r="F10" s="1749"/>
      <c r="G10" s="1749"/>
      <c r="H10" s="1749"/>
      <c r="I10" s="1365"/>
    </row>
    <row r="11" spans="1:12" ht="12.75">
      <c r="A11" s="3703"/>
      <c r="B11" s="3690"/>
      <c r="C11" s="3708"/>
      <c r="D11" s="3726"/>
      <c r="E11" s="131" t="s">
        <v>1277</v>
      </c>
      <c r="F11" s="1749"/>
      <c r="G11" s="1749"/>
      <c r="H11" s="1749"/>
      <c r="I11" s="1365"/>
    </row>
    <row r="12" spans="1:12" ht="12.75">
      <c r="A12" s="3703" t="s">
        <v>1278</v>
      </c>
      <c r="B12" s="3690">
        <v>15</v>
      </c>
      <c r="C12" s="3706"/>
      <c r="D12" s="3726"/>
      <c r="E12" s="131" t="s">
        <v>1279</v>
      </c>
      <c r="F12" s="1749"/>
      <c r="G12" s="1749"/>
      <c r="H12" s="1749"/>
      <c r="I12" s="1365"/>
    </row>
    <row r="13" spans="1:12" ht="12.75">
      <c r="A13" s="3703"/>
      <c r="B13" s="3690"/>
      <c r="C13" s="3708"/>
      <c r="D13" s="3726"/>
      <c r="E13" s="131" t="s">
        <v>1280</v>
      </c>
      <c r="F13" s="1749"/>
      <c r="G13" s="1749"/>
      <c r="H13" s="1749"/>
      <c r="I13" s="1365"/>
    </row>
    <row r="14" spans="1:12" ht="12.75">
      <c r="A14" s="3703" t="s">
        <v>1281</v>
      </c>
      <c r="B14" s="3690">
        <v>30</v>
      </c>
      <c r="C14" s="3706">
        <v>6</v>
      </c>
      <c r="D14" s="3726">
        <v>4</v>
      </c>
      <c r="E14" s="131" t="s">
        <v>1282</v>
      </c>
      <c r="F14" s="1749"/>
      <c r="G14" s="1749"/>
      <c r="H14" s="1749"/>
      <c r="I14" s="1365"/>
    </row>
    <row r="15" spans="1:12" ht="12.75">
      <c r="A15" s="3703"/>
      <c r="B15" s="3690"/>
      <c r="C15" s="3707"/>
      <c r="D15" s="3726"/>
      <c r="E15" s="131" t="s">
        <v>1283</v>
      </c>
      <c r="F15" s="1749"/>
      <c r="G15" s="1749"/>
      <c r="H15" s="1749"/>
      <c r="I15" s="1365"/>
    </row>
    <row r="16" spans="1:12" ht="12.75">
      <c r="A16" s="3703"/>
      <c r="B16" s="3690"/>
      <c r="C16" s="3708"/>
      <c r="D16" s="3726"/>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13" t="s">
        <v>2130</v>
      </c>
      <c r="F18" s="3714"/>
      <c r="G18" s="3714"/>
      <c r="H18" s="3714"/>
      <c r="I18" s="3714"/>
      <c r="K18" s="302" t="s">
        <v>1289</v>
      </c>
      <c r="L18" s="302">
        <f>IF(C1="",'数据-汇总表'!E3,SUMIF(项目类型,C1,'数据-汇总表'!E17:E26)+SUMIF(项目类型,C1,'数据-汇总表'!I17:I26))</f>
        <v>1146.95</v>
      </c>
      <c r="M18" s="302">
        <f>IF(C1="",'数据-汇总表'!E3,SUMIF(项目类型,C1,'数据-汇总表'!E17:E26))</f>
        <v>1146.95</v>
      </c>
    </row>
    <row r="19" spans="1:36" ht="15">
      <c r="A19" s="1753" t="s">
        <v>1290</v>
      </c>
      <c r="B19" s="1754" t="s">
        <v>1291</v>
      </c>
      <c r="C19" s="134">
        <f ca="1">SUMIF(INDIRECT("'"&amp;C4&amp;"'"&amp;"!A:A"),结果表办!B19,INDIRECT("'"&amp;C4&amp;"'"&amp;"!B:B"))</f>
        <v>3382.8143</v>
      </c>
      <c r="D19" s="135">
        <f ca="1">SUMIF(INDIRECT("'"&amp;D4&amp;"'"&amp;"!A:A"),结果表办!B19,INDIRECT("'"&amp;D4&amp;"'"&amp;"!B:B"))</f>
        <v>2712.8395999999998</v>
      </c>
      <c r="E19" s="1753" t="s">
        <v>1292</v>
      </c>
      <c r="F19" s="1754" t="s">
        <v>1291</v>
      </c>
      <c r="G19" s="136">
        <f ca="1">ROUND(C19*$C$18+D19*$D$18,0)</f>
        <v>3115</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29494</v>
      </c>
      <c r="D20" s="138">
        <f ca="1">SUMIF(INDIRECT("'"&amp;D4&amp;"'"&amp;"!A:A"),结果表办!B20,INDIRECT("'"&amp;D4&amp;"'"&amp;"!B:B"))</f>
        <v>23653</v>
      </c>
      <c r="E20" s="1756"/>
      <c r="F20" s="1018" t="s">
        <v>1295</v>
      </c>
      <c r="G20" s="139">
        <f ca="1">ROUND(C20*$C$18+D20*$D$18,0)</f>
        <v>27158</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0.24696436162314961</v>
      </c>
      <c r="E22" s="129"/>
      <c r="F22" s="129"/>
      <c r="G22" s="129"/>
      <c r="H22" s="129"/>
      <c r="I22" s="129"/>
    </row>
    <row r="23" spans="1:36" ht="13.5" thickBot="1">
      <c r="A23" s="1739"/>
      <c r="B23" s="1739"/>
      <c r="C23" s="1739"/>
      <c r="D23" s="1739"/>
      <c r="E23" s="129"/>
      <c r="F23" s="129"/>
      <c r="G23" s="129"/>
      <c r="H23" s="129"/>
      <c r="I23" s="129"/>
    </row>
    <row r="24" spans="1:36" ht="14.25">
      <c r="A24" s="3697" t="s">
        <v>1299</v>
      </c>
      <c r="B24" s="1754" t="s">
        <v>1291</v>
      </c>
      <c r="C24" s="136">
        <f>IF(B30=0,0,D30)</f>
        <v>0</v>
      </c>
      <c r="D24" s="1761"/>
      <c r="E24" s="129"/>
      <c r="F24" s="129"/>
      <c r="G24" s="129"/>
      <c r="H24" s="129"/>
      <c r="I24" s="129"/>
    </row>
    <row r="25" spans="1:36" ht="14.25">
      <c r="A25" s="3698"/>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27158</v>
      </c>
      <c r="D32" s="3564" t="s">
        <v>4397</v>
      </c>
      <c r="E32" s="129"/>
      <c r="F32" s="129"/>
      <c r="G32" s="129"/>
      <c r="H32" s="129"/>
      <c r="I32" s="129"/>
    </row>
    <row r="33" spans="1:15" ht="15">
      <c r="A33" s="778" t="s">
        <v>1306</v>
      </c>
      <c r="B33" s="1767"/>
      <c r="C33" s="1768" t="s">
        <v>4398</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17" t="s">
        <v>1312</v>
      </c>
      <c r="B36" s="1778" t="s">
        <v>1313</v>
      </c>
      <c r="C36" s="145"/>
      <c r="D36" s="1779"/>
      <c r="E36" s="1780"/>
      <c r="F36" s="1781"/>
      <c r="G36" s="129"/>
      <c r="H36" s="129"/>
      <c r="I36" s="129"/>
    </row>
    <row r="37" spans="1:15" ht="15.75" thickBot="1">
      <c r="A37" s="3718"/>
      <c r="B37" s="1666" t="s">
        <v>1314</v>
      </c>
      <c r="C37" s="147"/>
      <c r="D37" s="1131"/>
      <c r="E37" s="1131"/>
      <c r="F37" s="1781"/>
      <c r="G37" s="129"/>
      <c r="H37" s="129"/>
      <c r="I37" s="129"/>
    </row>
    <row r="38" spans="1:15" ht="15.75" thickBot="1">
      <c r="A38" s="3719"/>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94" t="s">
        <v>1326</v>
      </c>
      <c r="B45" s="3695"/>
      <c r="C45" s="3696"/>
      <c r="D45" s="155">
        <f ca="1">ROUND(H101*F45,0)</f>
        <v>3115</v>
      </c>
      <c r="E45" s="156" t="s">
        <v>1327</v>
      </c>
      <c r="F45" s="157">
        <v>1</v>
      </c>
      <c r="G45" s="158" t="s">
        <v>1328</v>
      </c>
      <c r="H45" s="129"/>
      <c r="I45" s="129"/>
      <c r="J45" s="3772" t="s">
        <v>1329</v>
      </c>
      <c r="K45" s="3772"/>
      <c r="L45" s="3772"/>
      <c r="M45" s="3772"/>
      <c r="N45" s="3772"/>
      <c r="O45" s="3772"/>
    </row>
    <row r="46" spans="1:15" ht="14.25" customHeight="1">
      <c r="A46" s="3691" t="s">
        <v>1330</v>
      </c>
      <c r="B46" s="3692"/>
      <c r="C46" s="3692"/>
      <c r="D46" s="3692"/>
      <c r="E46" s="3692"/>
      <c r="F46" s="3692"/>
      <c r="G46" s="3693"/>
      <c r="H46" s="1797"/>
      <c r="I46" s="159"/>
      <c r="J46" s="3498">
        <v>1</v>
      </c>
      <c r="K46" s="3753" t="s">
        <v>1331</v>
      </c>
      <c r="L46" s="3753"/>
      <c r="M46" s="3773"/>
      <c r="N46" s="3773"/>
      <c r="O46" s="3773"/>
    </row>
    <row r="47" spans="1:15" ht="12" customHeight="1">
      <c r="A47" s="160" t="s">
        <v>1332</v>
      </c>
      <c r="B47" s="161"/>
      <c r="C47" s="162"/>
      <c r="D47" s="1079" t="s">
        <v>1333</v>
      </c>
      <c r="E47" s="302" t="s">
        <v>1334</v>
      </c>
      <c r="F47" s="163" t="s">
        <v>1335</v>
      </c>
      <c r="G47" s="2531" t="s">
        <v>1336</v>
      </c>
      <c r="H47" s="2532"/>
      <c r="I47" s="159"/>
      <c r="J47" s="3498">
        <v>2</v>
      </c>
      <c r="K47" s="3753" t="s">
        <v>1337</v>
      </c>
      <c r="L47" s="3753"/>
      <c r="M47" s="3774">
        <f>'数据-取费表'!B2</f>
        <v>45173</v>
      </c>
      <c r="N47" s="3774"/>
      <c r="O47" s="3774"/>
    </row>
    <row r="48" spans="1:15" ht="25.5">
      <c r="A48" s="3722" t="s">
        <v>1338</v>
      </c>
      <c r="B48" s="3705"/>
      <c r="C48" s="3705"/>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53" t="s">
        <v>1340</v>
      </c>
      <c r="L48" s="3753"/>
      <c r="M48" s="3775">
        <f ca="1">H101</f>
        <v>3115</v>
      </c>
      <c r="N48" s="3775"/>
      <c r="O48" s="3775"/>
    </row>
    <row r="49" spans="1:35" ht="25.5" customHeight="1">
      <c r="A49" s="3493" t="s">
        <v>1341</v>
      </c>
      <c r="B49" s="3689" t="s">
        <v>1342</v>
      </c>
      <c r="C49" s="3689"/>
      <c r="D49" s="1582">
        <v>0</v>
      </c>
      <c r="E49" s="324" t="s">
        <v>1343</v>
      </c>
      <c r="F49" s="3481" t="s">
        <v>28</v>
      </c>
      <c r="G49" s="3759"/>
      <c r="H49" s="2298" t="s">
        <v>2133</v>
      </c>
      <c r="I49" s="2299"/>
      <c r="J49" s="3498">
        <v>4</v>
      </c>
      <c r="K49" s="3753" t="str">
        <f>IF(项目基本情况!E8="房地产抵押价值","房地产抵押价值","抵押担保权已注销时的房地产抵押价值")</f>
        <v>房地产抵押价值</v>
      </c>
      <c r="L49" s="3753"/>
      <c r="M49" s="3775">
        <f ca="1">IF(项目基本情况!E8="房地产抵押价值",H107,H109)</f>
        <v>3115</v>
      </c>
      <c r="N49" s="3775"/>
      <c r="O49" s="3775"/>
    </row>
    <row r="50" spans="1:35" ht="25.5" customHeight="1">
      <c r="A50" s="2536"/>
      <c r="B50" s="3689" t="s">
        <v>1344</v>
      </c>
      <c r="C50" s="3689"/>
      <c r="D50" s="2537"/>
      <c r="E50" s="332"/>
      <c r="F50" s="3481"/>
      <c r="G50" s="3760"/>
      <c r="H50" s="2300" t="s">
        <v>2134</v>
      </c>
      <c r="I50" s="2299"/>
      <c r="J50" s="3772" t="s">
        <v>1345</v>
      </c>
      <c r="K50" s="3772"/>
      <c r="L50" s="3772"/>
      <c r="M50" s="3772"/>
      <c r="N50" s="3772"/>
      <c r="O50" s="3772"/>
    </row>
    <row r="51" spans="1:35" ht="20.45" customHeight="1">
      <c r="A51" s="2538"/>
      <c r="B51" s="3689" t="s">
        <v>1346</v>
      </c>
      <c r="C51" s="3689"/>
      <c r="D51" s="1079"/>
      <c r="E51" s="327"/>
      <c r="F51" s="3481"/>
      <c r="G51" s="3761"/>
      <c r="H51" s="2300" t="s">
        <v>2135</v>
      </c>
      <c r="I51" s="2299"/>
      <c r="J51" s="3497" t="s">
        <v>1347</v>
      </c>
      <c r="K51" s="3753" t="s">
        <v>1348</v>
      </c>
      <c r="L51" s="3753"/>
      <c r="M51" s="3497" t="s">
        <v>1349</v>
      </c>
      <c r="N51" s="3497" t="s">
        <v>1350</v>
      </c>
      <c r="O51" s="3497" t="s">
        <v>1351</v>
      </c>
    </row>
    <row r="52" spans="1:35" ht="24" customHeight="1">
      <c r="A52" s="3488" t="s">
        <v>1352</v>
      </c>
      <c r="B52" s="3689" t="s">
        <v>1353</v>
      </c>
      <c r="C52" s="3689"/>
      <c r="D52" s="1079">
        <f ca="1">ROUND(D45*'数据-取费表'!B41/(1+'数据-取费表'!C42),0)</f>
        <v>163</v>
      </c>
      <c r="E52" s="3489" t="s">
        <v>1354</v>
      </c>
      <c r="F52" s="2539">
        <f>'数据-取费表'!B41</f>
        <v>5.5000000000000007E-2</v>
      </c>
      <c r="G52" s="2540"/>
      <c r="H52" s="2529"/>
      <c r="I52" s="1798"/>
      <c r="J52" s="3498">
        <v>1</v>
      </c>
      <c r="K52" s="3754" t="s">
        <v>1355</v>
      </c>
      <c r="L52" s="3754"/>
      <c r="M52" s="2510" t="b">
        <f>D48</f>
        <v>0</v>
      </c>
      <c r="N52" s="3498" t="str">
        <f>E48</f>
        <v>销售额×税（费）率</v>
      </c>
      <c r="O52" s="2511">
        <f>F48</f>
        <v>5.5000000000000007E-2</v>
      </c>
    </row>
    <row r="53" spans="1:35" ht="12" customHeight="1">
      <c r="A53" s="3488" t="s">
        <v>1356</v>
      </c>
      <c r="B53" s="3715" t="s">
        <v>2286</v>
      </c>
      <c r="C53" s="3716"/>
      <c r="D53" s="1079">
        <f ca="1">ROUND(D45*'数据-取费表'!B41/(1+'数据-取费表'!C42),0)</f>
        <v>163</v>
      </c>
      <c r="E53" s="3489" t="s">
        <v>1354</v>
      </c>
      <c r="F53" s="2539">
        <f>'数据-取费表'!B41</f>
        <v>5.5000000000000007E-2</v>
      </c>
      <c r="G53" s="2540"/>
      <c r="H53" s="2529"/>
      <c r="I53" s="1798"/>
      <c r="J53" s="3498">
        <v>2</v>
      </c>
      <c r="K53" s="3754" t="s">
        <v>1357</v>
      </c>
      <c r="L53" s="3754"/>
      <c r="M53" s="2510">
        <f t="shared" ref="M53:O54" ca="1" si="0">D55</f>
        <v>2</v>
      </c>
      <c r="N53" s="3498" t="str">
        <f t="shared" si="0"/>
        <v>销售额×税（费）率</v>
      </c>
      <c r="O53" s="2511" t="str">
        <f t="shared" si="0"/>
        <v>免征</v>
      </c>
    </row>
    <row r="54" spans="1:35" ht="12" customHeight="1">
      <c r="A54" s="3488" t="s">
        <v>1358</v>
      </c>
      <c r="B54" s="3715" t="s">
        <v>2287</v>
      </c>
      <c r="C54" s="3716"/>
      <c r="D54" s="1079">
        <f ca="1">C68</f>
        <v>163</v>
      </c>
      <c r="E54" s="327" t="s">
        <v>1359</v>
      </c>
      <c r="F54" s="2539">
        <f>'数据-取费表'!B41</f>
        <v>5.5000000000000007E-2</v>
      </c>
      <c r="G54" s="2540"/>
      <c r="H54" s="2541"/>
      <c r="I54" s="1798"/>
      <c r="J54" s="3498">
        <v>3</v>
      </c>
      <c r="K54" s="3754" t="s">
        <v>1360</v>
      </c>
      <c r="L54" s="3754"/>
      <c r="M54" s="2510">
        <f t="shared" ca="1" si="0"/>
        <v>1766</v>
      </c>
      <c r="N54" s="3498" t="str">
        <f t="shared" si="0"/>
        <v>增值额×税（费）率</v>
      </c>
      <c r="O54" s="2512" t="str">
        <f t="shared" si="0"/>
        <v>免征</v>
      </c>
    </row>
    <row r="55" spans="1:35" ht="24" customHeight="1">
      <c r="A55" s="3704" t="s">
        <v>1361</v>
      </c>
      <c r="B55" s="3705"/>
      <c r="C55" s="3705"/>
      <c r="D55" s="3500">
        <f ca="1">IF(H55="个人住宅",0,ROUND(D45*I55,0))</f>
        <v>2</v>
      </c>
      <c r="E55" s="3489" t="s">
        <v>1362</v>
      </c>
      <c r="F55" s="2539" t="str">
        <f>IF(H55="正常",I55,"免征")</f>
        <v>免征</v>
      </c>
      <c r="G55" s="2540"/>
      <c r="H55" s="2535"/>
      <c r="I55" s="165">
        <f>'数据-取费表'!B49</f>
        <v>5.0000000000000001E-4</v>
      </c>
      <c r="J55" s="3498">
        <f>IF(H59="非个人房产","",4)</f>
        <v>4</v>
      </c>
      <c r="K55" s="3754" t="str">
        <f>IF(H59="非个人房产","——","个人所得税")</f>
        <v>个人所得税</v>
      </c>
      <c r="L55" s="3754"/>
      <c r="M55" s="2513">
        <f ca="1">D59</f>
        <v>30</v>
      </c>
      <c r="N55" s="3499" t="str">
        <f>E59</f>
        <v>差额计税</v>
      </c>
      <c r="O55" s="2514">
        <f>F59</f>
        <v>0.01</v>
      </c>
    </row>
    <row r="56" spans="1:35" ht="24.75">
      <c r="A56" s="3704" t="s">
        <v>1363</v>
      </c>
      <c r="B56" s="3705"/>
      <c r="C56" s="3705"/>
      <c r="D56" s="3500">
        <f ca="1">IF(H56="个人住宅",D57,D58)</f>
        <v>1766</v>
      </c>
      <c r="E56" s="3489" t="s">
        <v>1364</v>
      </c>
      <c r="F56" s="2539" t="str">
        <f>IF(H56="正常",F58,"免征")</f>
        <v>免征</v>
      </c>
      <c r="G56" s="2542" t="s">
        <v>1365</v>
      </c>
      <c r="H56" s="2543"/>
      <c r="I56" s="1799"/>
      <c r="J56" s="3498" t="str">
        <f>IF(项目基本情况!K6="上海银行",IF(J55="",4,J55+1),"")</f>
        <v/>
      </c>
      <c r="K56" s="3777" t="str">
        <f>IF(项目基本情况!K6="上海银行","其他处置费用","")</f>
        <v/>
      </c>
      <c r="L56" s="3778"/>
      <c r="M56" s="2510" t="str">
        <f>IF(项目基本情况!K6="上海银行",M69,"")</f>
        <v/>
      </c>
      <c r="N56" s="3777" t="str">
        <f>IF(项目基本情况!K6="上海银行","包含处置中涉及的律师、诉讼、拍卖、评估等费用","")</f>
        <v/>
      </c>
      <c r="O56" s="3780"/>
    </row>
    <row r="57" spans="1:35" ht="12.75">
      <c r="A57" s="3488" t="s">
        <v>1341</v>
      </c>
      <c r="B57" s="3715" t="s">
        <v>1366</v>
      </c>
      <c r="C57" s="3716"/>
      <c r="D57" s="1582">
        <v>0</v>
      </c>
      <c r="E57" s="324" t="s">
        <v>1343</v>
      </c>
      <c r="F57" s="302"/>
      <c r="G57" s="2540"/>
      <c r="H57" s="2544"/>
      <c r="I57" s="1799"/>
      <c r="J57" s="3754">
        <f>IF(AND(J55="",J56=""),4,IF(项目基本情况!K6="上海银行",结果表办!J56+1,结果表办!J55+1))</f>
        <v>5</v>
      </c>
      <c r="K57" s="3754" t="s">
        <v>1367</v>
      </c>
      <c r="L57" s="2515" t="s">
        <v>1368</v>
      </c>
      <c r="M57" s="2516"/>
      <c r="N57" s="2517">
        <f ca="1">SUMIF(M52:M56,"&lt;9e307")</f>
        <v>1798</v>
      </c>
      <c r="O57" s="2518"/>
      <c r="P57" s="2674">
        <f ca="1">N57/M49</f>
        <v>0.57720706260032106</v>
      </c>
    </row>
    <row r="58" spans="1:35" ht="24.75">
      <c r="A58" s="3488" t="s">
        <v>1352</v>
      </c>
      <c r="B58" s="3715" t="s">
        <v>1369</v>
      </c>
      <c r="C58" s="3689"/>
      <c r="D58" s="3500">
        <f ca="1">IF(H58="转让取得",C81,C97)</f>
        <v>1766</v>
      </c>
      <c r="E58" s="3489" t="s">
        <v>1364</v>
      </c>
      <c r="F58" s="302" t="s">
        <v>28</v>
      </c>
      <c r="G58" s="2540"/>
      <c r="H58" s="2543"/>
      <c r="I58" s="1799"/>
      <c r="J58" s="3754"/>
      <c r="K58" s="3754"/>
      <c r="L58" s="2515" t="s">
        <v>1370</v>
      </c>
      <c r="M58" s="2519"/>
      <c r="N58" s="2520" t="str">
        <f ca="1">NUMBERSTRING(INT(N57*10000),2)&amp;"元整"</f>
        <v>壹仟柒佰玖拾捌万元整</v>
      </c>
      <c r="O58" s="2521"/>
    </row>
    <row r="59" spans="1:35" ht="24.75" thickBot="1">
      <c r="A59" s="3757" t="s">
        <v>1371</v>
      </c>
      <c r="B59" s="3758"/>
      <c r="C59" s="3758"/>
      <c r="D59" s="2545">
        <f ca="1">IF(H59="非个人房产","——",IF(H59="个人住宅（满五唯一有凭证）",0,IF(H59="个人其他（无凭证）",ROUND(D45*F59,0),ROUND(C67*F59,0))))</f>
        <v>30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5">
        <f>J57+1</f>
        <v>6</v>
      </c>
      <c r="K59" s="3754" t="s">
        <v>1372</v>
      </c>
      <c r="L59" s="3498" t="s">
        <v>1368</v>
      </c>
      <c r="M59" s="2522"/>
      <c r="N59" s="2523">
        <f ca="1">M49-N57</f>
        <v>1317</v>
      </c>
      <c r="O59" s="2524"/>
    </row>
    <row r="60" spans="1:35" ht="12" customHeight="1">
      <c r="A60" s="1800"/>
      <c r="B60" s="1739"/>
      <c r="C60" s="1739"/>
      <c r="D60" s="1739"/>
      <c r="E60" s="1570"/>
      <c r="F60" s="1799"/>
      <c r="G60" s="1799"/>
      <c r="H60" s="1801"/>
      <c r="I60" s="129"/>
      <c r="J60" s="3756"/>
      <c r="K60" s="3754"/>
      <c r="L60" s="2515" t="s">
        <v>1370</v>
      </c>
      <c r="M60" s="2519"/>
      <c r="N60" s="2520" t="str">
        <f ca="1">NUMBERSTRING(INT(N59*10000),2)&amp;"元整"</f>
        <v>壹仟叁佰壹拾柒万元整</v>
      </c>
      <c r="O60" s="2521"/>
    </row>
    <row r="61" spans="1:35" ht="13.5" thickBot="1">
      <c r="A61" s="3702" t="s">
        <v>1373</v>
      </c>
      <c r="B61" s="3702"/>
      <c r="C61" s="3702"/>
      <c r="D61" s="3702"/>
      <c r="E61" s="3702"/>
      <c r="F61" s="1799"/>
      <c r="G61" s="1799"/>
      <c r="H61" s="1801"/>
      <c r="I61" s="129"/>
      <c r="J61" s="3498">
        <f>J59+1</f>
        <v>7</v>
      </c>
      <c r="K61" s="3754" t="s">
        <v>1374</v>
      </c>
      <c r="L61" s="3754"/>
      <c r="M61" s="2525"/>
      <c r="N61" s="2526">
        <f ca="1">ROUND(N59*10000/'数据-汇总表'!E3,0)</f>
        <v>8975</v>
      </c>
      <c r="O61" s="2527"/>
    </row>
    <row r="62" spans="1:35" ht="12.75">
      <c r="A62" s="3720" t="s">
        <v>1375</v>
      </c>
      <c r="B62" s="3721"/>
      <c r="C62" s="3492"/>
      <c r="D62" s="3492" t="s">
        <v>1376</v>
      </c>
      <c r="E62" s="166" t="s">
        <v>1377</v>
      </c>
      <c r="F62" s="1799"/>
      <c r="G62" s="1799"/>
      <c r="H62" s="1801"/>
      <c r="I62" s="129"/>
    </row>
    <row r="63" spans="1:35" ht="12.75">
      <c r="A63" s="173" t="s">
        <v>330</v>
      </c>
      <c r="B63" s="167" t="s">
        <v>1378</v>
      </c>
      <c r="C63" s="2549">
        <f ca="1">ROUND((C64+C65)/(1+'数据-取费表'!C42),0)</f>
        <v>2967</v>
      </c>
      <c r="D63" s="167"/>
      <c r="E63" s="168"/>
      <c r="F63" s="1799"/>
      <c r="G63" s="1799"/>
      <c r="H63" s="1801"/>
      <c r="I63" s="129"/>
      <c r="J63" s="3779" t="s">
        <v>1379</v>
      </c>
      <c r="K63" s="3501" t="s">
        <v>1380</v>
      </c>
      <c r="L63" s="3501">
        <f ca="1">IF(M49&gt;10000,M49*0.5%,IF(AND(M49&gt;1000,M49&lt;=10000),M49*1%,IF(AND(M49&gt;100,M49&lt;=1000),M49*3%,IF(AND(M49&gt;10,M49&lt;=100),M49*5%,M49*8%))))</f>
        <v>31.150000000000002</v>
      </c>
      <c r="M63" s="302">
        <f ca="1">ROUND(L63,1)</f>
        <v>31.2</v>
      </c>
      <c r="N63" s="2528"/>
      <c r="Z63" s="1744"/>
      <c r="AI63" s="1745"/>
    </row>
    <row r="64" spans="1:35" ht="14.25" customHeight="1">
      <c r="A64" s="169" t="s">
        <v>325</v>
      </c>
      <c r="B64" s="170" t="s">
        <v>1381</v>
      </c>
      <c r="C64" s="2550">
        <f ca="1">D45</f>
        <v>3115</v>
      </c>
      <c r="D64" s="170" t="s">
        <v>26</v>
      </c>
      <c r="E64" s="172"/>
      <c r="F64" s="1799"/>
      <c r="G64" s="1799"/>
      <c r="H64" s="1801"/>
      <c r="I64" s="129"/>
      <c r="J64" s="3779"/>
      <c r="K64" s="3501" t="s">
        <v>1382</v>
      </c>
      <c r="L64" s="3501">
        <f ca="1">IF(M49&gt;2000,M49*0.5%,IF(AND(M49&gt;1000,M49&lt;=2000),M49*0.6%,IF(AND(M49&gt;500,M49&lt;=1000),M49*0.7%,IF(AND(M49&gt;200,M49&lt;=500),M49*0.8%,IF(AND(M49&gt;100,M49&lt;=200),M49*0.9%,IF(AND(M49&gt;50,M49&lt;=100),M49*1%,IF(AND(M49&gt;20,M49&lt;=50),M49*1.5%,IF(AND(M49&gt;10,M49&lt;=20),M49*2%,IF(AND(M49&gt;1,M49&lt;=10),M49*2.5%)))))))))</f>
        <v>15.575000000000001</v>
      </c>
      <c r="M64" s="302">
        <f t="shared" ref="M64:M65" ca="1" si="1">ROUND(L64,1)</f>
        <v>15.6</v>
      </c>
      <c r="N64" s="2529" t="s">
        <v>1383</v>
      </c>
      <c r="Z64" s="1744"/>
      <c r="AI64" s="1745"/>
    </row>
    <row r="65" spans="1:35" ht="14.25" customHeight="1">
      <c r="A65" s="169" t="s">
        <v>326</v>
      </c>
      <c r="B65" s="170" t="s">
        <v>1384</v>
      </c>
      <c r="C65" s="2551"/>
      <c r="D65" s="170"/>
      <c r="E65" s="172"/>
      <c r="F65" s="1799"/>
      <c r="G65" s="1799"/>
      <c r="H65" s="1801"/>
      <c r="I65" s="129"/>
      <c r="J65" s="3779"/>
      <c r="K65" s="3501" t="s">
        <v>1385</v>
      </c>
      <c r="L65" s="3501">
        <f ca="1">IF(M49&gt;1000,M49*0.1%,IF(AND(M49&gt;500,M49&lt;=1000),M49*0.5%,IF(AND(M49&gt;50,M49&lt;=500),M49*1%,IF(AND(M49&gt;1,M49&lt;=50),M49*1.5%))))</f>
        <v>3.1150000000000002</v>
      </c>
      <c r="M65" s="302">
        <f t="shared" ca="1" si="1"/>
        <v>3.1</v>
      </c>
      <c r="N65" s="2529" t="s">
        <v>1383</v>
      </c>
      <c r="Z65" s="1744"/>
      <c r="AI65" s="1745"/>
    </row>
    <row r="66" spans="1:35" ht="14.25" customHeight="1">
      <c r="A66" s="173" t="s">
        <v>327</v>
      </c>
      <c r="B66" s="174" t="s">
        <v>1386</v>
      </c>
      <c r="C66" s="2552"/>
      <c r="D66" s="174" t="s">
        <v>26</v>
      </c>
      <c r="E66" s="1330" t="s">
        <v>671</v>
      </c>
      <c r="F66" s="1799"/>
      <c r="G66" s="1799"/>
      <c r="H66" s="1801"/>
      <c r="I66" s="129"/>
      <c r="J66" s="3779"/>
      <c r="K66" s="3501" t="s">
        <v>1387</v>
      </c>
      <c r="L66" s="3501">
        <f ca="1">M49*0.5%</f>
        <v>15.575000000000001</v>
      </c>
      <c r="M66" s="302">
        <f ca="1">IF(L66&gt;0.5,0.5,ROUND(L66,0))</f>
        <v>0.5</v>
      </c>
      <c r="N66" s="2529" t="s">
        <v>1388</v>
      </c>
      <c r="Z66" s="1744"/>
      <c r="AI66" s="1745"/>
    </row>
    <row r="67" spans="1:35" ht="14.25" customHeight="1">
      <c r="A67" s="173" t="s">
        <v>328</v>
      </c>
      <c r="B67" s="174" t="s">
        <v>1389</v>
      </c>
      <c r="C67" s="2553">
        <f ca="1">C63-C66</f>
        <v>2967</v>
      </c>
      <c r="D67" s="170" t="s">
        <v>26</v>
      </c>
      <c r="E67" s="172"/>
      <c r="F67" s="1799"/>
      <c r="G67" s="1799"/>
      <c r="H67" s="1801"/>
      <c r="I67" s="129"/>
      <c r="J67" s="3779"/>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163</v>
      </c>
      <c r="D68" s="2555">
        <f>'数据-取费表'!B41</f>
        <v>5.5000000000000007E-2</v>
      </c>
      <c r="E68" s="178"/>
      <c r="F68" s="1799"/>
      <c r="G68" s="1799"/>
      <c r="H68" s="1801"/>
      <c r="I68" s="129"/>
      <c r="J68" s="3779"/>
      <c r="K68" s="3501" t="s">
        <v>1392</v>
      </c>
      <c r="L68" s="3501">
        <f ca="1">IF(M49&gt;10000,M49*0.5%,IF(AND(M49&gt;5000,M49&lt;=10000),M49*1%,IF(AND(M49&gt;1000,M49&lt;=5000),M49*2%,IF(AND(M49&gt;200,M49&lt;=1000),M49*3%,M49*5%))))</f>
        <v>62.300000000000004</v>
      </c>
      <c r="M68" s="302">
        <f ca="1">ROUND(L68,1)</f>
        <v>62.3</v>
      </c>
      <c r="N68" s="2528"/>
      <c r="Z68" s="1744"/>
      <c r="AI68" s="1745"/>
    </row>
    <row r="69" spans="1:35" s="1764" customFormat="1" ht="16.5" customHeight="1">
      <c r="A69" s="1802"/>
      <c r="B69" s="1803"/>
      <c r="C69" s="1804"/>
      <c r="D69" s="1805"/>
      <c r="E69" s="1806"/>
      <c r="F69" s="1570"/>
      <c r="G69" s="1570"/>
      <c r="H69" s="1569"/>
      <c r="I69" s="1739"/>
      <c r="J69" s="3779"/>
      <c r="K69" s="3501" t="s">
        <v>1393</v>
      </c>
      <c r="L69" s="3501"/>
      <c r="M69" s="302">
        <f ca="1">ROUND(SUM(M63:M68),0)</f>
        <v>115</v>
      </c>
      <c r="N69" s="2530">
        <f ca="1">M69/M49</f>
        <v>3.691813804173355E-2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41" t="s">
        <v>1394</v>
      </c>
      <c r="B70" s="3742"/>
      <c r="C70" s="3742"/>
      <c r="D70" s="3742"/>
      <c r="E70" s="3742"/>
      <c r="F70" s="3742"/>
      <c r="G70" s="3742"/>
      <c r="H70" s="3742"/>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20" t="s">
        <v>1375</v>
      </c>
      <c r="B71" s="3721"/>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2967</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15</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15" t="s">
        <v>1402</v>
      </c>
      <c r="F76" s="3689"/>
      <c r="G76" s="3689"/>
      <c r="H76" s="374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15</v>
      </c>
      <c r="D78" s="2562">
        <f>'数据-取费表'!B43</f>
        <v>5.000000000000001E-3</v>
      </c>
      <c r="E78" s="3699" t="s">
        <v>1406</v>
      </c>
      <c r="F78" s="3700"/>
      <c r="G78" s="3700"/>
      <c r="H78" s="370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2952</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196.8</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1766</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41" t="s">
        <v>1410</v>
      </c>
      <c r="B83" s="3742"/>
      <c r="C83" s="3742"/>
      <c r="D83" s="3742"/>
      <c r="E83" s="3742"/>
      <c r="F83" s="3742"/>
      <c r="G83" s="3742"/>
      <c r="H83" s="374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20" t="s">
        <v>1375</v>
      </c>
      <c r="B84" s="3721"/>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2967</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15</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781" t="s">
        <v>2128</v>
      </c>
      <c r="H90" s="3782"/>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699" t="s">
        <v>1419</v>
      </c>
      <c r="F91" s="3700"/>
      <c r="G91" s="3700"/>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699" t="s">
        <v>1422</v>
      </c>
      <c r="F92" s="3700"/>
      <c r="G92" s="3700"/>
      <c r="H92" s="370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15</v>
      </c>
      <c r="D93" s="2562">
        <f>'数据-取费表'!B43</f>
        <v>5.000000000000001E-3</v>
      </c>
      <c r="E93" s="3699" t="s">
        <v>1406</v>
      </c>
      <c r="F93" s="3700"/>
      <c r="G93" s="3700"/>
      <c r="H93" s="370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10" t="s">
        <v>1426</v>
      </c>
      <c r="F94" s="3711"/>
      <c r="G94" s="3711"/>
      <c r="H94" s="3712"/>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2952</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196.8</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1766</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58" t="s">
        <v>1428</v>
      </c>
      <c r="B100" s="3659"/>
      <c r="C100" s="3659"/>
      <c r="D100" s="3701"/>
      <c r="E100" s="3659" t="s">
        <v>1429</v>
      </c>
      <c r="F100" s="3659"/>
      <c r="G100" s="3659"/>
      <c r="H100" s="3701"/>
      <c r="I100" s="129"/>
    </row>
    <row r="101" spans="1:35" ht="18.75" customHeight="1">
      <c r="A101" s="3762" t="s">
        <v>1430</v>
      </c>
      <c r="B101" s="3763"/>
      <c r="C101" s="2570" t="str">
        <f>C4</f>
        <v>比较法-办公</v>
      </c>
      <c r="D101" s="2571" t="str">
        <f>D4</f>
        <v>收益法 (办)</v>
      </c>
      <c r="E101" s="3776" t="s">
        <v>1431</v>
      </c>
      <c r="F101" s="3733"/>
      <c r="G101" s="1818" t="s">
        <v>1432</v>
      </c>
      <c r="H101" s="2580">
        <f ca="1">H118</f>
        <v>3115</v>
      </c>
      <c r="I101" s="129"/>
    </row>
    <row r="102" spans="1:35" ht="18.75" customHeight="1">
      <c r="A102" s="3735" t="s">
        <v>1433</v>
      </c>
      <c r="B102" s="2569" t="s">
        <v>1432</v>
      </c>
      <c r="C102" s="2570">
        <f ca="1">IF(D32="楼面单价",ROUND(C19,0),C19)</f>
        <v>3383</v>
      </c>
      <c r="D102" s="2571">
        <f ca="1">IF(D32="楼面单价",ROUND(D19,0),D19)</f>
        <v>2713</v>
      </c>
      <c r="E102" s="3776"/>
      <c r="F102" s="3733"/>
      <c r="G102" s="1818" t="s">
        <v>1434</v>
      </c>
      <c r="H102" s="2540">
        <f ca="1">I118</f>
        <v>27158</v>
      </c>
      <c r="I102" s="129"/>
    </row>
    <row r="103" spans="1:35" ht="42.75" customHeight="1">
      <c r="A103" s="3735"/>
      <c r="B103" s="2569" t="s">
        <v>1434</v>
      </c>
      <c r="C103" s="2572">
        <f ca="1">C20</f>
        <v>29494</v>
      </c>
      <c r="D103" s="2573">
        <f ca="1">D20</f>
        <v>23653</v>
      </c>
      <c r="E103" s="3770" t="s">
        <v>1435</v>
      </c>
      <c r="F103" s="3771"/>
      <c r="G103" s="1819" t="s">
        <v>1436</v>
      </c>
      <c r="H103" s="2580">
        <f>IF(D36="正常操作",H104+H105+H106,H105+H106)</f>
        <v>0</v>
      </c>
      <c r="I103" s="129"/>
    </row>
    <row r="104" spans="1:35" ht="18.75" customHeight="1">
      <c r="A104" s="3735" t="s">
        <v>1437</v>
      </c>
      <c r="B104" s="2574" t="s">
        <v>1432</v>
      </c>
      <c r="C104" s="2575">
        <f ca="1">H118</f>
        <v>3115</v>
      </c>
      <c r="D104" s="2576"/>
      <c r="E104" s="1666" t="s">
        <v>1438</v>
      </c>
      <c r="F104" s="1658"/>
      <c r="G104" s="1819" t="s">
        <v>1436</v>
      </c>
      <c r="H104" s="2581">
        <f>IF(D36="同一抵押权人同一抵押物续贷",C36&amp;"（续贷，未扣减，详见特别提示）",C36)</f>
        <v>0</v>
      </c>
      <c r="I104" s="129"/>
    </row>
    <row r="105" spans="1:35" ht="18.75" customHeight="1" thickBot="1">
      <c r="A105" s="3736"/>
      <c r="B105" s="2577" t="s">
        <v>1434</v>
      </c>
      <c r="C105" s="2578">
        <f ca="1">I118</f>
        <v>27158</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32" t="str">
        <f>IF(项目基本情况!E8="已注销","——","3.房地产抵押价值")</f>
        <v>3.房地产抵押价值</v>
      </c>
      <c r="F107" s="3733"/>
      <c r="G107" s="1818" t="s">
        <v>1432</v>
      </c>
      <c r="H107" s="2580">
        <f ca="1">IF(E107="——","——",H101-H103)</f>
        <v>3115</v>
      </c>
      <c r="I107" s="129"/>
    </row>
    <row r="108" spans="1:35" ht="18.75" customHeight="1">
      <c r="A108" s="129"/>
      <c r="B108" s="129"/>
      <c r="C108" s="129"/>
      <c r="D108" s="129"/>
      <c r="E108" s="3732"/>
      <c r="F108" s="3733"/>
      <c r="G108" s="1818" t="s">
        <v>1434</v>
      </c>
      <c r="H108" s="2540">
        <f ca="1">IF(H107=H101,H102,ROUND(H107*10000/'数据-汇总表'!E3,0))</f>
        <v>27158</v>
      </c>
      <c r="I108" s="129"/>
    </row>
    <row r="109" spans="1:35" ht="18.75" customHeight="1">
      <c r="A109" s="129"/>
      <c r="B109" s="129"/>
      <c r="C109" s="129"/>
      <c r="D109" s="129"/>
      <c r="E109" s="3732" t="str">
        <f>IF(项目基本情况!E8="已注销及未注销","4.抵押担保权已注销时的房地产抵押价值",IF(项目基本情况!E8="已注销","3.抵押担保权已注销时的房地产抵押价值","——"))</f>
        <v>——</v>
      </c>
      <c r="F109" s="3733"/>
      <c r="G109" s="1818" t="s">
        <v>1432</v>
      </c>
      <c r="H109" s="2583" t="str">
        <f>IF(E109="——","——",H101-H105-H106)</f>
        <v>——</v>
      </c>
      <c r="I109" s="129"/>
    </row>
    <row r="110" spans="1:35" ht="18.75" customHeight="1">
      <c r="A110" s="129"/>
      <c r="B110" s="129"/>
      <c r="C110" s="129"/>
      <c r="D110" s="129"/>
      <c r="E110" s="3732"/>
      <c r="F110" s="3733"/>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34"/>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37" t="s">
        <v>1440</v>
      </c>
      <c r="F113" s="3737"/>
      <c r="G113" s="3737"/>
      <c r="H113" s="3737"/>
      <c r="I113" s="129"/>
    </row>
    <row r="114" spans="1:27" ht="3.75" customHeight="1">
      <c r="A114" s="1739"/>
      <c r="B114" s="1739"/>
      <c r="C114" s="1739"/>
      <c r="D114" s="1739"/>
      <c r="E114" s="1800"/>
      <c r="F114" s="1800"/>
      <c r="G114" s="1800"/>
      <c r="H114" s="1800"/>
      <c r="I114" s="1739"/>
    </row>
    <row r="115" spans="1:27" ht="18.75" customHeight="1">
      <c r="A115" s="3747" t="s">
        <v>1442</v>
      </c>
      <c r="B115" s="3748"/>
      <c r="C115" s="3748"/>
      <c r="D115" s="3748"/>
      <c r="E115" s="3748"/>
      <c r="F115" s="3748"/>
      <c r="G115" s="3748"/>
      <c r="H115" s="3748"/>
      <c r="I115" s="3749"/>
    </row>
    <row r="116" spans="1:27" ht="27" customHeight="1">
      <c r="A116" s="3703" t="s">
        <v>1443</v>
      </c>
      <c r="B116" s="3738" t="s">
        <v>1444</v>
      </c>
      <c r="C116" s="3738" t="s">
        <v>1445</v>
      </c>
      <c r="D116" s="3751" t="s">
        <v>1446</v>
      </c>
      <c r="E116" s="3752"/>
      <c r="F116" s="3746" t="s">
        <v>1447</v>
      </c>
      <c r="G116" s="3746"/>
      <c r="H116" s="3703" t="s">
        <v>1448</v>
      </c>
      <c r="I116" s="3703"/>
    </row>
    <row r="117" spans="1:27" ht="18.75" customHeight="1">
      <c r="A117" s="3703"/>
      <c r="B117" s="3739"/>
      <c r="C117" s="3739"/>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1146.95</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3115</v>
      </c>
      <c r="I118" s="3487">
        <f ca="1">ROUND(IF(D32="楼面单价",C32,H118*10000/B118),0)</f>
        <v>27158</v>
      </c>
    </row>
    <row r="119" spans="1:27" ht="18.75" customHeight="1">
      <c r="A119" s="3703" t="s">
        <v>1452</v>
      </c>
      <c r="B119" s="3703"/>
      <c r="C119" s="3703"/>
      <c r="D119" s="3743" t="str">
        <f>NUMBERSTRING(INT(D118*10000),2)&amp;"元整"</f>
        <v>零元整</v>
      </c>
      <c r="E119" s="3745"/>
      <c r="F119" s="3743" t="str">
        <f>NUMBERSTRING(INT(F118*10000),2)&amp;"元整"</f>
        <v>零元整</v>
      </c>
      <c r="G119" s="3745"/>
      <c r="H119" s="3743" t="str">
        <f ca="1">NUMBERSTRING(INT(H118*10000),2)&amp;"元整"</f>
        <v>叁仟壹佰壹拾伍万元整</v>
      </c>
      <c r="I119" s="3745"/>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3" t="s">
        <v>1452</v>
      </c>
      <c r="B121" s="3744"/>
      <c r="C121" s="3745"/>
      <c r="D121" s="3743" t="str">
        <f>IF(D120=0,"零元整",NUMBERSTRING(INT(D120*10000),2)&amp;"元整")</f>
        <v>零元整</v>
      </c>
      <c r="E121" s="3744"/>
      <c r="F121" s="3744"/>
      <c r="G121" s="3744"/>
      <c r="H121" s="3744"/>
      <c r="I121" s="3745"/>
      <c r="AA121" s="720"/>
    </row>
    <row r="122" spans="1:27" ht="18.75" customHeight="1">
      <c r="A122" s="3734" t="str">
        <f>IF(项目基本情况!B9="房地产市场价值","",MID(E107,3,LEN(E107)-2))</f>
        <v>房地产抵押价值</v>
      </c>
      <c r="B122" s="3734"/>
      <c r="C122" s="3734"/>
      <c r="D122" s="3767">
        <f ca="1">H107</f>
        <v>3115</v>
      </c>
      <c r="E122" s="3768"/>
      <c r="F122" s="3768"/>
      <c r="G122" s="3768"/>
      <c r="H122" s="3768"/>
      <c r="I122" s="3769"/>
      <c r="AA122" s="720"/>
    </row>
    <row r="123" spans="1:27" ht="18.75" customHeight="1">
      <c r="A123" s="3703" t="s">
        <v>1452</v>
      </c>
      <c r="B123" s="3703"/>
      <c r="C123" s="3703"/>
      <c r="D123" s="3743" t="str">
        <f ca="1">NUMBERSTRING(INT(D122*10000),2)&amp;"元整"</f>
        <v>叁仟壹佰壹拾伍万元整</v>
      </c>
      <c r="E123" s="3744"/>
      <c r="F123" s="3744"/>
      <c r="G123" s="3744"/>
      <c r="H123" s="3744"/>
      <c r="I123" s="3745"/>
      <c r="AA123" s="720"/>
    </row>
    <row r="124" spans="1:27" ht="18.75" customHeight="1">
      <c r="A124" s="3734" t="str">
        <f>IF(项目基本情况!B9="房地产市场价值","",MID(E109,3,LEN(E109)-2))</f>
        <v/>
      </c>
      <c r="B124" s="3734"/>
      <c r="C124" s="3734"/>
      <c r="D124" s="3767" t="str">
        <f>H109</f>
        <v>——</v>
      </c>
      <c r="E124" s="3768"/>
      <c r="F124" s="3768"/>
      <c r="G124" s="3768"/>
      <c r="H124" s="3768"/>
      <c r="I124" s="3769"/>
      <c r="AA124" s="720"/>
    </row>
    <row r="125" spans="1:27" ht="18.75" customHeight="1">
      <c r="A125" s="3703" t="s">
        <v>1452</v>
      </c>
      <c r="B125" s="3703"/>
      <c r="C125" s="3703"/>
      <c r="D125" s="3743" t="e">
        <f>NUMBERSTRING(INT(D124*10000),2)&amp;"元整"</f>
        <v>#VALUE!</v>
      </c>
      <c r="E125" s="3744"/>
      <c r="F125" s="3744"/>
      <c r="G125" s="3744"/>
      <c r="H125" s="3744"/>
      <c r="I125" s="3745"/>
      <c r="AA125" s="720"/>
    </row>
    <row r="126" spans="1:27" ht="18.75" customHeight="1">
      <c r="A126" s="3734" t="str">
        <f>IF(项目基本情况!B9="房地产市场价值","",MID(E111,3,LEN(E111)-2))</f>
        <v/>
      </c>
      <c r="B126" s="3734"/>
      <c r="C126" s="3734"/>
      <c r="D126" s="3767" t="str">
        <f>H111</f>
        <v>——</v>
      </c>
      <c r="E126" s="3768"/>
      <c r="F126" s="3768"/>
      <c r="G126" s="3768"/>
      <c r="H126" s="3768"/>
      <c r="I126" s="3769"/>
      <c r="AA126" s="720"/>
    </row>
    <row r="127" spans="1:27" ht="18.75" customHeight="1">
      <c r="A127" s="3703" t="s">
        <v>1452</v>
      </c>
      <c r="B127" s="3703"/>
      <c r="C127" s="3703"/>
      <c r="D127" s="3743" t="e">
        <f>NUMBERSTRING(INT(D126*10000),2)&amp;"元整"</f>
        <v>#VALUE!</v>
      </c>
      <c r="E127" s="3744"/>
      <c r="F127" s="3744"/>
      <c r="G127" s="3744"/>
      <c r="H127" s="3744"/>
      <c r="I127" s="3745"/>
      <c r="AA127" s="720"/>
    </row>
    <row r="128" spans="1:27" ht="21.75" customHeight="1">
      <c r="A128" s="3750" t="s">
        <v>1453</v>
      </c>
      <c r="B128" s="3750"/>
      <c r="C128" s="3750"/>
      <c r="D128" s="3750"/>
      <c r="E128" s="3750"/>
      <c r="F128" s="3750"/>
      <c r="G128" s="3750"/>
      <c r="H128" s="3750"/>
      <c r="I128" s="3750"/>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K20" sqref="K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4315</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3382.8143</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29494</v>
      </c>
      <c r="C3" s="354" t="s">
        <v>1768</v>
      </c>
      <c r="D3" s="353">
        <f>IF(D1="",'数据-汇总表'!E3,SUMIF('数据-汇总表'!$C19:$C33,D1,'数据-汇总表'!$E19:$E33))</f>
        <v>1146.95</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01" t="s">
        <v>1770</v>
      </c>
      <c r="D4" s="3802"/>
      <c r="E4" s="3803" t="s">
        <v>1771</v>
      </c>
      <c r="F4" s="3804"/>
      <c r="G4" s="3801" t="s">
        <v>1772</v>
      </c>
      <c r="H4" s="3802"/>
      <c r="I4" s="3801" t="s">
        <v>1773</v>
      </c>
      <c r="J4" s="3802"/>
      <c r="K4" s="556" t="s">
        <v>1774</v>
      </c>
      <c r="L4" s="2699"/>
      <c r="M4" s="2700"/>
      <c r="N4" s="2700"/>
      <c r="O4" s="2700"/>
      <c r="P4" s="3876" t="s">
        <v>1775</v>
      </c>
      <c r="Q4" s="3877"/>
      <c r="R4" s="3880" t="s">
        <v>1771</v>
      </c>
      <c r="S4" s="3881"/>
      <c r="T4" s="3880" t="s">
        <v>1772</v>
      </c>
      <c r="U4" s="3881"/>
      <c r="V4" s="3882" t="s">
        <v>1773</v>
      </c>
      <c r="W4" s="3882"/>
      <c r="X4" s="1946"/>
      <c r="Y4" s="3880" t="s">
        <v>1775</v>
      </c>
      <c r="Z4" s="3881"/>
      <c r="AA4" s="3884" t="s">
        <v>1771</v>
      </c>
      <c r="AB4" s="3884" t="s">
        <v>1772</v>
      </c>
      <c r="AC4" s="3873" t="s">
        <v>1773</v>
      </c>
    </row>
    <row r="5" spans="1:29" ht="15">
      <c r="A5" s="358"/>
      <c r="B5" s="359"/>
      <c r="C5" s="3825" t="s">
        <v>1673</v>
      </c>
      <c r="D5" s="3821"/>
      <c r="E5" s="3828" t="s">
        <v>4358</v>
      </c>
      <c r="F5" s="3829"/>
      <c r="G5" s="3820" t="s">
        <v>4344</v>
      </c>
      <c r="H5" s="3821"/>
      <c r="I5" s="3820" t="s">
        <v>4359</v>
      </c>
      <c r="J5" s="3821"/>
      <c r="K5" s="556"/>
      <c r="L5" s="2699"/>
      <c r="M5" s="2700"/>
      <c r="N5" s="2700"/>
      <c r="O5" s="2700"/>
      <c r="P5" s="3878"/>
      <c r="Q5" s="3808"/>
      <c r="R5" s="3813"/>
      <c r="S5" s="3814"/>
      <c r="T5" s="3813"/>
      <c r="U5" s="3814"/>
      <c r="V5" s="3817"/>
      <c r="W5" s="3817"/>
      <c r="X5" s="1347"/>
      <c r="Y5" s="3813"/>
      <c r="Z5" s="3814"/>
      <c r="AA5" s="3799"/>
      <c r="AB5" s="3799"/>
      <c r="AC5" s="3874"/>
    </row>
    <row r="6" spans="1:29" ht="15.75" thickBot="1">
      <c r="A6" s="360"/>
      <c r="B6" s="361"/>
      <c r="C6" s="3818" t="s">
        <v>1677</v>
      </c>
      <c r="D6" s="3819"/>
      <c r="E6" s="3826" t="s">
        <v>1677</v>
      </c>
      <c r="F6" s="3827"/>
      <c r="G6" s="3818" t="s">
        <v>1677</v>
      </c>
      <c r="H6" s="3819"/>
      <c r="I6" s="3818" t="s">
        <v>1677</v>
      </c>
      <c r="J6" s="3819"/>
      <c r="K6" s="556" t="s">
        <v>1678</v>
      </c>
      <c r="L6" s="2699"/>
      <c r="M6" s="2700"/>
      <c r="N6" s="2700"/>
      <c r="O6" s="2700"/>
      <c r="P6" s="3879"/>
      <c r="Q6" s="3810"/>
      <c r="R6" s="3813"/>
      <c r="S6" s="3814"/>
      <c r="T6" s="3815"/>
      <c r="U6" s="3816"/>
      <c r="V6" s="3817"/>
      <c r="W6" s="3817"/>
      <c r="X6" s="1347"/>
      <c r="Y6" s="3815"/>
      <c r="Z6" s="3816"/>
      <c r="AA6" s="3800"/>
      <c r="AB6" s="3800"/>
      <c r="AC6" s="3875"/>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1"/>
      <c r="M7" s="2702"/>
      <c r="N7" s="2702"/>
      <c r="O7" s="2702"/>
      <c r="P7" s="3883" t="s">
        <v>1680</v>
      </c>
      <c r="Q7" s="3824"/>
      <c r="R7" s="696" t="s">
        <v>14</v>
      </c>
      <c r="S7" s="697">
        <f t="shared" ref="S7:S15" si="0">F7</f>
        <v>100</v>
      </c>
      <c r="T7" s="696" t="s">
        <v>14</v>
      </c>
      <c r="U7" s="697">
        <f t="shared" ref="U7:U15" si="1">H7</f>
        <v>100</v>
      </c>
      <c r="V7" s="696" t="s">
        <v>14</v>
      </c>
      <c r="W7" s="697">
        <f t="shared" ref="W7:W15" si="2">J7</f>
        <v>100</v>
      </c>
      <c r="X7" s="698"/>
      <c r="Y7" s="3822" t="s">
        <v>1680</v>
      </c>
      <c r="Z7" s="3823"/>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4335</v>
      </c>
      <c r="H8" s="365">
        <f>SUMIF(62:62,G8,63:63)-SUMIF(62:62,C8,63:63)+100</f>
        <v>102</v>
      </c>
      <c r="I8" s="368" t="s">
        <v>4335</v>
      </c>
      <c r="J8" s="365">
        <f>SUMIF(62:62,I8,63:63)-SUMIF(62:62,C8,63:63)+100</f>
        <v>102</v>
      </c>
      <c r="K8" s="557"/>
      <c r="L8" s="2701"/>
      <c r="M8" s="2702"/>
      <c r="N8" s="2702"/>
      <c r="O8" s="2702"/>
      <c r="P8" s="3883" t="s">
        <v>1683</v>
      </c>
      <c r="Q8" s="3823"/>
      <c r="R8" s="696" t="s">
        <v>14</v>
      </c>
      <c r="S8" s="697">
        <f t="shared" si="0"/>
        <v>100</v>
      </c>
      <c r="T8" s="696" t="s">
        <v>14</v>
      </c>
      <c r="U8" s="697">
        <f t="shared" si="1"/>
        <v>102</v>
      </c>
      <c r="V8" s="696" t="s">
        <v>14</v>
      </c>
      <c r="W8" s="697">
        <f t="shared" si="2"/>
        <v>102</v>
      </c>
      <c r="X8" s="698"/>
      <c r="Y8" s="3822" t="s">
        <v>1683</v>
      </c>
      <c r="Z8" s="3823"/>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4334</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797" t="s">
        <v>1686</v>
      </c>
      <c r="Q9" s="1335" t="str">
        <f t="shared" ref="Q9:Q15" si="6">B9</f>
        <v>用途</v>
      </c>
      <c r="R9" s="696" t="s">
        <v>14</v>
      </c>
      <c r="S9" s="697">
        <f t="shared" si="0"/>
        <v>100</v>
      </c>
      <c r="T9" s="696" t="s">
        <v>14</v>
      </c>
      <c r="U9" s="697">
        <f t="shared" si="1"/>
        <v>100</v>
      </c>
      <c r="V9" s="696" t="s">
        <v>14</v>
      </c>
      <c r="W9" s="697">
        <f t="shared" si="2"/>
        <v>100</v>
      </c>
      <c r="X9" s="698"/>
      <c r="Y9" s="3690"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797"/>
      <c r="Q10" s="1335" t="str">
        <f t="shared" si="6"/>
        <v>土地使用年限（年）</v>
      </c>
      <c r="R10" s="696" t="s">
        <v>14</v>
      </c>
      <c r="S10" s="697">
        <f t="shared" si="0"/>
        <v>100</v>
      </c>
      <c r="T10" s="696" t="s">
        <v>14</v>
      </c>
      <c r="U10" s="697">
        <f t="shared" si="1"/>
        <v>100</v>
      </c>
      <c r="V10" s="696" t="s">
        <v>14</v>
      </c>
      <c r="W10" s="697">
        <f t="shared" si="2"/>
        <v>100</v>
      </c>
      <c r="X10" s="698"/>
      <c r="Y10" s="3690"/>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797"/>
      <c r="Q11" s="1335" t="str">
        <f t="shared" si="6"/>
        <v>容积率</v>
      </c>
      <c r="R11" s="696" t="s">
        <v>14</v>
      </c>
      <c r="S11" s="697">
        <f t="shared" si="0"/>
        <v>100</v>
      </c>
      <c r="T11" s="696" t="s">
        <v>14</v>
      </c>
      <c r="U11" s="697">
        <f t="shared" si="1"/>
        <v>100</v>
      </c>
      <c r="V11" s="696" t="s">
        <v>14</v>
      </c>
      <c r="W11" s="697">
        <f t="shared" si="2"/>
        <v>100</v>
      </c>
      <c r="X11" s="698"/>
      <c r="Y11" s="3690"/>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797"/>
      <c r="Q12" s="1335">
        <f t="shared" si="6"/>
        <v>111</v>
      </c>
      <c r="R12" s="696" t="s">
        <v>14</v>
      </c>
      <c r="S12" s="697">
        <f t="shared" si="0"/>
        <v>100</v>
      </c>
      <c r="T12" s="696" t="s">
        <v>14</v>
      </c>
      <c r="U12" s="697">
        <f t="shared" si="1"/>
        <v>100</v>
      </c>
      <c r="V12" s="696" t="s">
        <v>14</v>
      </c>
      <c r="W12" s="697">
        <f t="shared" si="2"/>
        <v>100</v>
      </c>
      <c r="X12" s="698"/>
      <c r="Y12" s="3690"/>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797"/>
      <c r="Q13" s="1335">
        <f t="shared" si="6"/>
        <v>111</v>
      </c>
      <c r="R13" s="696" t="s">
        <v>14</v>
      </c>
      <c r="S13" s="697">
        <f t="shared" si="0"/>
        <v>100</v>
      </c>
      <c r="T13" s="696" t="s">
        <v>14</v>
      </c>
      <c r="U13" s="697">
        <f t="shared" si="1"/>
        <v>100</v>
      </c>
      <c r="V13" s="696" t="s">
        <v>14</v>
      </c>
      <c r="W13" s="697">
        <f t="shared" si="2"/>
        <v>100</v>
      </c>
      <c r="X13" s="698"/>
      <c r="Y13" s="3690"/>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797"/>
      <c r="Q14" s="1335">
        <f t="shared" si="6"/>
        <v>111</v>
      </c>
      <c r="R14" s="696" t="s">
        <v>14</v>
      </c>
      <c r="S14" s="697">
        <f t="shared" si="0"/>
        <v>100</v>
      </c>
      <c r="T14" s="696" t="s">
        <v>14</v>
      </c>
      <c r="U14" s="697">
        <f t="shared" si="1"/>
        <v>100</v>
      </c>
      <c r="V14" s="696" t="s">
        <v>14</v>
      </c>
      <c r="W14" s="697">
        <f t="shared" si="2"/>
        <v>100</v>
      </c>
      <c r="X14" s="698"/>
      <c r="Y14" s="3690"/>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97</v>
      </c>
      <c r="I15" s="392"/>
      <c r="J15" s="391">
        <f>SUMIF(77:77,I16,78:78)-SUMIF(77:77,C16,78:78)+100</f>
        <v>97</v>
      </c>
      <c r="K15" s="560">
        <v>3</v>
      </c>
      <c r="L15" s="2706"/>
      <c r="M15" s="2700"/>
      <c r="N15" s="2700"/>
      <c r="O15" s="2700"/>
      <c r="P15" s="3795" t="s">
        <v>1691</v>
      </c>
      <c r="Q15" s="1344" t="str">
        <f t="shared" si="6"/>
        <v>办公集聚程度</v>
      </c>
      <c r="R15" s="700" t="s">
        <v>14</v>
      </c>
      <c r="S15" s="701">
        <f t="shared" si="0"/>
        <v>100</v>
      </c>
      <c r="T15" s="700" t="s">
        <v>14</v>
      </c>
      <c r="U15" s="701">
        <f t="shared" si="1"/>
        <v>97</v>
      </c>
      <c r="V15" s="700" t="s">
        <v>14</v>
      </c>
      <c r="W15" s="701">
        <f t="shared" si="2"/>
        <v>97</v>
      </c>
      <c r="X15" s="1347"/>
      <c r="Y15" s="3788" t="s">
        <v>1691</v>
      </c>
      <c r="Z15" s="1348" t="str">
        <f t="shared" si="7"/>
        <v>办公集聚程度</v>
      </c>
      <c r="AA15" s="1345">
        <f t="shared" si="3"/>
        <v>1</v>
      </c>
      <c r="AB15" s="1345">
        <f t="shared" si="4"/>
        <v>1.0309278350515463</v>
      </c>
      <c r="AC15" s="1950">
        <f t="shared" si="5"/>
        <v>1.0309278350515463</v>
      </c>
    </row>
    <row r="16" spans="1:29" ht="15">
      <c r="A16" s="378"/>
      <c r="B16" s="574"/>
      <c r="C16" s="1894" t="s">
        <v>3419</v>
      </c>
      <c r="D16" s="398"/>
      <c r="E16" s="1894" t="s">
        <v>3419</v>
      </c>
      <c r="F16" s="398"/>
      <c r="G16" s="1894" t="s">
        <v>4360</v>
      </c>
      <c r="H16" s="400"/>
      <c r="I16" s="1894" t="s">
        <v>4360</v>
      </c>
      <c r="J16" s="398"/>
      <c r="K16" s="561"/>
      <c r="L16" s="2706"/>
      <c r="M16" s="2700"/>
      <c r="N16" s="2700"/>
      <c r="O16" s="2700"/>
      <c r="P16" s="3796"/>
      <c r="Q16" s="1344"/>
      <c r="R16" s="700"/>
      <c r="S16" s="701"/>
      <c r="T16" s="700"/>
      <c r="U16" s="701"/>
      <c r="V16" s="700"/>
      <c r="W16" s="701"/>
      <c r="X16" s="1347"/>
      <c r="Y16" s="3789"/>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6"/>
      <c r="M17" s="2700"/>
      <c r="N17" s="2700"/>
      <c r="O17" s="2700"/>
      <c r="P17" s="3796"/>
      <c r="Q17" s="1344" t="str">
        <f>B17</f>
        <v>交通便捷度</v>
      </c>
      <c r="R17" s="700" t="s">
        <v>14</v>
      </c>
      <c r="S17" s="701">
        <f>F17</f>
        <v>100</v>
      </c>
      <c r="T17" s="700" t="s">
        <v>14</v>
      </c>
      <c r="U17" s="701">
        <f>H17</f>
        <v>100</v>
      </c>
      <c r="V17" s="700" t="s">
        <v>14</v>
      </c>
      <c r="W17" s="701">
        <f>J17</f>
        <v>100</v>
      </c>
      <c r="X17" s="1347"/>
      <c r="Y17" s="3789"/>
      <c r="Z17" s="1348" t="str">
        <f>Q17</f>
        <v>交通便捷度</v>
      </c>
      <c r="AA17" s="1345">
        <f t="shared" si="3"/>
        <v>1</v>
      </c>
      <c r="AB17" s="1345">
        <f t="shared" si="4"/>
        <v>1</v>
      </c>
      <c r="AC17" s="1950">
        <f t="shared" si="5"/>
        <v>1</v>
      </c>
    </row>
    <row r="18" spans="1:29" ht="15">
      <c r="A18" s="378"/>
      <c r="B18" s="576"/>
      <c r="C18" s="1952" t="s">
        <v>3419</v>
      </c>
      <c r="D18" s="400"/>
      <c r="E18" s="1894" t="s">
        <v>3419</v>
      </c>
      <c r="F18" s="400"/>
      <c r="G18" s="1894" t="s">
        <v>3419</v>
      </c>
      <c r="H18" s="398"/>
      <c r="I18" s="1894" t="s">
        <v>3419</v>
      </c>
      <c r="J18" s="398"/>
      <c r="K18" s="561"/>
      <c r="L18" s="2706"/>
      <c r="M18" s="2700"/>
      <c r="N18" s="2700"/>
      <c r="O18" s="2700"/>
      <c r="P18" s="3796"/>
      <c r="Q18" s="1344"/>
      <c r="R18" s="700"/>
      <c r="S18" s="701"/>
      <c r="T18" s="700"/>
      <c r="U18" s="701"/>
      <c r="V18" s="700"/>
      <c r="W18" s="701"/>
      <c r="X18" s="1347"/>
      <c r="Y18" s="3789"/>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f>'比较法-商业'!K19</f>
        <v>3</v>
      </c>
      <c r="L19" s="2706"/>
      <c r="M19" s="2700"/>
      <c r="N19" s="2700"/>
      <c r="O19" s="2700"/>
      <c r="P19" s="3796"/>
      <c r="Q19" s="1344" t="str">
        <f>B19</f>
        <v>公共配套设施</v>
      </c>
      <c r="R19" s="700" t="s">
        <v>14</v>
      </c>
      <c r="S19" s="701">
        <f>F19</f>
        <v>100</v>
      </c>
      <c r="T19" s="700" t="s">
        <v>14</v>
      </c>
      <c r="U19" s="701">
        <f>H19</f>
        <v>100</v>
      </c>
      <c r="V19" s="700" t="s">
        <v>14</v>
      </c>
      <c r="W19" s="701">
        <f>J19</f>
        <v>100</v>
      </c>
      <c r="X19" s="1347"/>
      <c r="Y19" s="3789"/>
      <c r="Z19" s="1348" t="str">
        <f>Q19</f>
        <v>公共配套设施</v>
      </c>
      <c r="AA19" s="1345">
        <f t="shared" si="3"/>
        <v>1</v>
      </c>
      <c r="AB19" s="1345">
        <f t="shared" si="4"/>
        <v>1</v>
      </c>
      <c r="AC19" s="1950">
        <f t="shared" si="5"/>
        <v>1</v>
      </c>
    </row>
    <row r="20" spans="1:29" ht="15">
      <c r="A20" s="378"/>
      <c r="B20" s="576"/>
      <c r="C20" s="1894" t="s">
        <v>3419</v>
      </c>
      <c r="D20" s="398"/>
      <c r="E20" s="1894" t="s">
        <v>3419</v>
      </c>
      <c r="F20" s="398"/>
      <c r="G20" s="1894" t="s">
        <v>3419</v>
      </c>
      <c r="H20" s="398"/>
      <c r="I20" s="1894" t="s">
        <v>3419</v>
      </c>
      <c r="J20" s="398"/>
      <c r="K20" s="561"/>
      <c r="L20" s="2706"/>
      <c r="M20" s="2700"/>
      <c r="N20" s="2700"/>
      <c r="O20" s="2700"/>
      <c r="P20" s="3796"/>
      <c r="Q20" s="1344"/>
      <c r="R20" s="700"/>
      <c r="S20" s="701"/>
      <c r="T20" s="700"/>
      <c r="U20" s="701"/>
      <c r="V20" s="700"/>
      <c r="W20" s="701"/>
      <c r="X20" s="1347"/>
      <c r="Y20" s="3789"/>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796"/>
      <c r="Q21" s="1344" t="str">
        <f>B21</f>
        <v>基础设施水平</v>
      </c>
      <c r="R21" s="700" t="s">
        <v>14</v>
      </c>
      <c r="S21" s="701">
        <f>F21</f>
        <v>100</v>
      </c>
      <c r="T21" s="700" t="s">
        <v>14</v>
      </c>
      <c r="U21" s="701">
        <f>H21</f>
        <v>100</v>
      </c>
      <c r="V21" s="700" t="s">
        <v>14</v>
      </c>
      <c r="W21" s="701">
        <f>J21</f>
        <v>100</v>
      </c>
      <c r="X21" s="1347"/>
      <c r="Y21" s="3789"/>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796"/>
      <c r="Q22" s="1344"/>
      <c r="R22" s="700"/>
      <c r="S22" s="701"/>
      <c r="T22" s="700"/>
      <c r="U22" s="701"/>
      <c r="V22" s="700"/>
      <c r="W22" s="701"/>
      <c r="X22" s="1347"/>
      <c r="Y22" s="3789"/>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98</v>
      </c>
      <c r="I23" s="402"/>
      <c r="J23" s="400">
        <f>SUMIF(85:85,I24,86:86)-SUMIF(85:85,C24,86:86)+100</f>
        <v>98</v>
      </c>
      <c r="K23" s="560">
        <v>2</v>
      </c>
      <c r="L23" s="2706"/>
      <c r="M23" s="2700"/>
      <c r="N23" s="2700"/>
      <c r="O23" s="2700"/>
      <c r="P23" s="3796"/>
      <c r="Q23" s="1344" t="str">
        <f>B23</f>
        <v>环境质量</v>
      </c>
      <c r="R23" s="700" t="s">
        <v>14</v>
      </c>
      <c r="S23" s="701">
        <f>F23</f>
        <v>100</v>
      </c>
      <c r="T23" s="700" t="s">
        <v>14</v>
      </c>
      <c r="U23" s="701">
        <f>H23</f>
        <v>98</v>
      </c>
      <c r="V23" s="700" t="s">
        <v>14</v>
      </c>
      <c r="W23" s="701">
        <f>J23</f>
        <v>98</v>
      </c>
      <c r="X23" s="1347"/>
      <c r="Y23" s="3789"/>
      <c r="Z23" s="1348" t="str">
        <f>Q23</f>
        <v>环境质量</v>
      </c>
      <c r="AA23" s="1345">
        <f t="shared" si="3"/>
        <v>1</v>
      </c>
      <c r="AB23" s="1345">
        <f t="shared" si="4"/>
        <v>1.0204081632653061</v>
      </c>
      <c r="AC23" s="1950">
        <f t="shared" si="5"/>
        <v>1.0204081632653061</v>
      </c>
    </row>
    <row r="24" spans="1:29" ht="15">
      <c r="A24" s="378"/>
      <c r="B24" s="577"/>
      <c r="C24" s="1894" t="s">
        <v>3403</v>
      </c>
      <c r="D24" s="398"/>
      <c r="E24" s="1894" t="s">
        <v>3403</v>
      </c>
      <c r="F24" s="398"/>
      <c r="G24" s="1894" t="s">
        <v>3419</v>
      </c>
      <c r="H24" s="398"/>
      <c r="I24" s="1894" t="s">
        <v>3419</v>
      </c>
      <c r="J24" s="398"/>
      <c r="K24" s="561"/>
      <c r="L24" s="2706"/>
      <c r="M24" s="2700"/>
      <c r="N24" s="2700"/>
      <c r="O24" s="2700"/>
      <c r="P24" s="3796"/>
      <c r="Q24" s="1344"/>
      <c r="R24" s="700"/>
      <c r="S24" s="701"/>
      <c r="T24" s="700"/>
      <c r="U24" s="701"/>
      <c r="V24" s="700"/>
      <c r="W24" s="701"/>
      <c r="X24" s="1347"/>
      <c r="Y24" s="3789"/>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796"/>
      <c r="Q25" s="1344" t="str">
        <f>B25</f>
        <v>毗邻道路的类型与等级</v>
      </c>
      <c r="R25" s="700" t="s">
        <v>14</v>
      </c>
      <c r="S25" s="701">
        <f>F25</f>
        <v>100</v>
      </c>
      <c r="T25" s="700" t="s">
        <v>14</v>
      </c>
      <c r="U25" s="701">
        <f>H25</f>
        <v>100</v>
      </c>
      <c r="V25" s="700" t="s">
        <v>14</v>
      </c>
      <c r="W25" s="701">
        <f>J25</f>
        <v>100</v>
      </c>
      <c r="X25" s="1347"/>
      <c r="Y25" s="3789"/>
      <c r="Z25" s="1348" t="str">
        <f>Q25</f>
        <v>毗邻道路的类型与等级</v>
      </c>
      <c r="AA25" s="1345">
        <f t="shared" si="3"/>
        <v>1</v>
      </c>
      <c r="AB25" s="1345">
        <f t="shared" si="4"/>
        <v>1</v>
      </c>
      <c r="AC25" s="1950">
        <f t="shared" si="5"/>
        <v>1</v>
      </c>
    </row>
    <row r="26" spans="1:29" ht="15">
      <c r="A26" s="358"/>
      <c r="B26" s="576"/>
      <c r="C26" s="578" t="s">
        <v>4347</v>
      </c>
      <c r="D26" s="385"/>
      <c r="E26" s="578" t="s">
        <v>4347</v>
      </c>
      <c r="F26" s="385"/>
      <c r="G26" s="578" t="s">
        <v>4347</v>
      </c>
      <c r="H26" s="385"/>
      <c r="I26" s="578" t="s">
        <v>4347</v>
      </c>
      <c r="J26" s="385"/>
      <c r="K26" s="561"/>
      <c r="L26" s="2706"/>
      <c r="M26" s="2700"/>
      <c r="N26" s="2700"/>
      <c r="O26" s="2700"/>
      <c r="P26" s="3796"/>
      <c r="Q26" s="1344"/>
      <c r="R26" s="700"/>
      <c r="S26" s="701"/>
      <c r="T26" s="700"/>
      <c r="U26" s="701"/>
      <c r="V26" s="700"/>
      <c r="W26" s="701"/>
      <c r="X26" s="1347"/>
      <c r="Y26" s="3789"/>
      <c r="Z26" s="1348"/>
      <c r="AA26" s="1345">
        <v>1</v>
      </c>
      <c r="AB26" s="1345">
        <v>1</v>
      </c>
      <c r="AC26" s="1950">
        <v>1</v>
      </c>
    </row>
    <row r="27" spans="1:29" ht="15">
      <c r="A27" s="378"/>
      <c r="B27" s="576" t="s">
        <v>1783</v>
      </c>
      <c r="C27" s="578" t="s">
        <v>4342</v>
      </c>
      <c r="D27" s="385">
        <v>100</v>
      </c>
      <c r="E27" s="562" t="s">
        <v>4342</v>
      </c>
      <c r="F27" s="385">
        <f>SUMIF(89:89,E27,90:90)-SUMIF(89:89,C27,90:90)+100</f>
        <v>100</v>
      </c>
      <c r="G27" s="578" t="s">
        <v>4342</v>
      </c>
      <c r="H27" s="385">
        <f>SUMIF(89:89,G27,90:90)-SUMIF(89:89,C27,90:90)+100</f>
        <v>100</v>
      </c>
      <c r="I27" s="578" t="s">
        <v>4342</v>
      </c>
      <c r="J27" s="385">
        <f>SUMIF(89:89,I27,90:90)-SUMIF(89:89,C27,90:90)+100</f>
        <v>100</v>
      </c>
      <c r="K27" s="558">
        <v>3</v>
      </c>
      <c r="L27" s="2706"/>
      <c r="M27" s="2700"/>
      <c r="N27" s="2700"/>
      <c r="O27" s="2700"/>
      <c r="P27" s="3796"/>
      <c r="Q27" s="1344" t="str">
        <f t="shared" ref="Q27:Q47" si="11">B27</f>
        <v>楼层</v>
      </c>
      <c r="R27" s="700" t="s">
        <v>14</v>
      </c>
      <c r="S27" s="701">
        <f>F27</f>
        <v>100</v>
      </c>
      <c r="T27" s="700" t="s">
        <v>14</v>
      </c>
      <c r="U27" s="701">
        <f>H27</f>
        <v>100</v>
      </c>
      <c r="V27" s="700" t="s">
        <v>14</v>
      </c>
      <c r="W27" s="701">
        <f>J27</f>
        <v>100</v>
      </c>
      <c r="X27" s="1347"/>
      <c r="Y27" s="3789"/>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796"/>
      <c r="Q28" s="1335" t="str">
        <f t="shared" si="11"/>
        <v>朝向</v>
      </c>
      <c r="R28" s="696" t="s">
        <v>14</v>
      </c>
      <c r="S28" s="697">
        <f>F28</f>
        <v>100</v>
      </c>
      <c r="T28" s="696" t="s">
        <v>14</v>
      </c>
      <c r="U28" s="697">
        <f>H28</f>
        <v>100</v>
      </c>
      <c r="V28" s="696" t="s">
        <v>14</v>
      </c>
      <c r="W28" s="697">
        <f>J28</f>
        <v>100</v>
      </c>
      <c r="X28" s="698"/>
      <c r="Y28" s="3789"/>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796"/>
      <c r="Q29" s="1344">
        <f t="shared" si="11"/>
        <v>111</v>
      </c>
      <c r="R29" s="700" t="s">
        <v>14</v>
      </c>
      <c r="S29" s="701">
        <f t="shared" ref="S29:S47" si="12">F29</f>
        <v>100</v>
      </c>
      <c r="T29" s="700" t="s">
        <v>14</v>
      </c>
      <c r="U29" s="701">
        <f t="shared" ref="U29:U47" si="13">H29</f>
        <v>100</v>
      </c>
      <c r="V29" s="700" t="s">
        <v>14</v>
      </c>
      <c r="W29" s="701">
        <f t="shared" ref="W29:W47" si="14">J29</f>
        <v>100</v>
      </c>
      <c r="X29" s="1347"/>
      <c r="Y29" s="3789"/>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796"/>
      <c r="Q30" s="1344">
        <f t="shared" si="11"/>
        <v>111</v>
      </c>
      <c r="R30" s="700" t="s">
        <v>14</v>
      </c>
      <c r="S30" s="701">
        <f t="shared" si="12"/>
        <v>100</v>
      </c>
      <c r="T30" s="700" t="s">
        <v>14</v>
      </c>
      <c r="U30" s="701">
        <f t="shared" si="13"/>
        <v>100</v>
      </c>
      <c r="V30" s="700" t="s">
        <v>14</v>
      </c>
      <c r="W30" s="701">
        <f t="shared" si="14"/>
        <v>100</v>
      </c>
      <c r="X30" s="1347"/>
      <c r="Y30" s="3789"/>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796"/>
      <c r="Q31" s="1344">
        <f t="shared" si="11"/>
        <v>111</v>
      </c>
      <c r="R31" s="700" t="s">
        <v>14</v>
      </c>
      <c r="S31" s="701">
        <f t="shared" si="12"/>
        <v>100</v>
      </c>
      <c r="T31" s="700" t="s">
        <v>14</v>
      </c>
      <c r="U31" s="701">
        <f t="shared" si="13"/>
        <v>100</v>
      </c>
      <c r="V31" s="700" t="s">
        <v>14</v>
      </c>
      <c r="W31" s="701">
        <f t="shared" si="14"/>
        <v>100</v>
      </c>
      <c r="X31" s="1347"/>
      <c r="Y31" s="3789"/>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796"/>
      <c r="Q32" s="1344">
        <f t="shared" si="11"/>
        <v>111</v>
      </c>
      <c r="R32" s="700" t="s">
        <v>14</v>
      </c>
      <c r="S32" s="701">
        <f t="shared" si="12"/>
        <v>100</v>
      </c>
      <c r="T32" s="700" t="s">
        <v>14</v>
      </c>
      <c r="U32" s="701">
        <f t="shared" si="13"/>
        <v>100</v>
      </c>
      <c r="V32" s="700" t="s">
        <v>14</v>
      </c>
      <c r="W32" s="701">
        <f t="shared" si="14"/>
        <v>100</v>
      </c>
      <c r="X32" s="1347"/>
      <c r="Y32" s="3789"/>
      <c r="Z32" s="1348">
        <f t="shared" si="15"/>
        <v>111</v>
      </c>
      <c r="AA32" s="1345">
        <f t="shared" si="3"/>
        <v>1</v>
      </c>
      <c r="AB32" s="1345">
        <f t="shared" si="4"/>
        <v>1</v>
      </c>
      <c r="AC32" s="1950">
        <f t="shared" si="5"/>
        <v>1</v>
      </c>
    </row>
    <row r="33" spans="1:29" ht="15">
      <c r="A33" s="390" t="s">
        <v>1694</v>
      </c>
      <c r="B33" s="63" t="s">
        <v>1817</v>
      </c>
      <c r="C33" s="1955" t="s">
        <v>4350</v>
      </c>
      <c r="D33" s="417">
        <v>100</v>
      </c>
      <c r="E33" s="1955" t="s">
        <v>4350</v>
      </c>
      <c r="F33" s="411">
        <f>SUMIF(101:101,E33,102:102)-SUMIF(101:101,C33,102:102)+100</f>
        <v>100</v>
      </c>
      <c r="G33" s="1955" t="s">
        <v>4350</v>
      </c>
      <c r="H33" s="385">
        <f>SUMIF(101:101,G33,102:102)-SUMIF(101:101,C33,102:102)+100</f>
        <v>100</v>
      </c>
      <c r="I33" s="1955" t="s">
        <v>4350</v>
      </c>
      <c r="J33" s="417">
        <f>SUMIF(101:101,I33,102:102)-SUMIF(101:101,C33,102:102)+100</f>
        <v>100</v>
      </c>
      <c r="K33" s="558">
        <v>100</v>
      </c>
      <c r="L33" s="2706"/>
      <c r="M33" s="2700"/>
      <c r="N33" s="2700"/>
      <c r="O33" s="2700"/>
      <c r="P33" s="3790" t="s">
        <v>1696</v>
      </c>
      <c r="Q33" s="1344" t="str">
        <f t="shared" si="11"/>
        <v>建筑类型</v>
      </c>
      <c r="R33" s="700" t="s">
        <v>14</v>
      </c>
      <c r="S33" s="701">
        <f t="shared" si="12"/>
        <v>100</v>
      </c>
      <c r="T33" s="700" t="s">
        <v>14</v>
      </c>
      <c r="U33" s="701">
        <f t="shared" si="13"/>
        <v>100</v>
      </c>
      <c r="V33" s="700" t="s">
        <v>14</v>
      </c>
      <c r="W33" s="701">
        <f t="shared" si="14"/>
        <v>100</v>
      </c>
      <c r="X33" s="1347"/>
      <c r="Y33" s="3793" t="s">
        <v>1696</v>
      </c>
      <c r="Z33" s="1348" t="str">
        <f t="shared" si="15"/>
        <v>建筑类型</v>
      </c>
      <c r="AA33" s="1345">
        <f t="shared" si="3"/>
        <v>1</v>
      </c>
      <c r="AB33" s="1345">
        <f t="shared" si="4"/>
        <v>1</v>
      </c>
      <c r="AC33" s="1950">
        <f t="shared" si="5"/>
        <v>1</v>
      </c>
    </row>
    <row r="34" spans="1:29" s="421" customFormat="1" ht="15">
      <c r="A34" s="418"/>
      <c r="B34" s="374" t="s">
        <v>1697</v>
      </c>
      <c r="C34" s="419">
        <f>商办车库!F4</f>
        <v>1146.95</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5"/>
      <c r="M34" s="2707"/>
      <c r="N34" s="2707"/>
      <c r="O34" s="2707"/>
      <c r="P34" s="3791"/>
      <c r="Q34" s="702" t="str">
        <f t="shared" si="11"/>
        <v>项目建筑规模</v>
      </c>
      <c r="R34" s="703" t="s">
        <v>14</v>
      </c>
      <c r="S34" s="704">
        <f t="shared" si="12"/>
        <v>100.5</v>
      </c>
      <c r="T34" s="703" t="s">
        <v>14</v>
      </c>
      <c r="U34" s="704">
        <f t="shared" si="13"/>
        <v>100.5</v>
      </c>
      <c r="V34" s="703" t="s">
        <v>14</v>
      </c>
      <c r="W34" s="704">
        <f t="shared" si="14"/>
        <v>100</v>
      </c>
      <c r="X34" s="705"/>
      <c r="Y34" s="3793"/>
      <c r="Z34" s="706" t="str">
        <f t="shared" si="15"/>
        <v>项目建筑规模</v>
      </c>
      <c r="AA34" s="1345">
        <f t="shared" si="3"/>
        <v>0.99502487562189057</v>
      </c>
      <c r="AB34" s="1345">
        <f t="shared" si="4"/>
        <v>0.99502487562189057</v>
      </c>
      <c r="AC34" s="1950">
        <f t="shared" si="5"/>
        <v>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791"/>
      <c r="Q35" s="1344" t="str">
        <f t="shared" si="11"/>
        <v>建筑结构</v>
      </c>
      <c r="R35" s="700" t="s">
        <v>14</v>
      </c>
      <c r="S35" s="701">
        <f t="shared" si="12"/>
        <v>100</v>
      </c>
      <c r="T35" s="700" t="s">
        <v>14</v>
      </c>
      <c r="U35" s="701">
        <f t="shared" si="13"/>
        <v>100</v>
      </c>
      <c r="V35" s="700" t="s">
        <v>14</v>
      </c>
      <c r="W35" s="701">
        <f t="shared" si="14"/>
        <v>100</v>
      </c>
      <c r="X35" s="1347"/>
      <c r="Y35" s="3793"/>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791"/>
      <c r="Q36" s="1344" t="str">
        <f t="shared" si="11"/>
        <v>公共部分装修</v>
      </c>
      <c r="R36" s="700" t="s">
        <v>14</v>
      </c>
      <c r="S36" s="701">
        <f t="shared" si="12"/>
        <v>100</v>
      </c>
      <c r="T36" s="700" t="s">
        <v>14</v>
      </c>
      <c r="U36" s="701">
        <f t="shared" si="13"/>
        <v>100</v>
      </c>
      <c r="V36" s="700" t="s">
        <v>14</v>
      </c>
      <c r="W36" s="701">
        <f t="shared" si="14"/>
        <v>100</v>
      </c>
      <c r="X36" s="1347"/>
      <c r="Y36" s="3793"/>
      <c r="Z36" s="1348" t="str">
        <f t="shared" si="15"/>
        <v>公共部分装修</v>
      </c>
      <c r="AA36" s="1345">
        <f t="shared" si="3"/>
        <v>1</v>
      </c>
      <c r="AB36" s="1345">
        <f t="shared" si="4"/>
        <v>1</v>
      </c>
      <c r="AC36" s="1950">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791"/>
      <c r="Q37" s="1344" t="str">
        <f t="shared" si="11"/>
        <v>成新度</v>
      </c>
      <c r="R37" s="700" t="s">
        <v>14</v>
      </c>
      <c r="S37" s="701">
        <f t="shared" si="12"/>
        <v>100</v>
      </c>
      <c r="T37" s="700" t="s">
        <v>14</v>
      </c>
      <c r="U37" s="701">
        <f t="shared" si="13"/>
        <v>100</v>
      </c>
      <c r="V37" s="700" t="s">
        <v>14</v>
      </c>
      <c r="W37" s="701">
        <f t="shared" si="14"/>
        <v>100</v>
      </c>
      <c r="X37" s="1347"/>
      <c r="Y37" s="3793"/>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791"/>
      <c r="Q38" s="1335" t="str">
        <f t="shared" si="11"/>
        <v>写字楼等级</v>
      </c>
      <c r="R38" s="696" t="s">
        <v>14</v>
      </c>
      <c r="S38" s="697">
        <f t="shared" si="12"/>
        <v>100</v>
      </c>
      <c r="T38" s="696" t="s">
        <v>14</v>
      </c>
      <c r="U38" s="697">
        <f t="shared" si="13"/>
        <v>100</v>
      </c>
      <c r="V38" s="696" t="s">
        <v>14</v>
      </c>
      <c r="W38" s="697">
        <f t="shared" si="14"/>
        <v>100</v>
      </c>
      <c r="X38" s="698"/>
      <c r="Y38" s="3793"/>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791" t="s">
        <v>1696</v>
      </c>
      <c r="Q39" s="1344" t="str">
        <f t="shared" si="11"/>
        <v>物业管理</v>
      </c>
      <c r="R39" s="700" t="s">
        <v>14</v>
      </c>
      <c r="S39" s="701">
        <f t="shared" si="12"/>
        <v>100</v>
      </c>
      <c r="T39" s="700" t="s">
        <v>14</v>
      </c>
      <c r="U39" s="701">
        <f t="shared" si="13"/>
        <v>100</v>
      </c>
      <c r="V39" s="700" t="s">
        <v>14</v>
      </c>
      <c r="W39" s="701">
        <f t="shared" si="14"/>
        <v>100</v>
      </c>
      <c r="X39" s="1347"/>
      <c r="Y39" s="3793"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791"/>
      <c r="Q40" s="1344" t="str">
        <f t="shared" si="11"/>
        <v>市政基础设施</v>
      </c>
      <c r="R40" s="700" t="s">
        <v>14</v>
      </c>
      <c r="S40" s="701">
        <f t="shared" si="12"/>
        <v>100</v>
      </c>
      <c r="T40" s="700" t="s">
        <v>14</v>
      </c>
      <c r="U40" s="701">
        <f t="shared" si="13"/>
        <v>100</v>
      </c>
      <c r="V40" s="700" t="s">
        <v>14</v>
      </c>
      <c r="W40" s="701">
        <f t="shared" si="14"/>
        <v>100</v>
      </c>
      <c r="X40" s="1347"/>
      <c r="Y40" s="3793"/>
      <c r="Z40" s="1348" t="str">
        <f t="shared" si="15"/>
        <v>市政基础设施</v>
      </c>
      <c r="AA40" s="1345">
        <f t="shared" si="3"/>
        <v>1</v>
      </c>
      <c r="AB40" s="1345">
        <f t="shared" si="4"/>
        <v>1</v>
      </c>
      <c r="AC40" s="1950">
        <f t="shared" si="5"/>
        <v>1</v>
      </c>
    </row>
    <row r="41" spans="1:29" ht="15">
      <c r="A41" s="422"/>
      <c r="B41" s="374" t="s">
        <v>1789</v>
      </c>
      <c r="C41" s="562" t="s">
        <v>4311</v>
      </c>
      <c r="D41" s="385">
        <v>100</v>
      </c>
      <c r="E41" s="562" t="s">
        <v>4311</v>
      </c>
      <c r="F41" s="411">
        <f>SUMIF(119:119,E41,120:120)-SUMIF(119:119,C41,120:120)+100</f>
        <v>100</v>
      </c>
      <c r="G41" s="562" t="s">
        <v>4311</v>
      </c>
      <c r="H41" s="385">
        <f>SUMIF(119:119,G41,120:120)-SUMIF(119:119,C41,120:120)+100</f>
        <v>100</v>
      </c>
      <c r="I41" s="562" t="s">
        <v>4311</v>
      </c>
      <c r="J41" s="385">
        <f>SUMIF(119:119,I41,120:120)-SUMIF(119:119,C41,120:120)+100</f>
        <v>100</v>
      </c>
      <c r="K41" s="558">
        <v>2</v>
      </c>
      <c r="L41" s="2706"/>
      <c r="M41" s="2700"/>
      <c r="N41" s="2700"/>
      <c r="O41" s="2700"/>
      <c r="P41" s="3791"/>
      <c r="Q41" s="1344" t="str">
        <f t="shared" si="11"/>
        <v>层高</v>
      </c>
      <c r="R41" s="700" t="s">
        <v>14</v>
      </c>
      <c r="S41" s="701">
        <f t="shared" si="12"/>
        <v>100</v>
      </c>
      <c r="T41" s="700" t="s">
        <v>14</v>
      </c>
      <c r="U41" s="701">
        <f t="shared" si="13"/>
        <v>100</v>
      </c>
      <c r="V41" s="700" t="s">
        <v>14</v>
      </c>
      <c r="W41" s="701">
        <f t="shared" si="14"/>
        <v>100</v>
      </c>
      <c r="X41" s="1347"/>
      <c r="Y41" s="3793"/>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791"/>
      <c r="Q42" s="702" t="str">
        <f t="shared" si="11"/>
        <v>单套建筑面积</v>
      </c>
      <c r="R42" s="703" t="s">
        <v>14</v>
      </c>
      <c r="S42" s="704">
        <f t="shared" si="12"/>
        <v>100</v>
      </c>
      <c r="T42" s="703" t="s">
        <v>14</v>
      </c>
      <c r="U42" s="704">
        <f t="shared" si="13"/>
        <v>100</v>
      </c>
      <c r="V42" s="703" t="s">
        <v>14</v>
      </c>
      <c r="W42" s="704">
        <f t="shared" si="14"/>
        <v>100</v>
      </c>
      <c r="X42" s="705"/>
      <c r="Y42" s="3793"/>
      <c r="Z42" s="706" t="str">
        <f t="shared" si="15"/>
        <v>单套建筑面积</v>
      </c>
      <c r="AA42" s="1345">
        <f t="shared" si="3"/>
        <v>1</v>
      </c>
      <c r="AB42" s="1345">
        <f t="shared" si="4"/>
        <v>1</v>
      </c>
      <c r="AC42" s="1950">
        <f t="shared" si="5"/>
        <v>1</v>
      </c>
    </row>
    <row r="43" spans="1:29" ht="15">
      <c r="A43" s="422"/>
      <c r="B43" s="374" t="s">
        <v>1792</v>
      </c>
      <c r="C43" s="410" t="s">
        <v>4351</v>
      </c>
      <c r="D43" s="385">
        <v>100</v>
      </c>
      <c r="E43" s="410" t="s">
        <v>4351</v>
      </c>
      <c r="F43" s="411">
        <f>SUMIF(123:123,E43,124:124)-SUMIF(123:123,C43,124:124)+100</f>
        <v>100</v>
      </c>
      <c r="G43" s="410" t="s">
        <v>4351</v>
      </c>
      <c r="H43" s="385">
        <f>SUMIF(123:123,G43,124:124)-SUMIF(123:123,C43,124:124)+100</f>
        <v>100</v>
      </c>
      <c r="I43" s="410" t="s">
        <v>4351</v>
      </c>
      <c r="J43" s="385">
        <f>SUMIF(123:123,I43,124:124)-SUMIF(123:123,C43,124:124)+100</f>
        <v>100</v>
      </c>
      <c r="K43" s="558">
        <v>2</v>
      </c>
      <c r="L43" s="2706"/>
      <c r="M43" s="2700"/>
      <c r="N43" s="2700"/>
      <c r="O43" s="2700"/>
      <c r="P43" s="3791"/>
      <c r="Q43" s="1344" t="str">
        <f t="shared" si="11"/>
        <v>内部装修</v>
      </c>
      <c r="R43" s="700" t="s">
        <v>14</v>
      </c>
      <c r="S43" s="701">
        <f t="shared" si="12"/>
        <v>100</v>
      </c>
      <c r="T43" s="700" t="s">
        <v>14</v>
      </c>
      <c r="U43" s="701">
        <f t="shared" si="13"/>
        <v>100</v>
      </c>
      <c r="V43" s="700" t="s">
        <v>14</v>
      </c>
      <c r="W43" s="701">
        <f t="shared" si="14"/>
        <v>100</v>
      </c>
      <c r="X43" s="1347"/>
      <c r="Y43" s="3793"/>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791"/>
      <c r="Q44" s="1344" t="str">
        <f t="shared" si="11"/>
        <v>内部装修维护情况</v>
      </c>
      <c r="R44" s="700" t="s">
        <v>14</v>
      </c>
      <c r="S44" s="701">
        <f t="shared" si="12"/>
        <v>100</v>
      </c>
      <c r="T44" s="700" t="s">
        <v>14</v>
      </c>
      <c r="U44" s="701">
        <f t="shared" si="13"/>
        <v>100</v>
      </c>
      <c r="V44" s="700" t="s">
        <v>14</v>
      </c>
      <c r="W44" s="701">
        <f t="shared" si="14"/>
        <v>100</v>
      </c>
      <c r="X44" s="1347"/>
      <c r="Y44" s="3793"/>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791"/>
      <c r="Q45" s="1335">
        <f t="shared" si="11"/>
        <v>111</v>
      </c>
      <c r="R45" s="696" t="s">
        <v>14</v>
      </c>
      <c r="S45" s="697">
        <f t="shared" si="12"/>
        <v>100</v>
      </c>
      <c r="T45" s="696" t="s">
        <v>14</v>
      </c>
      <c r="U45" s="697">
        <f t="shared" si="13"/>
        <v>100</v>
      </c>
      <c r="V45" s="696" t="s">
        <v>14</v>
      </c>
      <c r="W45" s="697">
        <f t="shared" si="14"/>
        <v>100</v>
      </c>
      <c r="X45" s="698"/>
      <c r="Y45" s="3793"/>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791"/>
      <c r="Q46" s="1344">
        <f t="shared" si="11"/>
        <v>111</v>
      </c>
      <c r="R46" s="700" t="s">
        <v>14</v>
      </c>
      <c r="S46" s="701">
        <f t="shared" si="12"/>
        <v>100</v>
      </c>
      <c r="T46" s="700" t="s">
        <v>14</v>
      </c>
      <c r="U46" s="701">
        <f t="shared" si="13"/>
        <v>100</v>
      </c>
      <c r="V46" s="700" t="s">
        <v>14</v>
      </c>
      <c r="W46" s="701">
        <f t="shared" si="14"/>
        <v>100</v>
      </c>
      <c r="X46" s="1347"/>
      <c r="Y46" s="3793"/>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792"/>
      <c r="Q47" s="1344">
        <f t="shared" si="11"/>
        <v>111</v>
      </c>
      <c r="R47" s="700" t="s">
        <v>14</v>
      </c>
      <c r="S47" s="701">
        <f t="shared" si="12"/>
        <v>100</v>
      </c>
      <c r="T47" s="700" t="s">
        <v>14</v>
      </c>
      <c r="U47" s="701">
        <f t="shared" si="13"/>
        <v>100</v>
      </c>
      <c r="V47" s="700" t="s">
        <v>14</v>
      </c>
      <c r="W47" s="701">
        <f t="shared" si="14"/>
        <v>100</v>
      </c>
      <c r="X47" s="1347"/>
      <c r="Y47" s="3794"/>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48">
        <v>27000</v>
      </c>
      <c r="J48" s="433"/>
      <c r="K48" s="709"/>
      <c r="L48" s="2708"/>
      <c r="M48" s="2700"/>
      <c r="N48" s="2700"/>
      <c r="O48" s="2700"/>
      <c r="P48" s="3797" t="str">
        <f>A48</f>
        <v>成交单价（元/平方米）</v>
      </c>
      <c r="Q48" s="3786"/>
      <c r="R48" s="3787">
        <f>E48</f>
        <v>30000</v>
      </c>
      <c r="S48" s="3787"/>
      <c r="T48" s="3787">
        <f>G48</f>
        <v>30000</v>
      </c>
      <c r="U48" s="3787"/>
      <c r="V48" s="3787">
        <f>I48</f>
        <v>27000</v>
      </c>
      <c r="W48" s="3787"/>
      <c r="X48" s="396"/>
      <c r="Y48" s="707"/>
      <c r="Z48" s="396"/>
      <c r="AA48" s="396"/>
      <c r="AB48" s="396"/>
      <c r="AC48" s="574"/>
    </row>
    <row r="49" spans="1:29" ht="15.75" thickBot="1">
      <c r="A49" s="434" t="s">
        <v>1793</v>
      </c>
      <c r="B49" s="435"/>
      <c r="C49" s="1152">
        <f>R50</f>
        <v>29494</v>
      </c>
      <c r="D49" s="2305" t="s">
        <v>2137</v>
      </c>
      <c r="E49" s="1153">
        <f>R49</f>
        <v>29851</v>
      </c>
      <c r="F49" s="2306"/>
      <c r="G49" s="1152">
        <f>T49</f>
        <v>30786</v>
      </c>
      <c r="H49" s="2306"/>
      <c r="I49" s="1153">
        <f>V49</f>
        <v>27846</v>
      </c>
      <c r="J49" s="2306"/>
      <c r="K49" s="2308">
        <f>F49+H49+J49</f>
        <v>0</v>
      </c>
      <c r="L49" s="2708"/>
      <c r="M49" s="2700"/>
      <c r="N49" s="2700"/>
      <c r="O49" s="2700"/>
      <c r="P49" s="3797" t="str">
        <f>A49</f>
        <v>比较价值（元/平方米）</v>
      </c>
      <c r="Q49" s="3786"/>
      <c r="R49" s="3787">
        <f>IF(F1="售价",ROUND(PRODUCT(R48,AA7:AA47),0),ROUND(PRODUCT(R48,AA7:AA47),1))</f>
        <v>29851</v>
      </c>
      <c r="S49" s="3787"/>
      <c r="T49" s="3787">
        <f>IF(F1="售价",ROUND(PRODUCT(T48,AB7:AB47),0),ROUND(PRODUCT(T48,AB7:AB47),1))</f>
        <v>30786</v>
      </c>
      <c r="U49" s="3787"/>
      <c r="V49" s="3787">
        <f>IF(F1="售价",ROUND(PRODUCT(V48,AC7:AC47),0),ROUND(PRODUCT(V48,AC7:AC47),1))</f>
        <v>27846</v>
      </c>
      <c r="W49" s="3787"/>
      <c r="X49" s="396"/>
      <c r="Y49" s="396"/>
      <c r="Z49" s="396"/>
      <c r="AA49" s="396"/>
      <c r="AB49" s="396"/>
      <c r="AC49" s="574"/>
    </row>
    <row r="50" spans="1:29" ht="15.75" thickBot="1">
      <c r="A50" s="438" t="s">
        <v>1794</v>
      </c>
      <c r="B50" s="439"/>
      <c r="C50" s="1155">
        <f>R50</f>
        <v>29494</v>
      </c>
      <c r="D50" s="1155"/>
      <c r="E50" s="1155"/>
      <c r="F50" s="1155"/>
      <c r="G50" s="1155"/>
      <c r="H50" s="1155"/>
      <c r="I50" s="1155"/>
      <c r="J50" s="440"/>
      <c r="K50" s="710"/>
      <c r="L50" s="2708"/>
      <c r="M50" s="2700"/>
      <c r="N50" s="2700"/>
      <c r="O50" s="2700"/>
      <c r="P50" s="3870" t="str">
        <f>A50</f>
        <v>估价对象XX用房的比较价值（楼面单价，元/平方米）</v>
      </c>
      <c r="Q50" s="3871"/>
      <c r="R50" s="3872">
        <f>IF(F1="售价",ROUND(IF(D49="简单平均",AVERAGE(R49:V49),R49*F49+T49*H49+V49*J49),0),ROUND(IF(D49="简单平均",AVERAGE(R49:V49),R49*F49+T49*H49+V49*J49),1))</f>
        <v>29494</v>
      </c>
      <c r="S50" s="3872"/>
      <c r="T50" s="3872"/>
      <c r="U50" s="3872"/>
      <c r="V50" s="3872"/>
      <c r="W50" s="3872"/>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2.6200000000000001E-2</v>
      </c>
      <c r="H53" s="446" t="str">
        <f>IF(OR(G53&gt;=0.3,G53&lt;=-0.3),"超过30%","")</f>
        <v/>
      </c>
      <c r="I53" s="445">
        <f>IF(I48&lt;I49,I49/I48-1,I48/I49-1)</f>
        <v>3.1333333333333435E-2</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3.1322233761013063E-2</v>
      </c>
      <c r="F54" s="446" t="str">
        <f>IF(OR(E54&gt;=0.2,E54&lt;=-0.2),"超过20%","")</f>
        <v/>
      </c>
      <c r="G54" s="445">
        <f>IF(G49&lt;I49,I49/G49-1,G49/I49-1)</f>
        <v>0.105580693815988</v>
      </c>
      <c r="H54" s="446" t="str">
        <f>IF(OR(G54&gt;=0.2,G54&lt;=-0.2),"超过20%","")</f>
        <v/>
      </c>
      <c r="I54" s="445">
        <f>IF(I49&lt;E49,E49/I49-1,I49/E49-1)</f>
        <v>7.2003160238454322E-2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c r="I60" s="458"/>
      <c r="J60" s="458"/>
      <c r="K60" s="458"/>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4297</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97</v>
      </c>
      <c r="E80" s="490">
        <f>D80-$K17</f>
        <v>94</v>
      </c>
      <c r="F80" s="490">
        <f>E80-$K17</f>
        <v>91</v>
      </c>
      <c r="G80" s="490">
        <f>F80-$K17</f>
        <v>88</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98</v>
      </c>
      <c r="E86" s="490">
        <f>D86-$K23</f>
        <v>96</v>
      </c>
      <c r="F86" s="490">
        <f>E86-$K23</f>
        <v>94</v>
      </c>
      <c r="G86" s="490">
        <f>F86-$K23</f>
        <v>92</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4345</v>
      </c>
      <c r="D87" s="3441" t="s">
        <v>4346</v>
      </c>
      <c r="E87" s="3441" t="s">
        <v>4348</v>
      </c>
      <c r="F87" s="3441" t="s">
        <v>4349</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4339</v>
      </c>
      <c r="D89" s="3441" t="s">
        <v>4341</v>
      </c>
      <c r="E89" s="3441" t="s">
        <v>4343</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4298</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4303</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4299</v>
      </c>
      <c r="D108" s="3441" t="s">
        <v>4300</v>
      </c>
      <c r="E108" s="3441" t="s">
        <v>4301</v>
      </c>
      <c r="F108" s="3473" t="s">
        <v>4302</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4304</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4305</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4306</v>
      </c>
      <c r="D117" s="3441" t="s">
        <v>4307</v>
      </c>
      <c r="E117" s="3441" t="s">
        <v>4308</v>
      </c>
      <c r="F117" s="3441" t="s">
        <v>4309</v>
      </c>
      <c r="G117" s="3441" t="s">
        <v>4310</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4312</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4299</v>
      </c>
      <c r="D123" s="3441" t="s">
        <v>4300</v>
      </c>
      <c r="E123" s="3441" t="s">
        <v>4301</v>
      </c>
      <c r="F123" s="3473" t="s">
        <v>4302</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36" sqref="F36"/>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2712.8395999999998</v>
      </c>
      <c r="C2" s="1379" t="s">
        <v>879</v>
      </c>
      <c r="D2" s="1463">
        <f ca="1">C40+J29+L46</f>
        <v>27128396</v>
      </c>
      <c r="E2" s="1380" t="s">
        <v>880</v>
      </c>
      <c r="F2" s="1381"/>
      <c r="G2" s="2690"/>
      <c r="H2" s="2679"/>
      <c r="I2" s="2679"/>
      <c r="J2" s="2679"/>
      <c r="K2" s="2680"/>
      <c r="L2" s="2679"/>
      <c r="M2" s="2679"/>
    </row>
    <row r="3" spans="1:37" ht="18" customHeight="1" thickBot="1">
      <c r="A3" s="1382" t="s">
        <v>806</v>
      </c>
      <c r="B3" s="1383">
        <f ca="1">IF(ISERROR(D2/F43),0,ROUND(D2/F43,0))</f>
        <v>23653</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1508976</v>
      </c>
      <c r="D5" s="1356" t="s">
        <v>889</v>
      </c>
      <c r="E5" s="1063"/>
      <c r="F5" s="1064"/>
      <c r="G5" s="1376"/>
      <c r="H5" s="299">
        <v>1</v>
      </c>
      <c r="I5" s="300" t="s">
        <v>888</v>
      </c>
      <c r="J5" s="1062">
        <f ca="1">J6+J10+J12</f>
        <v>0</v>
      </c>
      <c r="K5" s="1356" t="s">
        <v>889</v>
      </c>
      <c r="L5" s="1063"/>
      <c r="M5" s="1064"/>
    </row>
    <row r="6" spans="1:37" ht="18" customHeight="1">
      <c r="A6" s="1061" t="s">
        <v>398</v>
      </c>
      <c r="B6" s="3840" t="s">
        <v>694</v>
      </c>
      <c r="C6" s="1066">
        <f ca="1">ROUND(F6*F8*F7*(1-F9),0)</f>
        <v>1507092</v>
      </c>
      <c r="D6" s="155" t="s">
        <v>2105</v>
      </c>
      <c r="E6" s="302" t="s">
        <v>696</v>
      </c>
      <c r="F6" s="303">
        <f ca="1">INDIRECT("'数据-取费表'!u"&amp;$G$1)</f>
        <v>4</v>
      </c>
      <c r="G6" s="1376"/>
      <c r="H6" s="1061" t="s">
        <v>398</v>
      </c>
      <c r="I6" s="3840" t="s">
        <v>694</v>
      </c>
      <c r="J6" s="301">
        <f ca="1">ROUND(M6*M8*M7*(1-M9),0)</f>
        <v>0</v>
      </c>
      <c r="K6" s="1368" t="s">
        <v>2106</v>
      </c>
      <c r="L6" s="302" t="s">
        <v>696</v>
      </c>
      <c r="M6" s="303">
        <f ca="1">INDIRECT("'数据-取费表'!z"&amp;$G$1)</f>
        <v>0</v>
      </c>
    </row>
    <row r="7" spans="1:37" ht="18" customHeight="1">
      <c r="A7" s="1065"/>
      <c r="B7" s="3841"/>
      <c r="C7" s="1067"/>
      <c r="D7" s="307"/>
      <c r="E7" s="3502" t="s">
        <v>697</v>
      </c>
      <c r="F7" s="303">
        <f ca="1">IF(INDIRECT("'数据-取费表'!ah"&amp;$G$1)="",INDIRECT("'数据-取费表'!k"&amp;$G$1),INDIRECT("'数据-取费表'!ah"&amp;$G$1))</f>
        <v>1146.95</v>
      </c>
      <c r="G7" s="1376"/>
      <c r="H7" s="304"/>
      <c r="I7" s="3841"/>
      <c r="J7" s="306"/>
      <c r="K7" s="307"/>
      <c r="L7" s="302" t="s">
        <v>697</v>
      </c>
      <c r="M7" s="303">
        <f ca="1">F7</f>
        <v>1146.95</v>
      </c>
    </row>
    <row r="8" spans="1:37" ht="18" customHeight="1">
      <c r="A8" s="304"/>
      <c r="B8" s="3841"/>
      <c r="C8" s="306"/>
      <c r="D8" s="307"/>
      <c r="E8" s="302" t="s">
        <v>698</v>
      </c>
      <c r="F8" s="303">
        <f ca="1">INDIRECT("'数据-取费表'!ai"&amp;$G$1)</f>
        <v>365</v>
      </c>
      <c r="G8" s="1376"/>
      <c r="H8" s="304"/>
      <c r="I8" s="3841"/>
      <c r="J8" s="306"/>
      <c r="K8" s="307"/>
      <c r="L8" s="302" t="s">
        <v>698</v>
      </c>
      <c r="M8" s="303">
        <f ca="1">INDIRECT("'数据-取费表'!ai"&amp;$G$1)</f>
        <v>365</v>
      </c>
    </row>
    <row r="9" spans="1:37" ht="18" customHeight="1">
      <c r="A9" s="304"/>
      <c r="B9" s="3842"/>
      <c r="C9" s="306"/>
      <c r="D9" s="307"/>
      <c r="E9" s="302" t="s">
        <v>699</v>
      </c>
      <c r="F9" s="312">
        <f ca="1">INDIRECT("'数据-取费表'!w"&amp;$G$1)</f>
        <v>0.1</v>
      </c>
      <c r="G9" s="1376"/>
      <c r="H9" s="304"/>
      <c r="I9" s="3842"/>
      <c r="J9" s="306"/>
      <c r="K9" s="307"/>
      <c r="L9" s="313" t="s">
        <v>699</v>
      </c>
      <c r="M9" s="314">
        <f ca="1">INDIRECT("'数据-取费表'!ab"&amp;$G$1)</f>
        <v>0</v>
      </c>
    </row>
    <row r="10" spans="1:37" ht="18" customHeight="1">
      <c r="A10" s="1061" t="s">
        <v>402</v>
      </c>
      <c r="B10" s="1357" t="s">
        <v>700</v>
      </c>
      <c r="C10" s="316">
        <f ca="1">ROUND(IF(F10="押一",C6/12*F11,IF(F10="押二",C6/12*2*F11,IF(F10="押三",C6/12*3*F11,C11*F11))),0)</f>
        <v>1884</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7132537</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5161275</v>
      </c>
      <c r="D14" s="3491" t="s">
        <v>708</v>
      </c>
      <c r="E14" s="3484"/>
      <c r="F14" s="319"/>
      <c r="G14" s="1376"/>
      <c r="H14" s="974" t="s">
        <v>398</v>
      </c>
      <c r="I14" s="302" t="s">
        <v>709</v>
      </c>
      <c r="J14" s="21">
        <f ca="1">C29</f>
        <v>7353131</v>
      </c>
      <c r="K14" s="3500"/>
      <c r="L14" s="799"/>
      <c r="M14" s="800"/>
    </row>
    <row r="15" spans="1:37" s="1389" customFormat="1" ht="18" customHeight="1" thickBot="1">
      <c r="A15" s="974" t="s">
        <v>399</v>
      </c>
      <c r="B15" s="302" t="s">
        <v>710</v>
      </c>
      <c r="C15" s="21">
        <f ca="1">ROUND(C14*F15,0)</f>
        <v>154838</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73531</v>
      </c>
      <c r="K16" s="1079" t="s">
        <v>715</v>
      </c>
      <c r="L16" s="3494"/>
      <c r="M16" s="1064"/>
    </row>
    <row r="17" spans="1:37" s="1389" customFormat="1" ht="18" customHeight="1">
      <c r="A17" s="974" t="s">
        <v>681</v>
      </c>
      <c r="B17" s="302" t="s">
        <v>716</v>
      </c>
      <c r="C17" s="21">
        <f ca="1">ROUND(F17*(F43+INDIRECT("'数据-取费表'!S"&amp;$G$1)),0)</f>
        <v>229390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77419</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5622922</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112458</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73531</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197871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-73531</v>
      </c>
      <c r="K25" s="1087" t="s">
        <v>753</v>
      </c>
      <c r="L25" s="1088"/>
      <c r="M25" s="1089"/>
    </row>
    <row r="26" spans="1:37" ht="18" customHeight="1">
      <c r="A26" s="974" t="s">
        <v>397</v>
      </c>
      <c r="B26" s="302" t="s">
        <v>754</v>
      </c>
      <c r="C26" s="21">
        <f ca="1">ROUND((C19+C20)*F26,0)</f>
        <v>860307</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7353131</v>
      </c>
      <c r="D29" s="1084"/>
      <c r="E29" s="1082"/>
      <c r="F29" s="1085"/>
      <c r="G29" s="1388"/>
      <c r="H29" s="334" t="s">
        <v>396</v>
      </c>
      <c r="I29" s="335" t="s">
        <v>768</v>
      </c>
      <c r="J29" s="336">
        <f ca="1">ROUND(J26/(1+F40)^F41,0)</f>
        <v>0</v>
      </c>
      <c r="K29" s="337" t="s">
        <v>769</v>
      </c>
      <c r="L29" s="338"/>
      <c r="M29" s="339">
        <f ca="1">INDIRECT("'数据-取费表'!k"&amp;$G$1)</f>
        <v>1146.95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347249</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251495</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78943</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172239</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313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商办车库!G4</f>
        <v>208.77</v>
      </c>
      <c r="G35" s="1376"/>
      <c r="H35" s="2681"/>
      <c r="I35" s="1390"/>
      <c r="J35" s="1391"/>
      <c r="K35" s="2685"/>
      <c r="L35" s="2684"/>
      <c r="M35" s="2684"/>
    </row>
    <row r="36" spans="1:18" ht="18" customHeight="1">
      <c r="A36" s="1094" t="s">
        <v>402</v>
      </c>
      <c r="B36" s="302" t="s">
        <v>738</v>
      </c>
      <c r="C36" s="21">
        <f ca="1">ROUND(C29*F36,0)</f>
        <v>73531</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7133</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15090</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1161727</v>
      </c>
      <c r="D39" s="1087" t="s">
        <v>773</v>
      </c>
      <c r="E39" s="1088"/>
      <c r="F39" s="1089"/>
      <c r="G39" s="1376"/>
      <c r="H39" s="2684"/>
      <c r="I39" s="1390"/>
      <c r="J39" s="1391"/>
      <c r="K39" s="2688"/>
      <c r="L39" s="2684"/>
      <c r="M39" s="2684"/>
    </row>
    <row r="40" spans="1:18" ht="18" customHeight="1">
      <c r="A40" s="299" t="s">
        <v>395</v>
      </c>
      <c r="B40" s="300" t="s">
        <v>774</v>
      </c>
      <c r="C40" s="301">
        <f ca="1">ROUND(C39*(1-((1+F42)/(1+F40))^F41)/(F40-F42),0)</f>
        <v>26980663</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23524</v>
      </c>
      <c r="D43" s="337" t="s">
        <v>777</v>
      </c>
      <c r="E43" s="338" t="s">
        <v>778</v>
      </c>
      <c r="F43" s="339">
        <f ca="1">INDIRECT("'数据-取费表'!k"&amp;$G$1)</f>
        <v>1146.95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-2829.2175000000002</v>
      </c>
      <c r="D45" s="3415" t="s">
        <v>3354</v>
      </c>
      <c r="E45" s="1392"/>
      <c r="F45" s="1392"/>
      <c r="O45" s="1395" t="s">
        <v>808</v>
      </c>
      <c r="P45" s="1453"/>
      <c r="Q45" s="1453"/>
      <c r="R45" s="1453"/>
    </row>
    <row r="46" spans="1:18" s="1376" customFormat="1" ht="13.5" thickBot="1">
      <c r="A46" s="1396" t="s">
        <v>809</v>
      </c>
      <c r="C46" s="1397">
        <f ca="1">ROUND(C45,0)</f>
        <v>-2829</v>
      </c>
      <c r="D46" s="1398" t="str">
        <f>C2</f>
        <v>万元</v>
      </c>
      <c r="I46" s="1399" t="s">
        <v>810</v>
      </c>
      <c r="J46" s="1400"/>
      <c r="K46" s="1401"/>
      <c r="L46" s="1402">
        <f ca="1">IF(M47="住宅",0,IF(L48&gt;J51,L60,J60))</f>
        <v>147733</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26980663</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147733</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7353131</v>
      </c>
      <c r="R49" s="1412" t="s">
        <v>818</v>
      </c>
    </row>
    <row r="50" spans="1:18" s="1376" customFormat="1" ht="13.5" thickBot="1">
      <c r="A50" s="968"/>
      <c r="B50" s="971"/>
      <c r="C50" s="972"/>
      <c r="D50" s="945"/>
      <c r="E50" s="1048" t="s">
        <v>697</v>
      </c>
      <c r="F50" s="1049">
        <f ca="1">F7</f>
        <v>1146.95</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12466994</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38" t="s">
        <v>837</v>
      </c>
      <c r="L53" s="3839"/>
      <c r="O53" s="1410" t="s">
        <v>409</v>
      </c>
      <c r="P53" s="1411" t="s">
        <v>838</v>
      </c>
      <c r="Q53" s="1412">
        <f ca="1">Q47+Q48</f>
        <v>27128396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7132537</v>
      </c>
      <c r="D56" s="1439"/>
      <c r="E56" s="1440"/>
      <c r="F56" s="1432"/>
      <c r="I56" s="1441" t="s">
        <v>842</v>
      </c>
      <c r="J56" s="1442" t="s">
        <v>3387</v>
      </c>
      <c r="K56" s="1413" t="s">
        <v>843</v>
      </c>
      <c r="L56" s="1416" t="str">
        <f ca="1">IF(L48&lt;J51,"——",L48-J51)</f>
        <v>——</v>
      </c>
      <c r="O56" s="1410" t="s">
        <v>403</v>
      </c>
      <c r="P56" s="1411" t="s">
        <v>817</v>
      </c>
      <c r="Q56" s="1412">
        <f ca="1">C40+J29</f>
        <v>26980663</v>
      </c>
      <c r="R56" s="1412" t="s">
        <v>818</v>
      </c>
    </row>
    <row r="57" spans="1:18" s="1376" customFormat="1" ht="24.75" thickBot="1">
      <c r="A57" s="1443"/>
      <c r="B57" s="942" t="s">
        <v>767</v>
      </c>
      <c r="C57" s="238">
        <f ca="1">C29</f>
        <v>7353131</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80977</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313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2941252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147733</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313</v>
      </c>
      <c r="D62" s="957" t="s">
        <v>786</v>
      </c>
      <c r="E62" s="942" t="s">
        <v>787</v>
      </c>
      <c r="F62" s="325">
        <f t="shared" si="0"/>
        <v>1.5</v>
      </c>
      <c r="I62" s="1454" t="s">
        <v>858</v>
      </c>
      <c r="J62" s="1455" t="s">
        <v>859</v>
      </c>
      <c r="K62" s="1455" t="s">
        <v>860</v>
      </c>
      <c r="L62" s="1455" t="s">
        <v>861</v>
      </c>
      <c r="M62" s="1456" t="s">
        <v>862</v>
      </c>
      <c r="O62" s="1410" t="s">
        <v>409</v>
      </c>
      <c r="P62" s="1411" t="s">
        <v>863</v>
      </c>
      <c r="Q62" s="1412">
        <f ca="1">Q56+Q57</f>
        <v>26980663</v>
      </c>
      <c r="R62" s="1412" t="s">
        <v>410</v>
      </c>
    </row>
    <row r="63" spans="1:18" s="1376" customFormat="1" ht="13.5" thickBot="1">
      <c r="A63" s="326"/>
      <c r="B63" s="948"/>
      <c r="C63" s="26"/>
      <c r="D63" s="958"/>
      <c r="E63" s="942" t="s">
        <v>788</v>
      </c>
      <c r="F63" s="303">
        <f t="shared" si="0"/>
        <v>208.77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73531</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7133</v>
      </c>
      <c r="D65" s="956" t="s">
        <v>743</v>
      </c>
      <c r="E65" s="942" t="s">
        <v>712</v>
      </c>
      <c r="F65" s="330">
        <f t="shared" ca="1" si="0"/>
        <v>1E-3</v>
      </c>
      <c r="I65" s="1454" t="s">
        <v>867</v>
      </c>
      <c r="J65" s="1455">
        <v>40</v>
      </c>
      <c r="K65" s="1455">
        <v>30</v>
      </c>
      <c r="L65" s="1455">
        <v>50</v>
      </c>
      <c r="M65" s="1457">
        <v>0.02</v>
      </c>
      <c r="O65" s="1410" t="s">
        <v>403</v>
      </c>
      <c r="P65" s="1411" t="s">
        <v>868</v>
      </c>
      <c r="Q65" s="1412">
        <f ca="1">C40+J29</f>
        <v>26980663</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-80977</v>
      </c>
      <c r="D67" s="955" t="s">
        <v>753</v>
      </c>
      <c r="E67" s="960"/>
      <c r="F67" s="961"/>
      <c r="O67" s="1420" t="s">
        <v>405</v>
      </c>
      <c r="P67" s="1411" t="s">
        <v>850</v>
      </c>
      <c r="Q67" s="1458">
        <f ca="1">L51</f>
        <v>12466994</v>
      </c>
      <c r="R67" s="1412" t="s">
        <v>870</v>
      </c>
    </row>
    <row r="68" spans="1:18" s="1376" customFormat="1" ht="16.5" thickBot="1">
      <c r="A68" s="939" t="s">
        <v>395</v>
      </c>
      <c r="B68" s="940" t="s">
        <v>774</v>
      </c>
      <c r="C68" s="301">
        <f ca="1">ROUND(C67*(1-((1+F70)/(1+F68))^F69)/(F68-F70),0)</f>
        <v>-1311512</v>
      </c>
      <c r="D68" s="957" t="s">
        <v>758</v>
      </c>
      <c r="E68" s="942" t="s">
        <v>759</v>
      </c>
      <c r="F68" s="312">
        <f ca="1">F40</f>
        <v>5.5E-2</v>
      </c>
      <c r="O68" s="1420" t="s">
        <v>406</v>
      </c>
      <c r="P68" s="1459" t="s">
        <v>871</v>
      </c>
      <c r="Q68" s="1412">
        <f ca="1">ROUND(Q69-Q70*Q71,0)</f>
        <v>662449</v>
      </c>
      <c r="R68" s="1412" t="s">
        <v>414</v>
      </c>
    </row>
    <row r="69" spans="1:18" s="1376" customFormat="1" ht="13.5" thickBot="1">
      <c r="A69" s="943"/>
      <c r="B69" s="944"/>
      <c r="C69" s="306"/>
      <c r="D69" s="962" t="s">
        <v>762</v>
      </c>
      <c r="E69" s="942" t="s">
        <v>763</v>
      </c>
      <c r="F69" s="333">
        <f ca="1">F41</f>
        <v>41.36</v>
      </c>
      <c r="O69" s="1420" t="s">
        <v>411</v>
      </c>
      <c r="P69" s="1459" t="s">
        <v>872</v>
      </c>
      <c r="Q69" s="1412">
        <f ca="1">C39</f>
        <v>1161727</v>
      </c>
      <c r="R69" s="1412" t="s">
        <v>818</v>
      </c>
    </row>
    <row r="70" spans="1:18" s="1376" customFormat="1" ht="13.5" thickBot="1">
      <c r="A70" s="946"/>
      <c r="B70" s="947"/>
      <c r="C70" s="310"/>
      <c r="D70" s="958"/>
      <c r="E70" s="942" t="s">
        <v>766</v>
      </c>
      <c r="F70" s="1046"/>
      <c r="O70" s="1420" t="s">
        <v>412</v>
      </c>
      <c r="P70" s="1459" t="s">
        <v>873</v>
      </c>
      <c r="Q70" s="1412">
        <f ca="1">C13</f>
        <v>7132537</v>
      </c>
      <c r="R70" s="1412" t="s">
        <v>818</v>
      </c>
    </row>
    <row r="71" spans="1:18" s="1376" customFormat="1" ht="13.5" thickBot="1">
      <c r="A71" s="963" t="s">
        <v>396</v>
      </c>
      <c r="B71" s="964" t="s">
        <v>776</v>
      </c>
      <c r="C71" s="336">
        <f ca="1">ROUND(C68/F71,0)</f>
        <v>-1143</v>
      </c>
      <c r="D71" s="965" t="s">
        <v>777</v>
      </c>
      <c r="E71" s="966" t="s">
        <v>778</v>
      </c>
      <c r="F71" s="339">
        <f ca="1">F43</f>
        <v>1146.95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499278</v>
      </c>
      <c r="D75" s="1376"/>
      <c r="E75" s="1376"/>
      <c r="F75" s="1376"/>
      <c r="K75" s="1394"/>
      <c r="L75" s="1376"/>
      <c r="O75" s="1410" t="s">
        <v>409</v>
      </c>
      <c r="P75" s="1411" t="s">
        <v>838</v>
      </c>
      <c r="Q75" s="1412">
        <f ca="1">Q65+Q66</f>
        <v>26980663</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0.57000000000000006</v>
      </c>
    </row>
    <row r="80" spans="1:18">
      <c r="B80" s="340" t="s">
        <v>800</v>
      </c>
      <c r="C80" s="274">
        <f ca="1">ROUND(C75/C39,3)</f>
        <v>0.43</v>
      </c>
    </row>
    <row r="81" spans="2:3">
      <c r="B81" s="270" t="s">
        <v>801</v>
      </c>
      <c r="C81" s="238"/>
    </row>
    <row r="82" spans="2:3">
      <c r="B82" s="273" t="s">
        <v>802</v>
      </c>
      <c r="C82" s="275">
        <f ca="1">1-C83</f>
        <v>0.73599999999999999</v>
      </c>
    </row>
    <row r="83" spans="2:3">
      <c r="B83" s="273" t="s">
        <v>803</v>
      </c>
      <c r="C83" s="274">
        <f ca="1">ROUND(C13/C40,3)</f>
        <v>0.26400000000000001</v>
      </c>
    </row>
  </sheetData>
  <sheetProtection formatCells="0" formatColumns="0" formatRows="0"/>
  <mergeCells count="3">
    <mergeCell ref="B6:B9"/>
    <mergeCell ref="I6:I9"/>
    <mergeCell ref="K53:L53"/>
  </mergeCells>
  <phoneticPr fontId="134"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67" t="s">
        <v>2084</v>
      </c>
      <c r="D1" s="3868"/>
      <c r="E1" s="3868"/>
      <c r="F1" s="3868"/>
      <c r="G1" s="3868"/>
      <c r="H1" s="3868"/>
      <c r="I1" s="3868"/>
      <c r="J1" s="3868"/>
      <c r="K1" s="3868"/>
      <c r="L1" s="3868"/>
      <c r="M1" s="3868"/>
      <c r="N1" s="3868"/>
      <c r="O1" s="3868"/>
      <c r="P1" s="3868"/>
      <c r="Q1" s="3868"/>
      <c r="R1" s="3868"/>
      <c r="S1" s="3869"/>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3548" t="s">
        <v>4352</v>
      </c>
      <c r="D17" s="3549" t="s">
        <v>4353</v>
      </c>
      <c r="E17" s="3549" t="s">
        <v>4354</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271010</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27711</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97797.649999999892</v>
      </c>
      <c r="C22" s="3864" t="s">
        <v>27</v>
      </c>
      <c r="D22" s="3865"/>
      <c r="E22" s="3865"/>
      <c r="F22" s="3865"/>
      <c r="G22" s="3865"/>
      <c r="H22" s="3865"/>
      <c r="I22" s="3865"/>
      <c r="J22" s="3865"/>
      <c r="K22" s="3865"/>
      <c r="L22" s="3865"/>
      <c r="M22" s="3865"/>
      <c r="N22" s="3865"/>
      <c r="O22" s="3865"/>
      <c r="P22" s="3865"/>
      <c r="Q22" s="3866"/>
      <c r="R22" s="659">
        <f ca="1">ROUND(S22*10000/B22,0)</f>
        <v>27711</v>
      </c>
      <c r="S22" s="21">
        <f ca="1">SUM(S24:S10000)</f>
        <v>271010</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商办车库!E4</f>
        <v>201</v>
      </c>
      <c r="B24" s="3476">
        <f>商办车库!F4</f>
        <v>1146.95</v>
      </c>
      <c r="C24" s="2794">
        <v>1</v>
      </c>
      <c r="D24" s="2795"/>
      <c r="E24" s="2794">
        <v>1</v>
      </c>
      <c r="F24" s="2795"/>
      <c r="G24" s="2794">
        <v>1</v>
      </c>
      <c r="H24" s="2795"/>
      <c r="I24" s="2794">
        <v>1</v>
      </c>
      <c r="J24" s="2795"/>
      <c r="K24" s="2794">
        <v>1</v>
      </c>
      <c r="L24" s="2795"/>
      <c r="M24" s="2794">
        <v>1</v>
      </c>
      <c r="N24" s="2795"/>
      <c r="O24" s="2794">
        <v>1</v>
      </c>
      <c r="P24" s="2795" t="s">
        <v>4342</v>
      </c>
      <c r="Q24" s="2794">
        <v>1</v>
      </c>
      <c r="R24" s="663">
        <f ca="1">结果表办!G20</f>
        <v>27158</v>
      </c>
      <c r="S24" s="661">
        <f t="shared" ref="S24:S87" ca="1" si="6">ROUND(R24*B24/10000,0)</f>
        <v>3115</v>
      </c>
      <c r="T24" s="725" t="str">
        <f>商办车库!H4</f>
        <v>办公</v>
      </c>
      <c r="U24" s="725" t="str">
        <f>商办车库!C2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f>商办车库!E5</f>
        <v>301</v>
      </c>
      <c r="B25" s="2408">
        <f>商办车库!F5</f>
        <v>1117.0999999999999</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4342</v>
      </c>
      <c r="Q25" s="21">
        <f>(SUMIF($17:$17,P25,$18:$18)-SUMIF($17:$17,$P$24,$18:$18)+100)/100</f>
        <v>1</v>
      </c>
      <c r="R25" s="659">
        <f ca="1">IF(B25="",0,ROUND($R$24*C25*E25*G25*I25*K25*M25*O25*Q25,0))</f>
        <v>27158</v>
      </c>
      <c r="S25" s="316">
        <f t="shared" ca="1" si="6"/>
        <v>3034</v>
      </c>
      <c r="T25" s="720" t="str">
        <f>商办车库!H5</f>
        <v>办公</v>
      </c>
    </row>
    <row r="26" spans="1:45">
      <c r="A26" s="2408">
        <f>商办车库!E6</f>
        <v>401</v>
      </c>
      <c r="B26" s="2408">
        <f>商办车库!F6</f>
        <v>1112.98</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4342</v>
      </c>
      <c r="Q26" s="21">
        <f t="shared" ref="Q26:Q89" si="14">(SUMIF($17:$17,P26,$18:$18)-SUMIF($17:$17,$P$24,$18:$18)+100)/100</f>
        <v>1</v>
      </c>
      <c r="R26" s="659">
        <f t="shared" ref="R26:R89" ca="1" si="15">IF(B26="",0,ROUND($R$24*C26*E26*G26*I26*K26*M26*O26*Q26,0))</f>
        <v>27158</v>
      </c>
      <c r="S26" s="316">
        <f t="shared" ca="1" si="6"/>
        <v>3023</v>
      </c>
      <c r="T26" s="720" t="str">
        <f>商办车库!H6</f>
        <v>办公</v>
      </c>
    </row>
    <row r="27" spans="1:45">
      <c r="A27" s="2408">
        <f>商办车库!E7</f>
        <v>501</v>
      </c>
      <c r="B27" s="2408">
        <f>商办车库!F7</f>
        <v>1946.09</v>
      </c>
      <c r="C27" s="21">
        <f t="shared" si="7"/>
        <v>0.995</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4342</v>
      </c>
      <c r="Q27" s="21">
        <f t="shared" si="14"/>
        <v>1</v>
      </c>
      <c r="R27" s="659">
        <f t="shared" ca="1" si="15"/>
        <v>27022</v>
      </c>
      <c r="S27" s="316">
        <f t="shared" ca="1" si="6"/>
        <v>5259</v>
      </c>
      <c r="T27" s="720" t="str">
        <f>商办车库!H7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4342</v>
      </c>
      <c r="Q28" s="21">
        <f t="shared" si="14"/>
        <v>1</v>
      </c>
      <c r="R28" s="659">
        <f t="shared" si="15"/>
        <v>0</v>
      </c>
      <c r="S28" s="316">
        <f t="shared" si="6"/>
        <v>0</v>
      </c>
    </row>
    <row r="29" spans="1:45">
      <c r="A29" s="3550" t="str">
        <f>商办车库!E14</f>
        <v>1单元201</v>
      </c>
      <c r="B29" s="2408">
        <f>商办车库!F14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4342</v>
      </c>
      <c r="Q29" s="21">
        <f t="shared" si="14"/>
        <v>1</v>
      </c>
      <c r="R29" s="659">
        <f t="shared" ca="1" si="15"/>
        <v>27294</v>
      </c>
      <c r="S29" s="316">
        <f t="shared" ca="1" si="6"/>
        <v>1852</v>
      </c>
      <c r="T29" s="720" t="str">
        <f>商办车库!H14</f>
        <v>办公</v>
      </c>
      <c r="U29" s="720" t="str">
        <f>商办车库!C14</f>
        <v>昌平区英才南一街15号院4号楼10层2单元1002等[23]套</v>
      </c>
    </row>
    <row r="30" spans="1:45">
      <c r="A30" s="3550" t="str">
        <f>商办车库!E15</f>
        <v>1单元301</v>
      </c>
      <c r="B30" s="2408">
        <f>商办车库!F15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4342</v>
      </c>
      <c r="Q30" s="21">
        <f t="shared" si="14"/>
        <v>1</v>
      </c>
      <c r="R30" s="659">
        <f t="shared" ca="1" si="15"/>
        <v>27294</v>
      </c>
      <c r="S30" s="316">
        <f t="shared" ca="1" si="6"/>
        <v>1852</v>
      </c>
      <c r="T30" s="720" t="str">
        <f>商办车库!H15</f>
        <v>办公</v>
      </c>
    </row>
    <row r="31" spans="1:45">
      <c r="A31" s="3550" t="str">
        <f>商办车库!E16</f>
        <v>1单元401</v>
      </c>
      <c r="B31" s="2408">
        <f>商办车库!F16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4342</v>
      </c>
      <c r="Q31" s="21">
        <f t="shared" si="14"/>
        <v>1</v>
      </c>
      <c r="R31" s="659">
        <f t="shared" ca="1" si="15"/>
        <v>27294</v>
      </c>
      <c r="S31" s="316">
        <f t="shared" ca="1" si="6"/>
        <v>1981</v>
      </c>
      <c r="T31" s="720" t="str">
        <f>商办车库!H16</f>
        <v>办公</v>
      </c>
    </row>
    <row r="32" spans="1:45">
      <c r="A32" s="3550" t="str">
        <f>商办车库!E17</f>
        <v>1单元501</v>
      </c>
      <c r="B32" s="2408">
        <f>商办车库!F17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4342</v>
      </c>
      <c r="Q32" s="21">
        <f t="shared" si="14"/>
        <v>1</v>
      </c>
      <c r="R32" s="659">
        <f t="shared" ca="1" si="15"/>
        <v>27294</v>
      </c>
      <c r="S32" s="316">
        <f t="shared" ca="1" si="6"/>
        <v>1981</v>
      </c>
      <c r="T32" s="720" t="str">
        <f>商办车库!H17</f>
        <v>办公</v>
      </c>
    </row>
    <row r="33" spans="1:20">
      <c r="A33" s="3550" t="str">
        <f>商办车库!E18</f>
        <v>1单元601</v>
      </c>
      <c r="B33" s="2408">
        <f>商办车库!F18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4342</v>
      </c>
      <c r="Q33" s="21">
        <f t="shared" si="14"/>
        <v>1</v>
      </c>
      <c r="R33" s="659">
        <f t="shared" ca="1" si="15"/>
        <v>27294</v>
      </c>
      <c r="S33" s="316">
        <f t="shared" ca="1" si="6"/>
        <v>1981</v>
      </c>
      <c r="T33" s="720" t="str">
        <f>商办车库!H18</f>
        <v>办公</v>
      </c>
    </row>
    <row r="34" spans="1:20">
      <c r="A34" s="3550" t="str">
        <f>商办车库!E19</f>
        <v>1单元701</v>
      </c>
      <c r="B34" s="2408">
        <f>商办车库!F19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4340</v>
      </c>
      <c r="Q34" s="21">
        <f t="shared" si="14"/>
        <v>1.03</v>
      </c>
      <c r="R34" s="659">
        <f t="shared" ca="1" si="15"/>
        <v>28113</v>
      </c>
      <c r="S34" s="316">
        <f t="shared" ca="1" si="6"/>
        <v>2040</v>
      </c>
      <c r="T34" s="720" t="str">
        <f>商办车库!H19</f>
        <v>办公</v>
      </c>
    </row>
    <row r="35" spans="1:20">
      <c r="A35" s="3550" t="str">
        <f>商办车库!E20</f>
        <v>1单元801</v>
      </c>
      <c r="B35" s="2408">
        <f>商办车库!F20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4340</v>
      </c>
      <c r="Q35" s="21">
        <f t="shared" si="14"/>
        <v>1.03</v>
      </c>
      <c r="R35" s="659">
        <f t="shared" ca="1" si="15"/>
        <v>28113</v>
      </c>
      <c r="S35" s="316">
        <f t="shared" ca="1" si="6"/>
        <v>2040</v>
      </c>
      <c r="T35" s="720" t="str">
        <f>商办车库!H20</f>
        <v>办公</v>
      </c>
    </row>
    <row r="36" spans="1:20">
      <c r="A36" s="3550" t="str">
        <f>商办车库!E21</f>
        <v>2单元302</v>
      </c>
      <c r="B36" s="2408">
        <f>商办车库!F21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4342</v>
      </c>
      <c r="Q36" s="21">
        <f t="shared" si="14"/>
        <v>1</v>
      </c>
      <c r="R36" s="659">
        <f t="shared" ca="1" si="15"/>
        <v>27294</v>
      </c>
      <c r="S36" s="316">
        <f t="shared" ca="1" si="6"/>
        <v>2449</v>
      </c>
      <c r="T36" s="720" t="str">
        <f>商办车库!H21</f>
        <v>办公</v>
      </c>
    </row>
    <row r="37" spans="1:20">
      <c r="A37" s="3550" t="str">
        <f>商办车库!E22</f>
        <v>2单元402</v>
      </c>
      <c r="B37" s="2408">
        <f>商办车库!F22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4342</v>
      </c>
      <c r="Q37" s="21">
        <f t="shared" si="14"/>
        <v>1</v>
      </c>
      <c r="R37" s="659">
        <f t="shared" ca="1" si="15"/>
        <v>27294</v>
      </c>
      <c r="S37" s="316">
        <f t="shared" ca="1" si="6"/>
        <v>2519</v>
      </c>
      <c r="T37" s="720" t="str">
        <f>商办车库!H22</f>
        <v>办公</v>
      </c>
    </row>
    <row r="38" spans="1:20">
      <c r="A38" s="3550" t="str">
        <f>商办车库!E23</f>
        <v>2单元502</v>
      </c>
      <c r="B38" s="2408">
        <f>商办车库!F23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4342</v>
      </c>
      <c r="Q38" s="21">
        <f t="shared" si="14"/>
        <v>1</v>
      </c>
      <c r="R38" s="659">
        <f t="shared" ca="1" si="15"/>
        <v>27294</v>
      </c>
      <c r="S38" s="316">
        <f t="shared" ca="1" si="6"/>
        <v>2519</v>
      </c>
      <c r="T38" s="720" t="str">
        <f>商办车库!H23</f>
        <v>办公</v>
      </c>
    </row>
    <row r="39" spans="1:20">
      <c r="A39" s="3550" t="str">
        <f>商办车库!E24</f>
        <v>2单元602</v>
      </c>
      <c r="B39" s="2408">
        <f>商办车库!F24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4342</v>
      </c>
      <c r="Q39" s="21">
        <f t="shared" si="14"/>
        <v>1</v>
      </c>
      <c r="R39" s="659">
        <f t="shared" ca="1" si="15"/>
        <v>27294</v>
      </c>
      <c r="S39" s="316">
        <f t="shared" ca="1" si="6"/>
        <v>2519</v>
      </c>
      <c r="T39" s="720" t="str">
        <f>商办车库!H24</f>
        <v>办公</v>
      </c>
    </row>
    <row r="40" spans="1:20">
      <c r="A40" s="3550" t="str">
        <f>商办车库!E25</f>
        <v>2单元702</v>
      </c>
      <c r="B40" s="2408">
        <f>商办车库!F25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4340</v>
      </c>
      <c r="Q40" s="21">
        <f t="shared" si="14"/>
        <v>1.03</v>
      </c>
      <c r="R40" s="659">
        <f t="shared" ca="1" si="15"/>
        <v>28113</v>
      </c>
      <c r="S40" s="316">
        <f t="shared" ca="1" si="6"/>
        <v>2595</v>
      </c>
      <c r="T40" s="720" t="str">
        <f>商办车库!H25</f>
        <v>办公</v>
      </c>
    </row>
    <row r="41" spans="1:20">
      <c r="A41" s="3550" t="str">
        <f>商办车库!E26</f>
        <v>2单元802</v>
      </c>
      <c r="B41" s="2408">
        <f>商办车库!F26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4340</v>
      </c>
      <c r="Q41" s="21">
        <f t="shared" si="14"/>
        <v>1.03</v>
      </c>
      <c r="R41" s="659">
        <f t="shared" ca="1" si="15"/>
        <v>28113</v>
      </c>
      <c r="S41" s="316">
        <f t="shared" ca="1" si="6"/>
        <v>2595</v>
      </c>
      <c r="T41" s="720" t="str">
        <f>商办车库!H26</f>
        <v>办公</v>
      </c>
    </row>
    <row r="42" spans="1:20">
      <c r="A42" s="3550" t="str">
        <f>商办车库!E27</f>
        <v>2单元902</v>
      </c>
      <c r="B42" s="2408">
        <f>商办车库!F27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4340</v>
      </c>
      <c r="Q42" s="21">
        <f t="shared" si="14"/>
        <v>1.03</v>
      </c>
      <c r="R42" s="659">
        <f t="shared" ca="1" si="15"/>
        <v>28113</v>
      </c>
      <c r="S42" s="316">
        <f t="shared" ca="1" si="6"/>
        <v>2595</v>
      </c>
      <c r="T42" s="720" t="str">
        <f>商办车库!H27</f>
        <v>办公</v>
      </c>
    </row>
    <row r="43" spans="1:20">
      <c r="A43" s="3550" t="str">
        <f>商办车库!E28</f>
        <v>2单元1002</v>
      </c>
      <c r="B43" s="2408">
        <f>商办车库!F28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4340</v>
      </c>
      <c r="Q43" s="21">
        <f t="shared" si="14"/>
        <v>1.03</v>
      </c>
      <c r="R43" s="659">
        <f t="shared" ca="1" si="15"/>
        <v>28113</v>
      </c>
      <c r="S43" s="316">
        <f t="shared" ca="1" si="6"/>
        <v>2595</v>
      </c>
      <c r="T43" s="720" t="str">
        <f>商办车库!H28</f>
        <v>办公</v>
      </c>
    </row>
    <row r="44" spans="1:20">
      <c r="A44" s="3550" t="str">
        <f>商办车库!E29</f>
        <v>2单元1102</v>
      </c>
      <c r="B44" s="2408">
        <f>商办车库!F29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4340</v>
      </c>
      <c r="Q44" s="21">
        <f t="shared" si="14"/>
        <v>1.03</v>
      </c>
      <c r="R44" s="659">
        <f t="shared" ca="1" si="15"/>
        <v>28113</v>
      </c>
      <c r="S44" s="316">
        <f t="shared" ca="1" si="6"/>
        <v>2595</v>
      </c>
      <c r="T44" s="720" t="str">
        <f>商办车库!H29</f>
        <v>办公</v>
      </c>
    </row>
    <row r="45" spans="1:20">
      <c r="A45" s="3550" t="str">
        <f>商办车库!E30</f>
        <v>2单元1202</v>
      </c>
      <c r="B45" s="2408">
        <f>商办车库!F30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4338</v>
      </c>
      <c r="Q45" s="21">
        <f t="shared" si="14"/>
        <v>1.06</v>
      </c>
      <c r="R45" s="659">
        <f t="shared" ca="1" si="15"/>
        <v>28931</v>
      </c>
      <c r="S45" s="316">
        <f t="shared" ca="1" si="6"/>
        <v>2670</v>
      </c>
      <c r="T45" s="720" t="str">
        <f>商办车库!H30</f>
        <v>办公</v>
      </c>
    </row>
    <row r="46" spans="1:20">
      <c r="A46" s="3550" t="str">
        <f>商办车库!E31</f>
        <v>2单元1302</v>
      </c>
      <c r="B46" s="2408">
        <f>商办车库!F31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4338</v>
      </c>
      <c r="Q46" s="21">
        <f t="shared" si="14"/>
        <v>1.06</v>
      </c>
      <c r="R46" s="659">
        <f t="shared" ca="1" si="15"/>
        <v>28931</v>
      </c>
      <c r="S46" s="316">
        <f t="shared" ca="1" si="6"/>
        <v>2670</v>
      </c>
      <c r="T46" s="720" t="str">
        <f>商办车库!H31</f>
        <v>办公</v>
      </c>
    </row>
    <row r="47" spans="1:20">
      <c r="A47" s="3550" t="str">
        <f>商办车库!E32</f>
        <v>2单元1402</v>
      </c>
      <c r="B47" s="2408">
        <f>商办车库!F32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4338</v>
      </c>
      <c r="Q47" s="21">
        <f t="shared" si="14"/>
        <v>1.06</v>
      </c>
      <c r="R47" s="659">
        <f t="shared" ca="1" si="15"/>
        <v>28931</v>
      </c>
      <c r="S47" s="316">
        <f t="shared" ca="1" si="6"/>
        <v>2670</v>
      </c>
      <c r="T47" s="720" t="str">
        <f>商办车库!H32</f>
        <v>办公</v>
      </c>
    </row>
    <row r="48" spans="1:20">
      <c r="A48" s="3551" t="s">
        <v>4333</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50">
        <v>301</v>
      </c>
      <c r="B49" s="2408">
        <f>商办车库!F288</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4342</v>
      </c>
      <c r="Q49" s="21">
        <f t="shared" si="14"/>
        <v>1</v>
      </c>
      <c r="R49" s="659">
        <f t="shared" ca="1" si="15"/>
        <v>27158</v>
      </c>
      <c r="S49" s="316">
        <f t="shared" ca="1" si="6"/>
        <v>3665</v>
      </c>
      <c r="T49" s="720" t="str">
        <f>商办车库!H288</f>
        <v>办公</v>
      </c>
      <c r="U49" s="720" t="str">
        <f>商办车库!C284</f>
        <v>昌平区英才南二街15号院1号楼1层103等[12]套</v>
      </c>
    </row>
    <row r="50" spans="1:21">
      <c r="A50" s="2408">
        <v>401</v>
      </c>
      <c r="B50" s="2408">
        <f>商办车库!F289</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4342</v>
      </c>
      <c r="Q50" s="21">
        <f t="shared" si="14"/>
        <v>1</v>
      </c>
      <c r="R50" s="659">
        <f t="shared" ca="1" si="15"/>
        <v>27158</v>
      </c>
      <c r="S50" s="316">
        <f t="shared" ca="1" si="6"/>
        <v>3665</v>
      </c>
      <c r="T50" s="720" t="str">
        <f>商办车库!H289</f>
        <v>办公</v>
      </c>
    </row>
    <row r="51" spans="1:21">
      <c r="A51" s="2408">
        <v>501</v>
      </c>
      <c r="B51" s="2408">
        <f>商办车库!F290</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4342</v>
      </c>
      <c r="Q51" s="21">
        <f t="shared" si="14"/>
        <v>1</v>
      </c>
      <c r="R51" s="659">
        <f t="shared" ca="1" si="15"/>
        <v>27158</v>
      </c>
      <c r="S51" s="316">
        <f t="shared" ca="1" si="6"/>
        <v>3665</v>
      </c>
      <c r="T51" s="720" t="str">
        <f>商办车库!H290</f>
        <v>办公</v>
      </c>
    </row>
    <row r="52" spans="1:21">
      <c r="A52" s="2408">
        <v>601</v>
      </c>
      <c r="B52" s="2408">
        <f>商办车库!F291</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4342</v>
      </c>
      <c r="Q52" s="21">
        <f t="shared" si="14"/>
        <v>1</v>
      </c>
      <c r="R52" s="659">
        <f t="shared" ca="1" si="15"/>
        <v>27158</v>
      </c>
      <c r="S52" s="316">
        <f t="shared" ca="1" si="6"/>
        <v>3665</v>
      </c>
      <c r="T52" s="720" t="str">
        <f>商办车库!H291</f>
        <v>办公</v>
      </c>
    </row>
    <row r="53" spans="1:21">
      <c r="A53" s="2408">
        <v>701</v>
      </c>
      <c r="B53" s="2408">
        <f>商办车库!F292</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4342</v>
      </c>
      <c r="Q53" s="21">
        <f t="shared" si="14"/>
        <v>1</v>
      </c>
      <c r="R53" s="659">
        <f t="shared" ca="1" si="15"/>
        <v>27158</v>
      </c>
      <c r="S53" s="316">
        <f t="shared" ca="1" si="6"/>
        <v>3665</v>
      </c>
      <c r="T53" s="720" t="str">
        <f>商办车库!H292</f>
        <v>办公</v>
      </c>
    </row>
    <row r="54" spans="1:21">
      <c r="A54" s="2408">
        <v>801</v>
      </c>
      <c r="B54" s="2408">
        <f>商办车库!F293</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4340</v>
      </c>
      <c r="Q54" s="21">
        <f t="shared" si="14"/>
        <v>1.03</v>
      </c>
      <c r="R54" s="659">
        <f t="shared" ca="1" si="15"/>
        <v>27973</v>
      </c>
      <c r="S54" s="316">
        <f t="shared" ca="1" si="6"/>
        <v>3775</v>
      </c>
      <c r="T54" s="720" t="str">
        <f>商办车库!H293</f>
        <v>办公</v>
      </c>
    </row>
    <row r="55" spans="1:21">
      <c r="A55" s="2408">
        <v>901</v>
      </c>
      <c r="B55" s="2408">
        <f>商办车库!F294</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4340</v>
      </c>
      <c r="Q55" s="21">
        <f t="shared" si="14"/>
        <v>1.03</v>
      </c>
      <c r="R55" s="659">
        <f t="shared" ca="1" si="15"/>
        <v>27973</v>
      </c>
      <c r="S55" s="316">
        <f t="shared" ca="1" si="6"/>
        <v>3775</v>
      </c>
      <c r="T55" s="720" t="str">
        <f>商办车库!H294</f>
        <v>办公</v>
      </c>
    </row>
    <row r="56" spans="1:21">
      <c r="A56" s="2408">
        <v>1001</v>
      </c>
      <c r="B56" s="2408">
        <f>商办车库!F295</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4340</v>
      </c>
      <c r="Q56" s="21">
        <f t="shared" si="14"/>
        <v>1.03</v>
      </c>
      <c r="R56" s="659">
        <f t="shared" ca="1" si="15"/>
        <v>27973</v>
      </c>
      <c r="S56" s="316">
        <f t="shared" ca="1" si="6"/>
        <v>3775</v>
      </c>
      <c r="T56" s="720" t="str">
        <f>商办车库!H295</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商办车库!H296</f>
        <v>0</v>
      </c>
    </row>
    <row r="58" spans="1:21">
      <c r="A58" s="150" t="str">
        <f>商办车库!E297</f>
        <v>1单元301</v>
      </c>
      <c r="B58" s="2408">
        <f>商办车库!F297</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4342</v>
      </c>
      <c r="Q58" s="21">
        <f t="shared" si="14"/>
        <v>1</v>
      </c>
      <c r="R58" s="659">
        <f t="shared" ca="1" si="15"/>
        <v>27430</v>
      </c>
      <c r="S58" s="316">
        <f t="shared" ca="1" si="6"/>
        <v>899</v>
      </c>
      <c r="T58" s="720" t="str">
        <f>商办车库!H297</f>
        <v>办公</v>
      </c>
      <c r="U58" s="720" t="str">
        <f>商办车库!C297</f>
        <v>昌平区英才南二街15号院2号楼5层2单元501等[34]套</v>
      </c>
    </row>
    <row r="59" spans="1:21">
      <c r="A59" s="150" t="str">
        <f>商办车库!E298</f>
        <v>1单元302</v>
      </c>
      <c r="B59" s="2408">
        <f>商办车库!F298</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4342</v>
      </c>
      <c r="Q59" s="21">
        <f t="shared" si="14"/>
        <v>1</v>
      </c>
      <c r="R59" s="659">
        <f t="shared" ca="1" si="15"/>
        <v>27430</v>
      </c>
      <c r="S59" s="316">
        <f t="shared" ca="1" si="6"/>
        <v>916</v>
      </c>
      <c r="T59" s="720" t="str">
        <f>商办车库!H298</f>
        <v>办公</v>
      </c>
    </row>
    <row r="60" spans="1:21">
      <c r="A60" s="150" t="str">
        <f>商办车库!E299</f>
        <v>1单元303</v>
      </c>
      <c r="B60" s="2408">
        <f>商办车库!F299</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4342</v>
      </c>
      <c r="Q60" s="21">
        <f t="shared" si="14"/>
        <v>1</v>
      </c>
      <c r="R60" s="659">
        <f t="shared" ca="1" si="15"/>
        <v>27158</v>
      </c>
      <c r="S60" s="316">
        <f t="shared" ca="1" si="6"/>
        <v>3809</v>
      </c>
      <c r="T60" s="720" t="str">
        <f>商办车库!H299</f>
        <v>办公</v>
      </c>
    </row>
    <row r="61" spans="1:21">
      <c r="A61" s="150" t="str">
        <f>商办车库!E300</f>
        <v>1单元401</v>
      </c>
      <c r="B61" s="2408">
        <f>商办车库!F300</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4342</v>
      </c>
      <c r="Q61" s="21">
        <f t="shared" si="14"/>
        <v>1</v>
      </c>
      <c r="R61" s="659">
        <f t="shared" ca="1" si="15"/>
        <v>27022</v>
      </c>
      <c r="S61" s="316">
        <f t="shared" ca="1" si="6"/>
        <v>4425</v>
      </c>
      <c r="T61" s="720" t="str">
        <f>商办车库!H300</f>
        <v>办公</v>
      </c>
    </row>
    <row r="62" spans="1:21">
      <c r="A62" s="150" t="str">
        <f>商办车库!E301</f>
        <v>1单元501</v>
      </c>
      <c r="B62" s="2408">
        <f>商办车库!F301</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4342</v>
      </c>
      <c r="Q62" s="21">
        <f t="shared" si="14"/>
        <v>1</v>
      </c>
      <c r="R62" s="659">
        <f t="shared" ca="1" si="15"/>
        <v>27022</v>
      </c>
      <c r="S62" s="316">
        <f t="shared" ca="1" si="6"/>
        <v>4641</v>
      </c>
      <c r="T62" s="720" t="str">
        <f>商办车库!H301</f>
        <v>办公</v>
      </c>
    </row>
    <row r="63" spans="1:21">
      <c r="A63" s="150" t="str">
        <f>商办车库!E302</f>
        <v>1单元601</v>
      </c>
      <c r="B63" s="2408">
        <f>商办车库!F302</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4342</v>
      </c>
      <c r="Q63" s="21">
        <f t="shared" si="14"/>
        <v>1</v>
      </c>
      <c r="R63" s="659">
        <f t="shared" ca="1" si="15"/>
        <v>27022</v>
      </c>
      <c r="S63" s="316">
        <f t="shared" ca="1" si="6"/>
        <v>4641</v>
      </c>
      <c r="T63" s="720" t="str">
        <f>商办车库!H302</f>
        <v>办公</v>
      </c>
    </row>
    <row r="64" spans="1:21">
      <c r="A64" s="150" t="str">
        <f>商办车库!E303</f>
        <v>1单元701</v>
      </c>
      <c r="B64" s="2408">
        <f>商办车库!F303</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4340</v>
      </c>
      <c r="Q64" s="21">
        <f t="shared" si="14"/>
        <v>1.03</v>
      </c>
      <c r="R64" s="659">
        <f t="shared" ca="1" si="15"/>
        <v>27833</v>
      </c>
      <c r="S64" s="316">
        <f t="shared" ca="1" si="6"/>
        <v>4780</v>
      </c>
      <c r="T64" s="720" t="str">
        <f>商办车库!H303</f>
        <v>办公</v>
      </c>
    </row>
    <row r="65" spans="1:20">
      <c r="A65" s="150" t="str">
        <f>商办车库!E304</f>
        <v>1单元801</v>
      </c>
      <c r="B65" s="2408">
        <f>商办车库!F304</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4340</v>
      </c>
      <c r="Q65" s="21">
        <f t="shared" si="14"/>
        <v>1.03</v>
      </c>
      <c r="R65" s="659">
        <f t="shared" ca="1" si="15"/>
        <v>27833</v>
      </c>
      <c r="S65" s="316">
        <f t="shared" ca="1" si="6"/>
        <v>4780</v>
      </c>
      <c r="T65" s="720" t="str">
        <f>商办车库!H304</f>
        <v>办公</v>
      </c>
    </row>
    <row r="66" spans="1:20">
      <c r="A66" s="150" t="str">
        <f>商办车库!E305</f>
        <v>1单元901</v>
      </c>
      <c r="B66" s="2408">
        <f>商办车库!F305</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4340</v>
      </c>
      <c r="Q66" s="21">
        <f t="shared" si="14"/>
        <v>1.03</v>
      </c>
      <c r="R66" s="659">
        <f t="shared" ca="1" si="15"/>
        <v>27833</v>
      </c>
      <c r="S66" s="316">
        <f t="shared" ca="1" si="6"/>
        <v>4780</v>
      </c>
      <c r="T66" s="720" t="str">
        <f>商办车库!H305</f>
        <v>办公</v>
      </c>
    </row>
    <row r="67" spans="1:20">
      <c r="A67" s="150" t="str">
        <f>商办车库!E306</f>
        <v>1单元1001</v>
      </c>
      <c r="B67" s="2408">
        <f>商办车库!F306</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4340</v>
      </c>
      <c r="Q67" s="21">
        <f t="shared" si="14"/>
        <v>1.03</v>
      </c>
      <c r="R67" s="659">
        <f t="shared" ca="1" si="15"/>
        <v>27833</v>
      </c>
      <c r="S67" s="316">
        <f t="shared" ca="1" si="6"/>
        <v>4780</v>
      </c>
      <c r="T67" s="720" t="str">
        <f>商办车库!H306</f>
        <v>办公</v>
      </c>
    </row>
    <row r="68" spans="1:20">
      <c r="A68" s="150" t="str">
        <f>商办车库!E307</f>
        <v>1单元1101</v>
      </c>
      <c r="B68" s="2408">
        <f>商办车库!F307</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4340</v>
      </c>
      <c r="Q68" s="21">
        <f t="shared" si="14"/>
        <v>1.03</v>
      </c>
      <c r="R68" s="659">
        <f t="shared" ca="1" si="15"/>
        <v>27833</v>
      </c>
      <c r="S68" s="316">
        <f t="shared" ca="1" si="6"/>
        <v>4780</v>
      </c>
      <c r="T68" s="720" t="str">
        <f>商办车库!H307</f>
        <v>办公</v>
      </c>
    </row>
    <row r="69" spans="1:20">
      <c r="A69" s="150" t="str">
        <f>商办车库!E308</f>
        <v>1单元1201</v>
      </c>
      <c r="B69" s="2408">
        <f>商办车库!F308</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4340</v>
      </c>
      <c r="Q69" s="21">
        <f t="shared" si="14"/>
        <v>1.03</v>
      </c>
      <c r="R69" s="659">
        <f t="shared" ca="1" si="15"/>
        <v>27833</v>
      </c>
      <c r="S69" s="316">
        <f t="shared" ca="1" si="6"/>
        <v>4780</v>
      </c>
      <c r="T69" s="720" t="str">
        <f>商办车库!H308</f>
        <v>办公</v>
      </c>
    </row>
    <row r="70" spans="1:20">
      <c r="A70" s="150" t="str">
        <f>商办车库!E309</f>
        <v>1单元1301</v>
      </c>
      <c r="B70" s="2408">
        <f>商办车库!F309</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4338</v>
      </c>
      <c r="Q70" s="21">
        <f t="shared" si="14"/>
        <v>1.06</v>
      </c>
      <c r="R70" s="659">
        <f t="shared" ca="1" si="15"/>
        <v>28644</v>
      </c>
      <c r="S70" s="316">
        <f t="shared" ca="1" si="6"/>
        <v>4920</v>
      </c>
      <c r="T70" s="720" t="str">
        <f>商办车库!H309</f>
        <v>办公</v>
      </c>
    </row>
    <row r="71" spans="1:20">
      <c r="A71" s="150" t="str">
        <f>商办车库!E310</f>
        <v>1单元1401</v>
      </c>
      <c r="B71" s="2408">
        <f>商办车库!F310</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4338</v>
      </c>
      <c r="Q71" s="21">
        <f t="shared" si="14"/>
        <v>1.06</v>
      </c>
      <c r="R71" s="659">
        <f t="shared" ca="1" si="15"/>
        <v>28787</v>
      </c>
      <c r="S71" s="316">
        <f t="shared" ca="1" si="6"/>
        <v>2901</v>
      </c>
      <c r="T71" s="720" t="str">
        <f>商办车库!H310</f>
        <v>办公</v>
      </c>
    </row>
    <row r="72" spans="1:20">
      <c r="A72" s="150" t="str">
        <f>商办车库!E311</f>
        <v>1单元1501</v>
      </c>
      <c r="B72" s="2408">
        <f>商办车库!F311</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4338</v>
      </c>
      <c r="Q72" s="21">
        <f t="shared" si="14"/>
        <v>1.06</v>
      </c>
      <c r="R72" s="659">
        <f t="shared" ca="1" si="15"/>
        <v>28787</v>
      </c>
      <c r="S72" s="316">
        <f t="shared" ca="1" si="6"/>
        <v>2901</v>
      </c>
      <c r="T72" s="720" t="str">
        <f>商办车库!H311</f>
        <v>办公</v>
      </c>
    </row>
    <row r="73" spans="1:20">
      <c r="A73" s="150" t="str">
        <f>商办车库!E312</f>
        <v>1单元1601</v>
      </c>
      <c r="B73" s="2408">
        <f>商办车库!F312</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4338</v>
      </c>
      <c r="Q73" s="21">
        <f t="shared" si="14"/>
        <v>1.06</v>
      </c>
      <c r="R73" s="659">
        <f t="shared" ca="1" si="15"/>
        <v>28644</v>
      </c>
      <c r="S73" s="316">
        <f t="shared" ca="1" si="6"/>
        <v>4920</v>
      </c>
      <c r="T73" s="720" t="str">
        <f>商办车库!H312</f>
        <v>办公</v>
      </c>
    </row>
    <row r="74" spans="1:20">
      <c r="A74" s="150" t="str">
        <f>商办车库!E313</f>
        <v>1单元1701</v>
      </c>
      <c r="B74" s="2408">
        <f>商办车库!F313</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4338</v>
      </c>
      <c r="Q74" s="21">
        <f t="shared" si="14"/>
        <v>1.06</v>
      </c>
      <c r="R74" s="659">
        <f t="shared" ca="1" si="15"/>
        <v>28644</v>
      </c>
      <c r="S74" s="316">
        <f t="shared" ca="1" si="6"/>
        <v>4920</v>
      </c>
      <c r="T74" s="720" t="str">
        <f>商办车库!H313</f>
        <v>办公</v>
      </c>
    </row>
    <row r="75" spans="1:20">
      <c r="A75" s="150" t="str">
        <f>商办车库!E314</f>
        <v>1单元1801</v>
      </c>
      <c r="B75" s="2408">
        <f>商办车库!F314</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4338</v>
      </c>
      <c r="Q75" s="21">
        <f t="shared" si="14"/>
        <v>1.06</v>
      </c>
      <c r="R75" s="659">
        <f t="shared" ca="1" si="15"/>
        <v>28644</v>
      </c>
      <c r="S75" s="316">
        <f t="shared" ca="1" si="6"/>
        <v>4920</v>
      </c>
      <c r="T75" s="720" t="str">
        <f>商办车库!H314</f>
        <v>办公</v>
      </c>
    </row>
    <row r="76" spans="1:20">
      <c r="A76" s="150" t="str">
        <f>商办车库!E315</f>
        <v>2单元301</v>
      </c>
      <c r="B76" s="2408">
        <f>商办车库!F315</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4342</v>
      </c>
      <c r="Q76" s="21">
        <f t="shared" si="14"/>
        <v>1</v>
      </c>
      <c r="R76" s="659">
        <f t="shared" ca="1" si="15"/>
        <v>27022</v>
      </c>
      <c r="S76" s="316">
        <f t="shared" ca="1" si="6"/>
        <v>5159</v>
      </c>
      <c r="T76" s="720" t="str">
        <f>商办车库!H315</f>
        <v>办公</v>
      </c>
    </row>
    <row r="77" spans="1:20">
      <c r="A77" s="150" t="str">
        <f>商办车库!E316</f>
        <v>2单元401</v>
      </c>
      <c r="B77" s="2408">
        <f>商办车库!F316</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4342</v>
      </c>
      <c r="Q77" s="21">
        <f t="shared" si="14"/>
        <v>1</v>
      </c>
      <c r="R77" s="659">
        <f t="shared" ca="1" si="15"/>
        <v>26886</v>
      </c>
      <c r="S77" s="316">
        <f t="shared" ca="1" si="6"/>
        <v>5709</v>
      </c>
      <c r="T77" s="720" t="str">
        <f>商办车库!H316</f>
        <v>办公</v>
      </c>
    </row>
    <row r="78" spans="1:20">
      <c r="A78" s="150" t="str">
        <f>商办车库!E317</f>
        <v>2单元501</v>
      </c>
      <c r="B78" s="2408">
        <f>商办车库!F317</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4342</v>
      </c>
      <c r="Q78" s="21">
        <f t="shared" si="14"/>
        <v>1</v>
      </c>
      <c r="R78" s="659">
        <f t="shared" ca="1" si="15"/>
        <v>26886</v>
      </c>
      <c r="S78" s="316">
        <f t="shared" ca="1" si="6"/>
        <v>6701</v>
      </c>
      <c r="T78" s="720" t="str">
        <f>商办车库!H317</f>
        <v>办公</v>
      </c>
    </row>
    <row r="79" spans="1:20">
      <c r="A79" s="150" t="str">
        <f>商办车库!E318</f>
        <v>2单元601</v>
      </c>
      <c r="B79" s="2408">
        <f>商办车库!F318</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4342</v>
      </c>
      <c r="Q79" s="21">
        <f t="shared" si="14"/>
        <v>1</v>
      </c>
      <c r="R79" s="659">
        <f t="shared" ca="1" si="15"/>
        <v>26886</v>
      </c>
      <c r="S79" s="316">
        <f t="shared" ca="1" si="6"/>
        <v>6701</v>
      </c>
      <c r="T79" s="720" t="str">
        <f>商办车库!H318</f>
        <v>办公</v>
      </c>
    </row>
    <row r="80" spans="1:20">
      <c r="A80" s="150" t="str">
        <f>商办车库!E319</f>
        <v>2单元701</v>
      </c>
      <c r="B80" s="2408">
        <f>商办车库!F319</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4340</v>
      </c>
      <c r="Q80" s="21">
        <f t="shared" si="14"/>
        <v>1.03</v>
      </c>
      <c r="R80" s="659">
        <f t="shared" ca="1" si="15"/>
        <v>27693</v>
      </c>
      <c r="S80" s="316">
        <f t="shared" ca="1" si="6"/>
        <v>6902</v>
      </c>
      <c r="T80" s="720" t="str">
        <f>商办车库!H319</f>
        <v>办公</v>
      </c>
    </row>
    <row r="81" spans="1:21">
      <c r="A81" s="150" t="str">
        <f>商办车库!E320</f>
        <v>2单元801</v>
      </c>
      <c r="B81" s="2408">
        <f>商办车库!F320</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4340</v>
      </c>
      <c r="Q81" s="21">
        <f t="shared" si="14"/>
        <v>1.03</v>
      </c>
      <c r="R81" s="659">
        <f t="shared" ca="1" si="15"/>
        <v>27693</v>
      </c>
      <c r="S81" s="316">
        <f t="shared" ca="1" si="6"/>
        <v>6902</v>
      </c>
      <c r="T81" s="720" t="str">
        <f>商办车库!H320</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2408">
        <f>商办车库!E345</f>
        <v>201</v>
      </c>
      <c r="B83" s="2408">
        <f>商办车库!F345</f>
        <v>1121.54</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4342</v>
      </c>
      <c r="Q83" s="21">
        <f t="shared" si="14"/>
        <v>1</v>
      </c>
      <c r="R83" s="659">
        <f t="shared" ca="1" si="15"/>
        <v>27158</v>
      </c>
      <c r="S83" s="316">
        <f t="shared" ca="1" si="6"/>
        <v>3046</v>
      </c>
      <c r="T83" s="720" t="str">
        <f>商办车库!H345</f>
        <v>办公</v>
      </c>
      <c r="U83" s="720" t="str">
        <f>商办车库!C343</f>
        <v>昌平区英才南二街15号院6号楼11层1101等[19]套</v>
      </c>
    </row>
    <row r="84" spans="1:21">
      <c r="A84" s="2408">
        <f>商办车库!E346</f>
        <v>301</v>
      </c>
      <c r="B84" s="2408">
        <f>商办车库!F346</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4342</v>
      </c>
      <c r="Q84" s="21">
        <f t="shared" si="14"/>
        <v>1</v>
      </c>
      <c r="R84" s="659">
        <f t="shared" ca="1" si="15"/>
        <v>27022</v>
      </c>
      <c r="S84" s="316">
        <f t="shared" ca="1" si="6"/>
        <v>4101</v>
      </c>
      <c r="T84" s="720" t="str">
        <f>商办车库!H346</f>
        <v>办公</v>
      </c>
    </row>
    <row r="85" spans="1:21">
      <c r="A85" s="2408">
        <f>商办车库!E347</f>
        <v>401</v>
      </c>
      <c r="B85" s="2408">
        <f>商办车库!F347</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4342</v>
      </c>
      <c r="Q85" s="21">
        <f t="shared" si="14"/>
        <v>1</v>
      </c>
      <c r="R85" s="659">
        <f t="shared" ca="1" si="15"/>
        <v>27022</v>
      </c>
      <c r="S85" s="316">
        <f t="shared" ca="1" si="6"/>
        <v>4101</v>
      </c>
      <c r="T85" s="720" t="str">
        <f>商办车库!H347</f>
        <v>办公</v>
      </c>
    </row>
    <row r="86" spans="1:21">
      <c r="A86" s="2408">
        <f>商办车库!E348</f>
        <v>501</v>
      </c>
      <c r="B86" s="2408">
        <f>商办车库!F348</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4342</v>
      </c>
      <c r="Q86" s="21">
        <f t="shared" si="14"/>
        <v>1</v>
      </c>
      <c r="R86" s="659">
        <f t="shared" ca="1" si="15"/>
        <v>27022</v>
      </c>
      <c r="S86" s="316">
        <f t="shared" ca="1" si="6"/>
        <v>4101</v>
      </c>
      <c r="T86" s="720" t="str">
        <f>商办车库!H348</f>
        <v>办公</v>
      </c>
    </row>
    <row r="87" spans="1:21">
      <c r="A87" s="2408">
        <f>商办车库!E349</f>
        <v>601</v>
      </c>
      <c r="B87" s="2408">
        <f>商办车库!F349</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4342</v>
      </c>
      <c r="Q87" s="21">
        <f t="shared" si="14"/>
        <v>1</v>
      </c>
      <c r="R87" s="659">
        <f t="shared" ca="1" si="15"/>
        <v>27022</v>
      </c>
      <c r="S87" s="316">
        <f t="shared" ca="1" si="6"/>
        <v>4101</v>
      </c>
      <c r="T87" s="720" t="str">
        <f>商办车库!H349</f>
        <v>办公</v>
      </c>
    </row>
    <row r="88" spans="1:21">
      <c r="A88" s="2408">
        <f>商办车库!E350</f>
        <v>701</v>
      </c>
      <c r="B88" s="2408">
        <f>商办车库!F350</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4340</v>
      </c>
      <c r="Q88" s="21">
        <f t="shared" si="14"/>
        <v>1.03</v>
      </c>
      <c r="R88" s="659">
        <f t="shared" ca="1" si="15"/>
        <v>27833</v>
      </c>
      <c r="S88" s="316">
        <f t="shared" ref="S88:S151" ca="1" si="16">ROUND(R88*B88/10000,0)</f>
        <v>4224</v>
      </c>
      <c r="T88" s="720" t="str">
        <f>商办车库!H350</f>
        <v>办公</v>
      </c>
    </row>
    <row r="89" spans="1:21">
      <c r="A89" s="2408">
        <f>商办车库!E351</f>
        <v>801</v>
      </c>
      <c r="B89" s="2408">
        <f>商办车库!F351</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4340</v>
      </c>
      <c r="Q89" s="21">
        <f t="shared" si="14"/>
        <v>1.03</v>
      </c>
      <c r="R89" s="659">
        <f t="shared" ca="1" si="15"/>
        <v>27833</v>
      </c>
      <c r="S89" s="316">
        <f t="shared" ca="1" si="16"/>
        <v>4224</v>
      </c>
      <c r="T89" s="720" t="str">
        <f>商办车库!H351</f>
        <v>办公</v>
      </c>
    </row>
    <row r="90" spans="1:21">
      <c r="A90" s="2408">
        <f>商办车库!E352</f>
        <v>901</v>
      </c>
      <c r="B90" s="2408">
        <f>商办车库!F352</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4340</v>
      </c>
      <c r="Q90" s="21">
        <f t="shared" ref="Q90:Q153" si="24">(SUMIF($17:$17,P90,$18:$18)-SUMIF($17:$17,$P$24,$18:$18)+100)/100</f>
        <v>1.03</v>
      </c>
      <c r="R90" s="659">
        <f t="shared" ref="R90:R153" ca="1" si="25">IF(B90="",0,ROUND($R$24*C90*E90*G90*I90*K90*M90*O90*Q90,0))</f>
        <v>27833</v>
      </c>
      <c r="S90" s="316">
        <f t="shared" ca="1" si="16"/>
        <v>4224</v>
      </c>
      <c r="T90" s="720" t="str">
        <f>商办车库!H352</f>
        <v>办公</v>
      </c>
    </row>
    <row r="91" spans="1:21">
      <c r="A91" s="2408">
        <f>商办车库!E353</f>
        <v>1001</v>
      </c>
      <c r="B91" s="2408">
        <f>商办车库!F353</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4340</v>
      </c>
      <c r="Q91" s="21">
        <f t="shared" si="24"/>
        <v>1.03</v>
      </c>
      <c r="R91" s="659">
        <f t="shared" ca="1" si="25"/>
        <v>27833</v>
      </c>
      <c r="S91" s="316">
        <f t="shared" ca="1" si="16"/>
        <v>4224</v>
      </c>
      <c r="T91" s="720" t="str">
        <f>商办车库!H353</f>
        <v>办公</v>
      </c>
    </row>
    <row r="92" spans="1:21">
      <c r="A92" s="2408">
        <f>商办车库!E354</f>
        <v>1101</v>
      </c>
      <c r="B92" s="2408">
        <f>商办车库!F354</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4340</v>
      </c>
      <c r="Q92" s="21">
        <f t="shared" si="24"/>
        <v>1.03</v>
      </c>
      <c r="R92" s="659">
        <f t="shared" ca="1" si="25"/>
        <v>27833</v>
      </c>
      <c r="S92" s="316">
        <f t="shared" ca="1" si="16"/>
        <v>4224</v>
      </c>
      <c r="T92" s="720" t="str">
        <f>商办车库!H354</f>
        <v>办公</v>
      </c>
    </row>
    <row r="93" spans="1:21">
      <c r="A93" s="2408">
        <f>商办车库!E355</f>
        <v>1201</v>
      </c>
      <c r="B93" s="2408">
        <f>商办车库!F355</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4340</v>
      </c>
      <c r="Q93" s="21">
        <f t="shared" si="24"/>
        <v>1.03</v>
      </c>
      <c r="R93" s="659">
        <f t="shared" ca="1" si="25"/>
        <v>27833</v>
      </c>
      <c r="S93" s="316">
        <f t="shared" ca="1" si="16"/>
        <v>4224</v>
      </c>
      <c r="T93" s="720" t="str">
        <f>商办车库!H355</f>
        <v>办公</v>
      </c>
    </row>
    <row r="94" spans="1:21">
      <c r="A94" s="2408">
        <f>商办车库!E356</f>
        <v>1301</v>
      </c>
      <c r="B94" s="2408">
        <f>商办车库!F356</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4338</v>
      </c>
      <c r="Q94" s="21">
        <f t="shared" si="24"/>
        <v>1.06</v>
      </c>
      <c r="R94" s="659">
        <f t="shared" ca="1" si="25"/>
        <v>28644</v>
      </c>
      <c r="S94" s="316">
        <f t="shared" ca="1" si="16"/>
        <v>4347</v>
      </c>
      <c r="T94" s="720" t="str">
        <f>商办车库!H356</f>
        <v>办公</v>
      </c>
    </row>
    <row r="95" spans="1:21">
      <c r="A95" s="2408">
        <f>商办车库!E357</f>
        <v>1401</v>
      </c>
      <c r="B95" s="2408">
        <f>商办车库!F357</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4338</v>
      </c>
      <c r="Q95" s="21">
        <f t="shared" si="24"/>
        <v>1.06</v>
      </c>
      <c r="R95" s="659">
        <f t="shared" ca="1" si="25"/>
        <v>28644</v>
      </c>
      <c r="S95" s="316">
        <f t="shared" ca="1" si="16"/>
        <v>4347</v>
      </c>
      <c r="T95" s="720" t="str">
        <f>商办车库!H357</f>
        <v>办公</v>
      </c>
    </row>
    <row r="96" spans="1:21">
      <c r="A96" s="2408">
        <f>商办车库!E358</f>
        <v>1501</v>
      </c>
      <c r="B96" s="2408">
        <f>商办车库!F358</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4338</v>
      </c>
      <c r="Q96" s="21">
        <f t="shared" si="24"/>
        <v>1.06</v>
      </c>
      <c r="R96" s="659">
        <f t="shared" ca="1" si="25"/>
        <v>28787</v>
      </c>
      <c r="S96" s="316">
        <f t="shared" ca="1" si="16"/>
        <v>4115</v>
      </c>
      <c r="T96" s="720" t="str">
        <f>商办车库!H358</f>
        <v>办公</v>
      </c>
    </row>
    <row r="97" spans="1:20">
      <c r="A97" s="2408">
        <f>商办车库!E359</f>
        <v>1601</v>
      </c>
      <c r="B97" s="2408">
        <f>商办车库!F359</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4338</v>
      </c>
      <c r="Q97" s="21">
        <f t="shared" si="24"/>
        <v>1.06</v>
      </c>
      <c r="R97" s="659">
        <f t="shared" ca="1" si="25"/>
        <v>28644</v>
      </c>
      <c r="S97" s="316">
        <f t="shared" ca="1" si="16"/>
        <v>4347</v>
      </c>
      <c r="T97" s="720" t="str">
        <f>商办车库!H359</f>
        <v>办公</v>
      </c>
    </row>
    <row r="98" spans="1:20">
      <c r="A98" s="2408">
        <f>商办车库!E360</f>
        <v>1701</v>
      </c>
      <c r="B98" s="2408">
        <f>商办车库!F360</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4338</v>
      </c>
      <c r="Q98" s="21">
        <f t="shared" si="24"/>
        <v>1.06</v>
      </c>
      <c r="R98" s="659">
        <f t="shared" ca="1" si="25"/>
        <v>28644</v>
      </c>
      <c r="S98" s="316">
        <f t="shared" ca="1" si="16"/>
        <v>4347</v>
      </c>
      <c r="T98" s="720" t="str">
        <f>商办车库!H360</f>
        <v>办公</v>
      </c>
    </row>
    <row r="99" spans="1:20">
      <c r="A99" s="2408">
        <f>商办车库!E361</f>
        <v>1801</v>
      </c>
      <c r="B99" s="2408">
        <f>商办车库!F361</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4338</v>
      </c>
      <c r="Q99" s="21">
        <f t="shared" si="24"/>
        <v>1.06</v>
      </c>
      <c r="R99" s="659">
        <f t="shared" ca="1" si="25"/>
        <v>28644</v>
      </c>
      <c r="S99" s="316">
        <f t="shared" ca="1" si="16"/>
        <v>4347</v>
      </c>
      <c r="T99" s="720" t="str">
        <f>商办车库!H361</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K33" sqref="K3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4292</v>
      </c>
      <c r="D1" s="1739"/>
      <c r="E1" s="1739"/>
      <c r="F1" s="1741" t="s">
        <v>1263</v>
      </c>
      <c r="G1" s="1553" t="s">
        <v>3385</v>
      </c>
      <c r="H1" s="1742" t="str">
        <f>IF(G1="现房","——","估价对象范围")</f>
        <v>——</v>
      </c>
      <c r="I1" s="1743" t="s">
        <v>4361</v>
      </c>
    </row>
    <row r="2" spans="1:12" ht="21.75" customHeight="1" thickBot="1">
      <c r="A2" s="3723" t="str">
        <f>项目基本情况!S2</f>
        <v>北京市昌平区英才南一街15号院1号楼等13栋部分用房房地产</v>
      </c>
      <c r="B2" s="3724"/>
      <c r="C2" s="3724"/>
      <c r="D2" s="3724"/>
      <c r="E2" s="3724"/>
      <c r="F2" s="3724"/>
      <c r="G2" s="3724"/>
      <c r="H2" s="3724"/>
      <c r="I2" s="3725"/>
    </row>
    <row r="3" spans="1:12" ht="12.75">
      <c r="A3" s="3727" t="s">
        <v>1264</v>
      </c>
      <c r="B3" s="3728"/>
      <c r="C3" s="3728"/>
      <c r="D3" s="3728"/>
      <c r="E3" s="3728"/>
      <c r="F3" s="3728"/>
      <c r="G3" s="3728"/>
      <c r="H3" s="3728"/>
      <c r="I3" s="3728"/>
    </row>
    <row r="4" spans="1:12" ht="14.25">
      <c r="A4" s="1746" t="s">
        <v>1265</v>
      </c>
      <c r="B4" s="1747" t="s">
        <v>1266</v>
      </c>
      <c r="C4" s="1748" t="s">
        <v>4326</v>
      </c>
      <c r="D4" s="1748" t="s">
        <v>4294</v>
      </c>
      <c r="E4" s="3729" t="s">
        <v>1267</v>
      </c>
      <c r="F4" s="3730"/>
      <c r="G4" s="3730"/>
      <c r="H4" s="3730"/>
      <c r="I4" s="3731"/>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03" t="s">
        <v>1268</v>
      </c>
      <c r="B5" s="3690">
        <v>25</v>
      </c>
      <c r="C5" s="3706"/>
      <c r="D5" s="3726"/>
      <c r="E5" s="131" t="s">
        <v>1269</v>
      </c>
      <c r="F5" s="1749"/>
      <c r="G5" s="1749"/>
      <c r="H5" s="1749"/>
      <c r="I5" s="1365"/>
    </row>
    <row r="6" spans="1:12" ht="12.75">
      <c r="A6" s="3703"/>
      <c r="B6" s="3690"/>
      <c r="C6" s="3707"/>
      <c r="D6" s="3726"/>
      <c r="E6" s="131" t="s">
        <v>1270</v>
      </c>
      <c r="F6" s="1749"/>
      <c r="G6" s="1749"/>
      <c r="H6" s="1749"/>
      <c r="I6" s="1365"/>
    </row>
    <row r="7" spans="1:12" ht="12.75">
      <c r="A7" s="3703"/>
      <c r="B7" s="3690"/>
      <c r="C7" s="3708"/>
      <c r="D7" s="3726"/>
      <c r="E7" s="131" t="s">
        <v>1271</v>
      </c>
      <c r="F7" s="1749"/>
      <c r="G7" s="1749"/>
      <c r="H7" s="1749"/>
      <c r="I7" s="1365"/>
    </row>
    <row r="8" spans="1:12" ht="12.75">
      <c r="A8" s="3703" t="s">
        <v>1272</v>
      </c>
      <c r="B8" s="3690">
        <v>15</v>
      </c>
      <c r="C8" s="3706"/>
      <c r="D8" s="3726"/>
      <c r="E8" s="131" t="s">
        <v>1273</v>
      </c>
      <c r="F8" s="1749"/>
      <c r="G8" s="1749"/>
      <c r="H8" s="1749"/>
      <c r="I8" s="1365"/>
    </row>
    <row r="9" spans="1:12" ht="12.75">
      <c r="A9" s="3703"/>
      <c r="B9" s="3690"/>
      <c r="C9" s="3708"/>
      <c r="D9" s="3726"/>
      <c r="E9" s="131" t="s">
        <v>1274</v>
      </c>
      <c r="F9" s="1749"/>
      <c r="G9" s="1749"/>
      <c r="H9" s="1749"/>
      <c r="I9" s="1365"/>
    </row>
    <row r="10" spans="1:12" ht="12.75">
      <c r="A10" s="3703" t="s">
        <v>1275</v>
      </c>
      <c r="B10" s="3690">
        <v>15</v>
      </c>
      <c r="C10" s="3706"/>
      <c r="D10" s="3726"/>
      <c r="E10" s="131" t="s">
        <v>1276</v>
      </c>
      <c r="F10" s="1749"/>
      <c r="G10" s="1749"/>
      <c r="H10" s="1749"/>
      <c r="I10" s="1365"/>
    </row>
    <row r="11" spans="1:12" ht="12.75">
      <c r="A11" s="3703"/>
      <c r="B11" s="3690"/>
      <c r="C11" s="3708"/>
      <c r="D11" s="3726"/>
      <c r="E11" s="131" t="s">
        <v>1277</v>
      </c>
      <c r="F11" s="1749"/>
      <c r="G11" s="1749"/>
      <c r="H11" s="1749"/>
      <c r="I11" s="1365"/>
    </row>
    <row r="12" spans="1:12" ht="12.75">
      <c r="A12" s="3703" t="s">
        <v>1278</v>
      </c>
      <c r="B12" s="3690">
        <v>15</v>
      </c>
      <c r="C12" s="3706"/>
      <c r="D12" s="3726"/>
      <c r="E12" s="131" t="s">
        <v>1279</v>
      </c>
      <c r="F12" s="1749"/>
      <c r="G12" s="1749"/>
      <c r="H12" s="1749"/>
      <c r="I12" s="1365"/>
    </row>
    <row r="13" spans="1:12" ht="12.75">
      <c r="A13" s="3703"/>
      <c r="B13" s="3690"/>
      <c r="C13" s="3708"/>
      <c r="D13" s="3726"/>
      <c r="E13" s="131" t="s">
        <v>1280</v>
      </c>
      <c r="F13" s="1749"/>
      <c r="G13" s="1749"/>
      <c r="H13" s="1749"/>
      <c r="I13" s="1365"/>
    </row>
    <row r="14" spans="1:12" ht="12.75">
      <c r="A14" s="3703" t="s">
        <v>1281</v>
      </c>
      <c r="B14" s="3690">
        <v>30</v>
      </c>
      <c r="C14" s="3706">
        <v>5</v>
      </c>
      <c r="D14" s="3726">
        <v>5</v>
      </c>
      <c r="E14" s="131" t="s">
        <v>1282</v>
      </c>
      <c r="F14" s="1749"/>
      <c r="G14" s="1749"/>
      <c r="H14" s="1749"/>
      <c r="I14" s="1365"/>
    </row>
    <row r="15" spans="1:12" ht="12.75">
      <c r="A15" s="3703"/>
      <c r="B15" s="3690"/>
      <c r="C15" s="3707"/>
      <c r="D15" s="3726"/>
      <c r="E15" s="131" t="s">
        <v>1283</v>
      </c>
      <c r="F15" s="1749"/>
      <c r="G15" s="1749"/>
      <c r="H15" s="1749"/>
      <c r="I15" s="1365"/>
    </row>
    <row r="16" spans="1:12" ht="12.75">
      <c r="A16" s="3703"/>
      <c r="B16" s="3690"/>
      <c r="C16" s="3708"/>
      <c r="D16" s="3726"/>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13" t="s">
        <v>2130</v>
      </c>
      <c r="F18" s="3714"/>
      <c r="G18" s="3714"/>
      <c r="H18" s="3714"/>
      <c r="I18" s="3714"/>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19.938800000000001</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4888</v>
      </c>
      <c r="D20" s="138">
        <f ca="1">SUMIF(INDIRECT("'"&amp;D4&amp;"'"&amp;"!A:A"),结果表车!B20,INDIRECT("'"&amp;D4&amp;"'"&amp;"!B:B"))</f>
        <v>4436</v>
      </c>
      <c r="E20" s="1756"/>
      <c r="F20" s="1018" t="s">
        <v>1295</v>
      </c>
      <c r="G20" s="139">
        <f ca="1">ROUND(C20*$C$18+D20*$D$18,0)</f>
        <v>4662</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0.10337633157461834</v>
      </c>
      <c r="E22" s="129"/>
      <c r="F22" s="129"/>
      <c r="G22" s="129"/>
      <c r="H22" s="129"/>
      <c r="I22" s="129"/>
    </row>
    <row r="23" spans="1:36" ht="13.5" thickBot="1">
      <c r="A23" s="1739"/>
      <c r="B23" s="1739"/>
      <c r="C23" s="1739"/>
      <c r="D23" s="1739"/>
      <c r="E23" s="129"/>
      <c r="F23" s="129"/>
      <c r="G23" s="129"/>
      <c r="H23" s="129"/>
      <c r="I23" s="129"/>
    </row>
    <row r="24" spans="1:36" ht="14.25">
      <c r="A24" s="3697" t="s">
        <v>1299</v>
      </c>
      <c r="B24" s="1754" t="s">
        <v>1291</v>
      </c>
      <c r="C24" s="136">
        <f>IF(B30=0,0,D30)</f>
        <v>0</v>
      </c>
      <c r="D24" s="1761"/>
      <c r="E24" s="129"/>
      <c r="F24" s="129"/>
      <c r="G24" s="129"/>
      <c r="H24" s="129"/>
      <c r="I24" s="129"/>
    </row>
    <row r="25" spans="1:36" ht="14.25">
      <c r="A25" s="3698"/>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4662</v>
      </c>
      <c r="D32" s="3564" t="s">
        <v>4397</v>
      </c>
      <c r="E32" s="129"/>
      <c r="F32" s="129"/>
      <c r="G32" s="129"/>
      <c r="H32" s="129"/>
      <c r="I32" s="129"/>
    </row>
    <row r="33" spans="1:15" ht="15">
      <c r="A33" s="778" t="s">
        <v>1306</v>
      </c>
      <c r="B33" s="1767"/>
      <c r="C33" s="1768" t="s">
        <v>4398</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17" t="s">
        <v>1312</v>
      </c>
      <c r="B36" s="1778" t="s">
        <v>1313</v>
      </c>
      <c r="C36" s="145"/>
      <c r="D36" s="1779"/>
      <c r="E36" s="1780"/>
      <c r="F36" s="1781"/>
      <c r="G36" s="129"/>
      <c r="H36" s="129"/>
      <c r="I36" s="129"/>
    </row>
    <row r="37" spans="1:15" ht="15.75" thickBot="1">
      <c r="A37" s="3718"/>
      <c r="B37" s="1666" t="s">
        <v>1314</v>
      </c>
      <c r="C37" s="147"/>
      <c r="D37" s="1131"/>
      <c r="E37" s="1131"/>
      <c r="F37" s="1781"/>
      <c r="G37" s="129"/>
      <c r="H37" s="129"/>
      <c r="I37" s="129"/>
    </row>
    <row r="38" spans="1:15" ht="15.75" thickBot="1">
      <c r="A38" s="3719"/>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94" t="s">
        <v>1326</v>
      </c>
      <c r="B45" s="3695"/>
      <c r="C45" s="3696"/>
      <c r="D45" s="155">
        <f ca="1">ROUND(H101*F45,0)</f>
        <v>21</v>
      </c>
      <c r="E45" s="156" t="s">
        <v>1327</v>
      </c>
      <c r="F45" s="157">
        <v>1</v>
      </c>
      <c r="G45" s="158" t="s">
        <v>1328</v>
      </c>
      <c r="H45" s="129"/>
      <c r="I45" s="129"/>
      <c r="J45" s="3772" t="s">
        <v>1329</v>
      </c>
      <c r="K45" s="3772"/>
      <c r="L45" s="3772"/>
      <c r="M45" s="3772"/>
      <c r="N45" s="3772"/>
      <c r="O45" s="3772"/>
    </row>
    <row r="46" spans="1:15" ht="14.25" customHeight="1">
      <c r="A46" s="3691" t="s">
        <v>1330</v>
      </c>
      <c r="B46" s="3692"/>
      <c r="C46" s="3692"/>
      <c r="D46" s="3692"/>
      <c r="E46" s="3692"/>
      <c r="F46" s="3692"/>
      <c r="G46" s="3693"/>
      <c r="H46" s="1797"/>
      <c r="I46" s="159"/>
      <c r="J46" s="3461">
        <v>1</v>
      </c>
      <c r="K46" s="3753" t="s">
        <v>1331</v>
      </c>
      <c r="L46" s="3753"/>
      <c r="M46" s="3773"/>
      <c r="N46" s="3773"/>
      <c r="O46" s="3773"/>
    </row>
    <row r="47" spans="1:15" ht="12" customHeight="1">
      <c r="A47" s="160" t="s">
        <v>1332</v>
      </c>
      <c r="B47" s="161"/>
      <c r="C47" s="162"/>
      <c r="D47" s="1079" t="s">
        <v>1333</v>
      </c>
      <c r="E47" s="302" t="s">
        <v>1334</v>
      </c>
      <c r="F47" s="163" t="s">
        <v>1335</v>
      </c>
      <c r="G47" s="2531" t="s">
        <v>1336</v>
      </c>
      <c r="H47" s="2532"/>
      <c r="I47" s="159"/>
      <c r="J47" s="3461">
        <v>2</v>
      </c>
      <c r="K47" s="3753" t="s">
        <v>1337</v>
      </c>
      <c r="L47" s="3753"/>
      <c r="M47" s="3774">
        <f>'数据-取费表'!B2</f>
        <v>45173</v>
      </c>
      <c r="N47" s="3774"/>
      <c r="O47" s="3774"/>
    </row>
    <row r="48" spans="1:15" ht="25.5">
      <c r="A48" s="3722" t="s">
        <v>1338</v>
      </c>
      <c r="B48" s="3705"/>
      <c r="C48" s="3705"/>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53" t="s">
        <v>1340</v>
      </c>
      <c r="L48" s="3753"/>
      <c r="M48" s="3775">
        <f ca="1">H101</f>
        <v>21</v>
      </c>
      <c r="N48" s="3775"/>
      <c r="O48" s="3775"/>
    </row>
    <row r="49" spans="1:35" ht="25.5" customHeight="1">
      <c r="A49" s="3458" t="s">
        <v>1341</v>
      </c>
      <c r="B49" s="3689" t="s">
        <v>1342</v>
      </c>
      <c r="C49" s="3689"/>
      <c r="D49" s="1582">
        <v>0</v>
      </c>
      <c r="E49" s="324" t="s">
        <v>1343</v>
      </c>
      <c r="F49" s="3448" t="s">
        <v>28</v>
      </c>
      <c r="G49" s="3759"/>
      <c r="H49" s="2298" t="s">
        <v>2133</v>
      </c>
      <c r="I49" s="2299"/>
      <c r="J49" s="3461">
        <v>4</v>
      </c>
      <c r="K49" s="3753" t="str">
        <f>IF(项目基本情况!E8="房地产抵押价值","房地产抵押价值","抵押担保权已注销时的房地产抵押价值")</f>
        <v>房地产抵押价值</v>
      </c>
      <c r="L49" s="3753"/>
      <c r="M49" s="3775">
        <f ca="1">IF(项目基本情况!E8="房地产抵押价值",H107,H109)</f>
        <v>21</v>
      </c>
      <c r="N49" s="3775"/>
      <c r="O49" s="3775"/>
    </row>
    <row r="50" spans="1:35" ht="25.5" customHeight="1">
      <c r="A50" s="2536"/>
      <c r="B50" s="3689" t="s">
        <v>1344</v>
      </c>
      <c r="C50" s="3689"/>
      <c r="D50" s="2537"/>
      <c r="E50" s="332"/>
      <c r="F50" s="3448"/>
      <c r="G50" s="3760"/>
      <c r="H50" s="2300" t="s">
        <v>2134</v>
      </c>
      <c r="I50" s="2299"/>
      <c r="J50" s="3772" t="s">
        <v>1345</v>
      </c>
      <c r="K50" s="3772"/>
      <c r="L50" s="3772"/>
      <c r="M50" s="3772"/>
      <c r="N50" s="3772"/>
      <c r="O50" s="3772"/>
    </row>
    <row r="51" spans="1:35" ht="20.45" customHeight="1">
      <c r="A51" s="2538"/>
      <c r="B51" s="3689" t="s">
        <v>1346</v>
      </c>
      <c r="C51" s="3689"/>
      <c r="D51" s="1079"/>
      <c r="E51" s="327"/>
      <c r="F51" s="3448"/>
      <c r="G51" s="3761"/>
      <c r="H51" s="2300" t="s">
        <v>2135</v>
      </c>
      <c r="I51" s="2299"/>
      <c r="J51" s="3460" t="s">
        <v>1347</v>
      </c>
      <c r="K51" s="3753" t="s">
        <v>1348</v>
      </c>
      <c r="L51" s="3753"/>
      <c r="M51" s="3460" t="s">
        <v>1349</v>
      </c>
      <c r="N51" s="3460" t="s">
        <v>1350</v>
      </c>
      <c r="O51" s="3460" t="s">
        <v>1351</v>
      </c>
    </row>
    <row r="52" spans="1:35" ht="24" customHeight="1">
      <c r="A52" s="3453" t="s">
        <v>1352</v>
      </c>
      <c r="B52" s="3689" t="s">
        <v>1353</v>
      </c>
      <c r="C52" s="3689"/>
      <c r="D52" s="1079">
        <f ca="1">ROUND(D45*'数据-取费表'!B41/(1+'数据-取费表'!C42),0)</f>
        <v>1</v>
      </c>
      <c r="E52" s="3454" t="s">
        <v>1354</v>
      </c>
      <c r="F52" s="2539">
        <f>'数据-取费表'!B41</f>
        <v>5.5000000000000007E-2</v>
      </c>
      <c r="G52" s="2540"/>
      <c r="H52" s="2529"/>
      <c r="I52" s="1798"/>
      <c r="J52" s="3461">
        <v>1</v>
      </c>
      <c r="K52" s="3754" t="s">
        <v>1355</v>
      </c>
      <c r="L52" s="3754"/>
      <c r="M52" s="2510" t="b">
        <f>D48</f>
        <v>0</v>
      </c>
      <c r="N52" s="3461" t="str">
        <f>E48</f>
        <v>销售额×税（费）率</v>
      </c>
      <c r="O52" s="2511">
        <f>F48</f>
        <v>5.5000000000000007E-2</v>
      </c>
    </row>
    <row r="53" spans="1:35" ht="12" customHeight="1">
      <c r="A53" s="3453" t="s">
        <v>1356</v>
      </c>
      <c r="B53" s="3715" t="s">
        <v>2286</v>
      </c>
      <c r="C53" s="3716"/>
      <c r="D53" s="1079">
        <f ca="1">ROUND(D45*'数据-取费表'!B41/(1+'数据-取费表'!C42),0)</f>
        <v>1</v>
      </c>
      <c r="E53" s="3454" t="s">
        <v>1354</v>
      </c>
      <c r="F53" s="2539">
        <f>'数据-取费表'!B41</f>
        <v>5.5000000000000007E-2</v>
      </c>
      <c r="G53" s="2540"/>
      <c r="H53" s="2529"/>
      <c r="I53" s="1798"/>
      <c r="J53" s="3461">
        <v>2</v>
      </c>
      <c r="K53" s="3754" t="s">
        <v>1357</v>
      </c>
      <c r="L53" s="3754"/>
      <c r="M53" s="2510">
        <f t="shared" ref="M53:O54" ca="1" si="0">D55</f>
        <v>0</v>
      </c>
      <c r="N53" s="3461" t="str">
        <f t="shared" si="0"/>
        <v>销售额×税（费）率</v>
      </c>
      <c r="O53" s="2511" t="str">
        <f t="shared" si="0"/>
        <v>免征</v>
      </c>
    </row>
    <row r="54" spans="1:35" ht="12" customHeight="1">
      <c r="A54" s="3453" t="s">
        <v>1358</v>
      </c>
      <c r="B54" s="3715" t="s">
        <v>2287</v>
      </c>
      <c r="C54" s="3716"/>
      <c r="D54" s="1079">
        <f ca="1">C68</f>
        <v>1</v>
      </c>
      <c r="E54" s="327" t="s">
        <v>1359</v>
      </c>
      <c r="F54" s="2539">
        <f>'数据-取费表'!B41</f>
        <v>5.5000000000000007E-2</v>
      </c>
      <c r="G54" s="2540"/>
      <c r="H54" s="2541"/>
      <c r="I54" s="1798"/>
      <c r="J54" s="3461">
        <v>3</v>
      </c>
      <c r="K54" s="3754" t="s">
        <v>1360</v>
      </c>
      <c r="L54" s="3754"/>
      <c r="M54" s="2510" t="e">
        <f t="shared" ca="1" si="0"/>
        <v>#DIV/0!</v>
      </c>
      <c r="N54" s="3461" t="str">
        <f t="shared" si="0"/>
        <v>增值额×税（费）率</v>
      </c>
      <c r="O54" s="2512" t="str">
        <f t="shared" si="0"/>
        <v>免征</v>
      </c>
    </row>
    <row r="55" spans="1:35" ht="24" customHeight="1">
      <c r="A55" s="3704" t="s">
        <v>1361</v>
      </c>
      <c r="B55" s="3705"/>
      <c r="C55" s="3705"/>
      <c r="D55" s="3463">
        <f ca="1">IF(H55="个人住宅",0,ROUND(D45*I55,0))</f>
        <v>0</v>
      </c>
      <c r="E55" s="3454" t="s">
        <v>1362</v>
      </c>
      <c r="F55" s="2539" t="str">
        <f>IF(H55="正常",I55,"免征")</f>
        <v>免征</v>
      </c>
      <c r="G55" s="2540"/>
      <c r="H55" s="2535"/>
      <c r="I55" s="165">
        <f>'数据-取费表'!B49</f>
        <v>5.0000000000000001E-4</v>
      </c>
      <c r="J55" s="3461">
        <f>IF(H59="非个人房产","",4)</f>
        <v>4</v>
      </c>
      <c r="K55" s="3754" t="str">
        <f>IF(H59="非个人房产","——","个人所得税")</f>
        <v>个人所得税</v>
      </c>
      <c r="L55" s="3754"/>
      <c r="M55" s="2513">
        <f ca="1">D59</f>
        <v>0</v>
      </c>
      <c r="N55" s="3462" t="str">
        <f>E59</f>
        <v>差额计税</v>
      </c>
      <c r="O55" s="2514">
        <f>F59</f>
        <v>0.01</v>
      </c>
    </row>
    <row r="56" spans="1:35" ht="24.75">
      <c r="A56" s="3704" t="s">
        <v>1363</v>
      </c>
      <c r="B56" s="3705"/>
      <c r="C56" s="3705"/>
      <c r="D56" s="3463" t="e">
        <f ca="1">IF(H56="个人住宅",D57,D58)</f>
        <v>#DIV/0!</v>
      </c>
      <c r="E56" s="3454" t="s">
        <v>1364</v>
      </c>
      <c r="F56" s="2539" t="str">
        <f>IF(H56="正常",F58,"免征")</f>
        <v>免征</v>
      </c>
      <c r="G56" s="2542" t="s">
        <v>1365</v>
      </c>
      <c r="H56" s="2543"/>
      <c r="I56" s="1799"/>
      <c r="J56" s="3461" t="str">
        <f>IF(项目基本情况!K6="上海银行",IF(J55="",4,J55+1),"")</f>
        <v/>
      </c>
      <c r="K56" s="3777" t="str">
        <f>IF(项目基本情况!K6="上海银行","其他处置费用","")</f>
        <v/>
      </c>
      <c r="L56" s="3778"/>
      <c r="M56" s="2510" t="str">
        <f>IF(项目基本情况!K6="上海银行",M69,"")</f>
        <v/>
      </c>
      <c r="N56" s="3777" t="str">
        <f>IF(项目基本情况!K6="上海银行","包含处置中涉及的律师、诉讼、拍卖、评估等费用","")</f>
        <v/>
      </c>
      <c r="O56" s="3780"/>
    </row>
    <row r="57" spans="1:35" ht="12.75">
      <c r="A57" s="3453" t="s">
        <v>1341</v>
      </c>
      <c r="B57" s="3715" t="s">
        <v>1366</v>
      </c>
      <c r="C57" s="3716"/>
      <c r="D57" s="1582">
        <v>0</v>
      </c>
      <c r="E57" s="324" t="s">
        <v>1343</v>
      </c>
      <c r="F57" s="302"/>
      <c r="G57" s="2540"/>
      <c r="H57" s="2544"/>
      <c r="I57" s="1799"/>
      <c r="J57" s="3754">
        <f>IF(AND(J55="",J56=""),4,IF(项目基本情况!K6="上海银行",结果表车!J56+1,结果表车!J55+1))</f>
        <v>5</v>
      </c>
      <c r="K57" s="3754" t="s">
        <v>1367</v>
      </c>
      <c r="L57" s="2515" t="s">
        <v>1368</v>
      </c>
      <c r="M57" s="2516"/>
      <c r="N57" s="2517">
        <f ca="1">SUMIF(M52:M56,"&lt;9e307")</f>
        <v>0</v>
      </c>
      <c r="O57" s="2518"/>
      <c r="P57" s="2674">
        <f ca="1">N57/M49</f>
        <v>0</v>
      </c>
    </row>
    <row r="58" spans="1:35" ht="24.75">
      <c r="A58" s="3453" t="s">
        <v>1352</v>
      </c>
      <c r="B58" s="3715" t="s">
        <v>1369</v>
      </c>
      <c r="C58" s="3689"/>
      <c r="D58" s="3463" t="e">
        <f ca="1">IF(H58="转让取得",C81,C97)</f>
        <v>#DIV/0!</v>
      </c>
      <c r="E58" s="3454" t="s">
        <v>1364</v>
      </c>
      <c r="F58" s="302" t="s">
        <v>28</v>
      </c>
      <c r="G58" s="2540"/>
      <c r="H58" s="2543"/>
      <c r="I58" s="1799"/>
      <c r="J58" s="3754"/>
      <c r="K58" s="3754"/>
      <c r="L58" s="2515" t="s">
        <v>1370</v>
      </c>
      <c r="M58" s="2519"/>
      <c r="N58" s="2520" t="str">
        <f ca="1">NUMBERSTRING(INT(N57*10000),2)&amp;"元整"</f>
        <v>零元整</v>
      </c>
      <c r="O58" s="2521"/>
    </row>
    <row r="59" spans="1:35" ht="24.75" thickBot="1">
      <c r="A59" s="3757" t="s">
        <v>1371</v>
      </c>
      <c r="B59" s="3758"/>
      <c r="C59" s="3758"/>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5">
        <f>J57+1</f>
        <v>6</v>
      </c>
      <c r="K59" s="3754" t="s">
        <v>1372</v>
      </c>
      <c r="L59" s="3461" t="s">
        <v>1368</v>
      </c>
      <c r="M59" s="2522"/>
      <c r="N59" s="2523">
        <f ca="1">M49-N57</f>
        <v>21</v>
      </c>
      <c r="O59" s="2524"/>
    </row>
    <row r="60" spans="1:35" ht="12" customHeight="1">
      <c r="A60" s="1800"/>
      <c r="B60" s="1739"/>
      <c r="C60" s="1739"/>
      <c r="D60" s="1739"/>
      <c r="E60" s="1570"/>
      <c r="F60" s="1799"/>
      <c r="G60" s="1799"/>
      <c r="H60" s="1801"/>
      <c r="I60" s="129"/>
      <c r="J60" s="3756"/>
      <c r="K60" s="3754"/>
      <c r="L60" s="2515" t="s">
        <v>1370</v>
      </c>
      <c r="M60" s="2519"/>
      <c r="N60" s="2520" t="str">
        <f ca="1">NUMBERSTRING(INT(N59*10000),2)&amp;"元整"</f>
        <v>贰拾壹万元整</v>
      </c>
      <c r="O60" s="2521"/>
    </row>
    <row r="61" spans="1:35" ht="13.5" thickBot="1">
      <c r="A61" s="3702" t="s">
        <v>1373</v>
      </c>
      <c r="B61" s="3702"/>
      <c r="C61" s="3702"/>
      <c r="D61" s="3702"/>
      <c r="E61" s="3702"/>
      <c r="F61" s="1799"/>
      <c r="G61" s="1799"/>
      <c r="H61" s="1801"/>
      <c r="I61" s="129"/>
      <c r="J61" s="3461">
        <f>J59+1</f>
        <v>7</v>
      </c>
      <c r="K61" s="3754" t="s">
        <v>1374</v>
      </c>
      <c r="L61" s="3754"/>
      <c r="M61" s="2525"/>
      <c r="N61" s="2526">
        <f ca="1">ROUND(N59*10000/'数据-汇总表'!E3,0)</f>
        <v>143</v>
      </c>
      <c r="O61" s="2527"/>
    </row>
    <row r="62" spans="1:35" ht="12.75">
      <c r="A62" s="3720" t="s">
        <v>1375</v>
      </c>
      <c r="B62" s="3721"/>
      <c r="C62" s="3457"/>
      <c r="D62" s="3457" t="s">
        <v>1376</v>
      </c>
      <c r="E62" s="166" t="s">
        <v>1377</v>
      </c>
      <c r="F62" s="1799"/>
      <c r="G62" s="1799"/>
      <c r="H62" s="1801"/>
      <c r="I62" s="129"/>
    </row>
    <row r="63" spans="1:35" ht="12.75">
      <c r="A63" s="173" t="s">
        <v>330</v>
      </c>
      <c r="B63" s="167" t="s">
        <v>1378</v>
      </c>
      <c r="C63" s="2549">
        <f ca="1">ROUND((C64+C65)/(1+'数据-取费表'!C42),0)</f>
        <v>20</v>
      </c>
      <c r="D63" s="167"/>
      <c r="E63" s="168"/>
      <c r="F63" s="1799"/>
      <c r="G63" s="1799"/>
      <c r="H63" s="1801"/>
      <c r="I63" s="129"/>
      <c r="J63" s="3779" t="s">
        <v>1379</v>
      </c>
      <c r="K63" s="3464" t="s">
        <v>1380</v>
      </c>
      <c r="L63" s="3464">
        <f ca="1">IF(M49&gt;10000,M49*0.5%,IF(AND(M49&gt;1000,M49&lt;=10000),M49*1%,IF(AND(M49&gt;100,M49&lt;=1000),M49*3%,IF(AND(M49&gt;10,M49&lt;=100),M49*5%,M49*8%))))</f>
        <v>1.05</v>
      </c>
      <c r="M63" s="302">
        <f ca="1">ROUND(L63,1)</f>
        <v>1.1000000000000001</v>
      </c>
      <c r="N63" s="2528"/>
      <c r="Z63" s="1744"/>
      <c r="AI63" s="1745"/>
    </row>
    <row r="64" spans="1:35" ht="14.25" customHeight="1">
      <c r="A64" s="169" t="s">
        <v>325</v>
      </c>
      <c r="B64" s="170" t="s">
        <v>1381</v>
      </c>
      <c r="C64" s="2550">
        <f ca="1">D45</f>
        <v>21</v>
      </c>
      <c r="D64" s="170" t="s">
        <v>26</v>
      </c>
      <c r="E64" s="172"/>
      <c r="F64" s="1799"/>
      <c r="G64" s="1799"/>
      <c r="H64" s="1801"/>
      <c r="I64" s="129"/>
      <c r="J64" s="3779"/>
      <c r="K64" s="3464" t="s">
        <v>1382</v>
      </c>
      <c r="L64" s="3464">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29" t="s">
        <v>1383</v>
      </c>
      <c r="Z64" s="1744"/>
      <c r="AI64" s="1745"/>
    </row>
    <row r="65" spans="1:35" ht="14.25" customHeight="1">
      <c r="A65" s="169" t="s">
        <v>326</v>
      </c>
      <c r="B65" s="170" t="s">
        <v>1384</v>
      </c>
      <c r="C65" s="2551"/>
      <c r="D65" s="170"/>
      <c r="E65" s="172"/>
      <c r="F65" s="1799"/>
      <c r="G65" s="1799"/>
      <c r="H65" s="1801"/>
      <c r="I65" s="129"/>
      <c r="J65" s="3779"/>
      <c r="K65" s="3464" t="s">
        <v>1385</v>
      </c>
      <c r="L65" s="3464">
        <f ca="1">IF(M49&gt;1000,M49*0.1%,IF(AND(M49&gt;500,M49&lt;=1000),M49*0.5%,IF(AND(M49&gt;50,M49&lt;=500),M49*1%,IF(AND(M49&gt;1,M49&lt;=50),M49*1.5%))))</f>
        <v>0.315</v>
      </c>
      <c r="M65" s="302">
        <f t="shared" ca="1" si="1"/>
        <v>0.3</v>
      </c>
      <c r="N65" s="2529" t="s">
        <v>1383</v>
      </c>
      <c r="Z65" s="1744"/>
      <c r="AI65" s="1745"/>
    </row>
    <row r="66" spans="1:35" ht="14.25" customHeight="1">
      <c r="A66" s="173" t="s">
        <v>327</v>
      </c>
      <c r="B66" s="174" t="s">
        <v>1386</v>
      </c>
      <c r="C66" s="2552"/>
      <c r="D66" s="174" t="s">
        <v>26</v>
      </c>
      <c r="E66" s="1330" t="s">
        <v>671</v>
      </c>
      <c r="F66" s="1799"/>
      <c r="G66" s="1799"/>
      <c r="H66" s="1801"/>
      <c r="I66" s="129"/>
      <c r="J66" s="3779"/>
      <c r="K66" s="3464" t="s">
        <v>1387</v>
      </c>
      <c r="L66" s="3464">
        <f ca="1">M49*0.5%</f>
        <v>0.105</v>
      </c>
      <c r="M66" s="302">
        <f ca="1">IF(L66&gt;0.5,0.5,ROUND(L66,0))</f>
        <v>0</v>
      </c>
      <c r="N66" s="2529" t="s">
        <v>1388</v>
      </c>
      <c r="Z66" s="1744"/>
      <c r="AI66" s="1745"/>
    </row>
    <row r="67" spans="1:35" ht="14.25" customHeight="1">
      <c r="A67" s="173" t="s">
        <v>328</v>
      </c>
      <c r="B67" s="174" t="s">
        <v>1389</v>
      </c>
      <c r="C67" s="2553">
        <f ca="1">C63-C66</f>
        <v>20</v>
      </c>
      <c r="D67" s="170" t="s">
        <v>26</v>
      </c>
      <c r="E67" s="172"/>
      <c r="F67" s="1799"/>
      <c r="G67" s="1799"/>
      <c r="H67" s="1801"/>
      <c r="I67" s="129"/>
      <c r="J67" s="3779"/>
      <c r="K67" s="3464" t="s">
        <v>1390</v>
      </c>
      <c r="L67" s="3464">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779"/>
      <c r="K68" s="3464" t="s">
        <v>1392</v>
      </c>
      <c r="L68" s="3464">
        <f ca="1">IF(M49&gt;10000,M49*0.5%,IF(AND(M49&gt;5000,M49&lt;=10000),M49*1%,IF(AND(M49&gt;1000,M49&lt;=5000),M49*2%,IF(AND(M49&gt;200,M49&lt;=1000),M49*3%,M49*5%))))</f>
        <v>1.05</v>
      </c>
      <c r="M68" s="302">
        <f ca="1">ROUND(L68,1)</f>
        <v>1.1000000000000001</v>
      </c>
      <c r="N68" s="2528"/>
      <c r="Z68" s="1744"/>
      <c r="AI68" s="1745"/>
    </row>
    <row r="69" spans="1:35" s="1764" customFormat="1" ht="16.5" customHeight="1">
      <c r="A69" s="1802"/>
      <c r="B69" s="1803"/>
      <c r="C69" s="1804"/>
      <c r="D69" s="1805"/>
      <c r="E69" s="1806"/>
      <c r="F69" s="1570"/>
      <c r="G69" s="1570"/>
      <c r="H69" s="1569"/>
      <c r="I69" s="1739"/>
      <c r="J69" s="3779"/>
      <c r="K69" s="3464" t="s">
        <v>1393</v>
      </c>
      <c r="L69" s="3464"/>
      <c r="M69" s="302">
        <f ca="1">ROUND(SUM(M63:M68),0)</f>
        <v>3</v>
      </c>
      <c r="N69" s="2530">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41" t="s">
        <v>1394</v>
      </c>
      <c r="B70" s="3742"/>
      <c r="C70" s="3742"/>
      <c r="D70" s="3742"/>
      <c r="E70" s="3742"/>
      <c r="F70" s="3742"/>
      <c r="G70" s="3742"/>
      <c r="H70" s="3742"/>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20" t="s">
        <v>1375</v>
      </c>
      <c r="B71" s="3721"/>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15" t="s">
        <v>1402</v>
      </c>
      <c r="F76" s="3689"/>
      <c r="G76" s="3689"/>
      <c r="H76" s="374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699" t="s">
        <v>1406</v>
      </c>
      <c r="F78" s="3700"/>
      <c r="G78" s="3700"/>
      <c r="H78" s="370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41" t="s">
        <v>1410</v>
      </c>
      <c r="B83" s="3742"/>
      <c r="C83" s="3742"/>
      <c r="D83" s="3742"/>
      <c r="E83" s="3742"/>
      <c r="F83" s="3742"/>
      <c r="G83" s="3742"/>
      <c r="H83" s="374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20" t="s">
        <v>1375</v>
      </c>
      <c r="B84" s="3721"/>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781" t="s">
        <v>2128</v>
      </c>
      <c r="H90" s="3782"/>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699" t="s">
        <v>1419</v>
      </c>
      <c r="F91" s="3700"/>
      <c r="G91" s="3700"/>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699" t="s">
        <v>1422</v>
      </c>
      <c r="F92" s="3700"/>
      <c r="G92" s="3700"/>
      <c r="H92" s="370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699" t="s">
        <v>1406</v>
      </c>
      <c r="F93" s="3700"/>
      <c r="G93" s="3700"/>
      <c r="H93" s="370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10" t="s">
        <v>1426</v>
      </c>
      <c r="F94" s="3711"/>
      <c r="G94" s="3711"/>
      <c r="H94" s="3712"/>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58" t="s">
        <v>1428</v>
      </c>
      <c r="B100" s="3659"/>
      <c r="C100" s="3659"/>
      <c r="D100" s="3701"/>
      <c r="E100" s="3659" t="s">
        <v>1429</v>
      </c>
      <c r="F100" s="3659"/>
      <c r="G100" s="3659"/>
      <c r="H100" s="3701"/>
      <c r="I100" s="129"/>
    </row>
    <row r="101" spans="1:35" ht="18.75" customHeight="1">
      <c r="A101" s="3762" t="s">
        <v>1430</v>
      </c>
      <c r="B101" s="3763"/>
      <c r="C101" s="2570" t="str">
        <f>C4</f>
        <v>比较法-车位</v>
      </c>
      <c r="D101" s="2571" t="str">
        <f>D4</f>
        <v>收益法 (元)</v>
      </c>
      <c r="E101" s="3776" t="s">
        <v>1431</v>
      </c>
      <c r="F101" s="3733"/>
      <c r="G101" s="1818" t="s">
        <v>1432</v>
      </c>
      <c r="H101" s="2580">
        <f ca="1">H118</f>
        <v>21</v>
      </c>
      <c r="I101" s="129"/>
    </row>
    <row r="102" spans="1:35" ht="18.75" customHeight="1">
      <c r="A102" s="3735" t="s">
        <v>1433</v>
      </c>
      <c r="B102" s="2569" t="s">
        <v>1432</v>
      </c>
      <c r="C102" s="2570">
        <f ca="1">IF(D32="楼面单价",ROUND(C19,0),C19)</f>
        <v>22</v>
      </c>
      <c r="D102" s="2571">
        <f ca="1">IF(D32="楼面单价",ROUND(D19,0),D19)</f>
        <v>20</v>
      </c>
      <c r="E102" s="3776"/>
      <c r="F102" s="3733"/>
      <c r="G102" s="1818" t="s">
        <v>1434</v>
      </c>
      <c r="H102" s="2540">
        <f ca="1">I118</f>
        <v>4662</v>
      </c>
      <c r="I102" s="129"/>
    </row>
    <row r="103" spans="1:35" ht="42.75" customHeight="1">
      <c r="A103" s="3735"/>
      <c r="B103" s="2569" t="s">
        <v>1434</v>
      </c>
      <c r="C103" s="2572">
        <f ca="1">C20</f>
        <v>4888</v>
      </c>
      <c r="D103" s="2573">
        <f ca="1">D20</f>
        <v>4436</v>
      </c>
      <c r="E103" s="3770" t="s">
        <v>1435</v>
      </c>
      <c r="F103" s="3771"/>
      <c r="G103" s="1819" t="s">
        <v>1436</v>
      </c>
      <c r="H103" s="2580">
        <f>IF(D36="正常操作",H104+H105+H106,H105+H106)</f>
        <v>0</v>
      </c>
      <c r="I103" s="129"/>
    </row>
    <row r="104" spans="1:35" ht="18.75" customHeight="1">
      <c r="A104" s="3735" t="s">
        <v>1437</v>
      </c>
      <c r="B104" s="2574" t="s">
        <v>1432</v>
      </c>
      <c r="C104" s="2575">
        <f ca="1">H118</f>
        <v>21</v>
      </c>
      <c r="D104" s="2576"/>
      <c r="E104" s="1666" t="s">
        <v>1438</v>
      </c>
      <c r="F104" s="1658"/>
      <c r="G104" s="1819" t="s">
        <v>1436</v>
      </c>
      <c r="H104" s="2581">
        <f>IF(D36="同一抵押权人同一抵押物续贷",C36&amp;"（续贷，未扣减，详见特别提示）",C36)</f>
        <v>0</v>
      </c>
      <c r="I104" s="129"/>
    </row>
    <row r="105" spans="1:35" ht="18.75" customHeight="1" thickBot="1">
      <c r="A105" s="3736"/>
      <c r="B105" s="2577" t="s">
        <v>1434</v>
      </c>
      <c r="C105" s="2578">
        <f ca="1">I118</f>
        <v>4662</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32" t="str">
        <f>IF(项目基本情况!E8="已注销","——","3.房地产抵押价值")</f>
        <v>3.房地产抵押价值</v>
      </c>
      <c r="F107" s="3733"/>
      <c r="G107" s="1818" t="s">
        <v>1432</v>
      </c>
      <c r="H107" s="2580">
        <f ca="1">IF(E107="——","——",H101-H103)</f>
        <v>21</v>
      </c>
      <c r="I107" s="129"/>
    </row>
    <row r="108" spans="1:35" ht="18.75" customHeight="1">
      <c r="A108" s="129"/>
      <c r="B108" s="129"/>
      <c r="C108" s="129"/>
      <c r="D108" s="129"/>
      <c r="E108" s="3732"/>
      <c r="F108" s="3733"/>
      <c r="G108" s="1818" t="s">
        <v>1434</v>
      </c>
      <c r="H108" s="2540">
        <f ca="1">IF(H107=H101,H102,ROUND(H107*10000/'数据-汇总表'!E3,0))</f>
        <v>4662</v>
      </c>
      <c r="I108" s="129"/>
    </row>
    <row r="109" spans="1:35" ht="18.75" customHeight="1">
      <c r="A109" s="129"/>
      <c r="B109" s="129"/>
      <c r="C109" s="129"/>
      <c r="D109" s="129"/>
      <c r="E109" s="3732" t="str">
        <f>IF(项目基本情况!E8="已注销及未注销","4.抵押担保权已注销时的房地产抵押价值",IF(项目基本情况!E8="已注销","3.抵押担保权已注销时的房地产抵押价值","——"))</f>
        <v>——</v>
      </c>
      <c r="F109" s="3733"/>
      <c r="G109" s="1818" t="s">
        <v>1432</v>
      </c>
      <c r="H109" s="2583" t="str">
        <f>IF(E109="——","——",H101-H105-H106)</f>
        <v>——</v>
      </c>
      <c r="I109" s="129"/>
    </row>
    <row r="110" spans="1:35" ht="18.75" customHeight="1">
      <c r="A110" s="129"/>
      <c r="B110" s="129"/>
      <c r="C110" s="129"/>
      <c r="D110" s="129"/>
      <c r="E110" s="3732"/>
      <c r="F110" s="3733"/>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34"/>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37" t="s">
        <v>1440</v>
      </c>
      <c r="F113" s="3737"/>
      <c r="G113" s="3737"/>
      <c r="H113" s="3737"/>
      <c r="I113" s="129"/>
    </row>
    <row r="114" spans="1:27" ht="3.75" customHeight="1">
      <c r="A114" s="1739"/>
      <c r="B114" s="1739"/>
      <c r="C114" s="1739"/>
      <c r="D114" s="1739"/>
      <c r="E114" s="1800"/>
      <c r="F114" s="1800"/>
      <c r="G114" s="1800"/>
      <c r="H114" s="1800"/>
      <c r="I114" s="1739"/>
    </row>
    <row r="115" spans="1:27" ht="18.75" customHeight="1">
      <c r="A115" s="3747" t="s">
        <v>1442</v>
      </c>
      <c r="B115" s="3748"/>
      <c r="C115" s="3748"/>
      <c r="D115" s="3748"/>
      <c r="E115" s="3748"/>
      <c r="F115" s="3748"/>
      <c r="G115" s="3748"/>
      <c r="H115" s="3748"/>
      <c r="I115" s="3749"/>
    </row>
    <row r="116" spans="1:27" ht="27" customHeight="1">
      <c r="A116" s="3703" t="s">
        <v>1443</v>
      </c>
      <c r="B116" s="3738" t="s">
        <v>1444</v>
      </c>
      <c r="C116" s="3738" t="s">
        <v>1445</v>
      </c>
      <c r="D116" s="3751" t="s">
        <v>1446</v>
      </c>
      <c r="E116" s="3752"/>
      <c r="F116" s="3746" t="s">
        <v>1447</v>
      </c>
      <c r="G116" s="3746"/>
      <c r="H116" s="3703" t="s">
        <v>1448</v>
      </c>
      <c r="I116" s="3703"/>
    </row>
    <row r="117" spans="1:27" ht="18.75" customHeight="1">
      <c r="A117" s="3703"/>
      <c r="B117" s="3739"/>
      <c r="C117" s="3739"/>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21</v>
      </c>
      <c r="I118" s="3452">
        <f ca="1">ROUND(IF(D32="楼面单价",C32,H118*10000/B118),0)</f>
        <v>4662</v>
      </c>
    </row>
    <row r="119" spans="1:27" ht="18.75" customHeight="1">
      <c r="A119" s="3703" t="s">
        <v>1452</v>
      </c>
      <c r="B119" s="3703"/>
      <c r="C119" s="3703"/>
      <c r="D119" s="3743" t="str">
        <f>NUMBERSTRING(INT(D118*10000),2)&amp;"元整"</f>
        <v>零元整</v>
      </c>
      <c r="E119" s="3745"/>
      <c r="F119" s="3743" t="str">
        <f>NUMBERSTRING(INT(F118*10000),2)&amp;"元整"</f>
        <v>零元整</v>
      </c>
      <c r="G119" s="3745"/>
      <c r="H119" s="3743" t="str">
        <f ca="1">NUMBERSTRING(INT(H118*10000),2)&amp;"元整"</f>
        <v>贰拾壹万元整</v>
      </c>
      <c r="I119" s="3745"/>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3" t="s">
        <v>1452</v>
      </c>
      <c r="B121" s="3744"/>
      <c r="C121" s="3745"/>
      <c r="D121" s="3743" t="str">
        <f>IF(D120=0,"零元整",NUMBERSTRING(INT(D120*10000),2)&amp;"元整")</f>
        <v>零元整</v>
      </c>
      <c r="E121" s="3744"/>
      <c r="F121" s="3744"/>
      <c r="G121" s="3744"/>
      <c r="H121" s="3744"/>
      <c r="I121" s="3745"/>
      <c r="AA121" s="720"/>
    </row>
    <row r="122" spans="1:27" ht="18.75" customHeight="1">
      <c r="A122" s="3734" t="str">
        <f>IF(项目基本情况!B9="房地产市场价值","",MID(E107,3,LEN(E107)-2))</f>
        <v>房地产抵押价值</v>
      </c>
      <c r="B122" s="3734"/>
      <c r="C122" s="3734"/>
      <c r="D122" s="3767">
        <f ca="1">H107</f>
        <v>21</v>
      </c>
      <c r="E122" s="3768"/>
      <c r="F122" s="3768"/>
      <c r="G122" s="3768"/>
      <c r="H122" s="3768"/>
      <c r="I122" s="3769"/>
      <c r="AA122" s="720"/>
    </row>
    <row r="123" spans="1:27" ht="18.75" customHeight="1">
      <c r="A123" s="3703" t="s">
        <v>1452</v>
      </c>
      <c r="B123" s="3703"/>
      <c r="C123" s="3703"/>
      <c r="D123" s="3743" t="str">
        <f ca="1">NUMBERSTRING(INT(D122*10000),2)&amp;"元整"</f>
        <v>贰拾壹万元整</v>
      </c>
      <c r="E123" s="3744"/>
      <c r="F123" s="3744"/>
      <c r="G123" s="3744"/>
      <c r="H123" s="3744"/>
      <c r="I123" s="3745"/>
      <c r="AA123" s="720"/>
    </row>
    <row r="124" spans="1:27" ht="18.75" customHeight="1">
      <c r="A124" s="3734" t="str">
        <f>IF(项目基本情况!B9="房地产市场价值","",MID(E109,3,LEN(E109)-2))</f>
        <v/>
      </c>
      <c r="B124" s="3734"/>
      <c r="C124" s="3734"/>
      <c r="D124" s="3767" t="str">
        <f>H109</f>
        <v>——</v>
      </c>
      <c r="E124" s="3768"/>
      <c r="F124" s="3768"/>
      <c r="G124" s="3768"/>
      <c r="H124" s="3768"/>
      <c r="I124" s="3769"/>
      <c r="AA124" s="720"/>
    </row>
    <row r="125" spans="1:27" ht="18.75" customHeight="1">
      <c r="A125" s="3703" t="s">
        <v>1452</v>
      </c>
      <c r="B125" s="3703"/>
      <c r="C125" s="3703"/>
      <c r="D125" s="3743" t="e">
        <f>NUMBERSTRING(INT(D124*10000),2)&amp;"元整"</f>
        <v>#VALUE!</v>
      </c>
      <c r="E125" s="3744"/>
      <c r="F125" s="3744"/>
      <c r="G125" s="3744"/>
      <c r="H125" s="3744"/>
      <c r="I125" s="3745"/>
      <c r="AA125" s="720"/>
    </row>
    <row r="126" spans="1:27" ht="18.75" customHeight="1">
      <c r="A126" s="3734" t="str">
        <f>IF(项目基本情况!B9="房地产市场价值","",MID(E111,3,LEN(E111)-2))</f>
        <v/>
      </c>
      <c r="B126" s="3734"/>
      <c r="C126" s="3734"/>
      <c r="D126" s="3767" t="str">
        <f>H111</f>
        <v>——</v>
      </c>
      <c r="E126" s="3768"/>
      <c r="F126" s="3768"/>
      <c r="G126" s="3768"/>
      <c r="H126" s="3768"/>
      <c r="I126" s="3769"/>
      <c r="AA126" s="720"/>
    </row>
    <row r="127" spans="1:27" ht="18.75" customHeight="1">
      <c r="A127" s="3703" t="s">
        <v>1452</v>
      </c>
      <c r="B127" s="3703"/>
      <c r="C127" s="3703"/>
      <c r="D127" s="3743" t="e">
        <f>NUMBERSTRING(INT(D126*10000),2)&amp;"元整"</f>
        <v>#VALUE!</v>
      </c>
      <c r="E127" s="3744"/>
      <c r="F127" s="3744"/>
      <c r="G127" s="3744"/>
      <c r="H127" s="3744"/>
      <c r="I127" s="3745"/>
      <c r="AA127" s="720"/>
    </row>
    <row r="128" spans="1:27" ht="21.75" customHeight="1">
      <c r="A128" s="3750" t="s">
        <v>1453</v>
      </c>
      <c r="B128" s="3750"/>
      <c r="C128" s="3750"/>
      <c r="D128" s="3750"/>
      <c r="E128" s="3750"/>
      <c r="F128" s="3750"/>
      <c r="G128" s="3750"/>
      <c r="H128" s="3750"/>
      <c r="I128" s="3750"/>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01" t="s">
        <v>1770</v>
      </c>
      <c r="D4" s="3802"/>
      <c r="E4" s="3803" t="s">
        <v>1771</v>
      </c>
      <c r="F4" s="3804"/>
      <c r="G4" s="3801" t="s">
        <v>1772</v>
      </c>
      <c r="H4" s="3802"/>
      <c r="I4" s="3801" t="s">
        <v>1773</v>
      </c>
      <c r="J4" s="3802"/>
      <c r="K4" s="556" t="s">
        <v>1774</v>
      </c>
      <c r="L4" s="2699"/>
      <c r="M4" s="2700"/>
      <c r="N4" s="2700"/>
      <c r="O4" s="2700"/>
      <c r="P4" s="3805" t="s">
        <v>1775</v>
      </c>
      <c r="Q4" s="3806"/>
      <c r="R4" s="3811" t="s">
        <v>1771</v>
      </c>
      <c r="S4" s="3812"/>
      <c r="T4" s="3811" t="s">
        <v>1772</v>
      </c>
      <c r="U4" s="3812"/>
      <c r="V4" s="3817" t="s">
        <v>1773</v>
      </c>
      <c r="W4" s="3817"/>
      <c r="X4" s="1347"/>
      <c r="Y4" s="3811" t="s">
        <v>1775</v>
      </c>
      <c r="Z4" s="3812"/>
      <c r="AA4" s="3798" t="s">
        <v>1771</v>
      </c>
      <c r="AB4" s="3799" t="s">
        <v>1772</v>
      </c>
      <c r="AC4" s="3798" t="s">
        <v>1773</v>
      </c>
    </row>
    <row r="5" spans="1:29" ht="15">
      <c r="A5" s="358"/>
      <c r="B5" s="359"/>
      <c r="C5" s="3825" t="s">
        <v>1673</v>
      </c>
      <c r="D5" s="3821"/>
      <c r="E5" s="3828" t="s">
        <v>3514</v>
      </c>
      <c r="F5" s="3829"/>
      <c r="G5" s="3820" t="s">
        <v>3515</v>
      </c>
      <c r="H5" s="3821"/>
      <c r="I5" s="3820" t="s">
        <v>3482</v>
      </c>
      <c r="J5" s="3821"/>
      <c r="K5" s="556"/>
      <c r="L5" s="2699"/>
      <c r="M5" s="2700"/>
      <c r="N5" s="2700"/>
      <c r="O5" s="2700"/>
      <c r="P5" s="3807"/>
      <c r="Q5" s="3808"/>
      <c r="R5" s="3813"/>
      <c r="S5" s="3814"/>
      <c r="T5" s="3813"/>
      <c r="U5" s="3814"/>
      <c r="V5" s="3817"/>
      <c r="W5" s="3817"/>
      <c r="X5" s="1347"/>
      <c r="Y5" s="3813"/>
      <c r="Z5" s="3814"/>
      <c r="AA5" s="3799"/>
      <c r="AB5" s="3799"/>
      <c r="AC5" s="3799"/>
    </row>
    <row r="6" spans="1:29" ht="15.75" thickBot="1">
      <c r="A6" s="360"/>
      <c r="B6" s="361"/>
      <c r="C6" s="3818" t="s">
        <v>1677</v>
      </c>
      <c r="D6" s="3819"/>
      <c r="E6" s="3826" t="s">
        <v>1677</v>
      </c>
      <c r="F6" s="3827"/>
      <c r="G6" s="3818" t="s">
        <v>1677</v>
      </c>
      <c r="H6" s="3819"/>
      <c r="I6" s="3818" t="s">
        <v>1677</v>
      </c>
      <c r="J6" s="3819"/>
      <c r="K6" s="556" t="s">
        <v>1678</v>
      </c>
      <c r="L6" s="2699"/>
      <c r="M6" s="2700"/>
      <c r="N6" s="2700"/>
      <c r="O6" s="2700"/>
      <c r="P6" s="3809"/>
      <c r="Q6" s="3810"/>
      <c r="R6" s="3813"/>
      <c r="S6" s="3814"/>
      <c r="T6" s="3815"/>
      <c r="U6" s="3816"/>
      <c r="V6" s="3817"/>
      <c r="W6" s="3817"/>
      <c r="X6" s="1347"/>
      <c r="Y6" s="3815"/>
      <c r="Z6" s="3816"/>
      <c r="AA6" s="3800"/>
      <c r="AB6" s="3800"/>
      <c r="AC6" s="3800"/>
    </row>
    <row r="7" spans="1:29" s="108" customFormat="1" ht="15.75" thickBot="1">
      <c r="A7" s="362" t="s">
        <v>1679</v>
      </c>
      <c r="B7" s="363"/>
      <c r="C7" s="364">
        <f>'数据-取费表'!B2</f>
        <v>45173</v>
      </c>
      <c r="D7" s="365">
        <v>100</v>
      </c>
      <c r="E7" s="366">
        <v>44835</v>
      </c>
      <c r="F7" s="367">
        <f>SUMIF(46:46,YEAR(E7)&amp;"-"&amp;MONTH(E7),47:47)</f>
        <v>99.5</v>
      </c>
      <c r="G7" s="1962">
        <v>45078</v>
      </c>
      <c r="H7" s="365">
        <f>SUMIF(46:46,YEAR(G7)&amp;"-"&amp;MONTH(G7),47:47)</f>
        <v>100</v>
      </c>
      <c r="I7" s="366">
        <v>45139</v>
      </c>
      <c r="J7" s="365">
        <f>SUMIF(46:46,YEAR(I7)&amp;"-"&amp;MONTH(I7),47:47)</f>
        <v>100</v>
      </c>
      <c r="K7" s="557"/>
      <c r="L7" s="2701"/>
      <c r="M7" s="2702"/>
      <c r="N7" s="2702"/>
      <c r="O7" s="2702"/>
      <c r="P7" s="3822" t="s">
        <v>1680</v>
      </c>
      <c r="Q7" s="3824"/>
      <c r="R7" s="696" t="s">
        <v>14</v>
      </c>
      <c r="S7" s="697">
        <f t="shared" ref="S7:S14" si="0">F7</f>
        <v>99.5</v>
      </c>
      <c r="T7" s="696" t="s">
        <v>14</v>
      </c>
      <c r="U7" s="697">
        <f t="shared" ref="U7:U14" si="1">H7</f>
        <v>100</v>
      </c>
      <c r="V7" s="696" t="s">
        <v>14</v>
      </c>
      <c r="W7" s="697">
        <f t="shared" ref="W7:W14" si="2">J7</f>
        <v>100</v>
      </c>
      <c r="X7" s="698"/>
      <c r="Y7" s="3822" t="s">
        <v>1680</v>
      </c>
      <c r="Z7" s="3823"/>
      <c r="AA7" s="699">
        <f>D7/F7</f>
        <v>1.0050251256281406</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22" t="s">
        <v>1683</v>
      </c>
      <c r="Q8" s="3823"/>
      <c r="R8" s="696" t="s">
        <v>14</v>
      </c>
      <c r="S8" s="697">
        <f t="shared" si="0"/>
        <v>100</v>
      </c>
      <c r="T8" s="696" t="s">
        <v>14</v>
      </c>
      <c r="U8" s="697">
        <f t="shared" si="1"/>
        <v>100</v>
      </c>
      <c r="V8" s="696" t="s">
        <v>14</v>
      </c>
      <c r="W8" s="697">
        <f t="shared" si="2"/>
        <v>100</v>
      </c>
      <c r="X8" s="698"/>
      <c r="Y8" s="3822" t="s">
        <v>1683</v>
      </c>
      <c r="Z8" s="3823"/>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786" t="s">
        <v>1686</v>
      </c>
      <c r="Q9" s="1335" t="str">
        <f t="shared" ref="Q9:Q14" si="6">B9</f>
        <v>用途</v>
      </c>
      <c r="R9" s="696" t="s">
        <v>14</v>
      </c>
      <c r="S9" s="697">
        <f t="shared" si="0"/>
        <v>100</v>
      </c>
      <c r="T9" s="696" t="s">
        <v>14</v>
      </c>
      <c r="U9" s="697">
        <f t="shared" si="1"/>
        <v>100</v>
      </c>
      <c r="V9" s="696" t="s">
        <v>14</v>
      </c>
      <c r="W9" s="697">
        <f t="shared" si="2"/>
        <v>100</v>
      </c>
      <c r="X9" s="698"/>
      <c r="Y9" s="3690"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786"/>
      <c r="Q10" s="1335" t="str">
        <f t="shared" si="6"/>
        <v>土地使用年限（年）</v>
      </c>
      <c r="R10" s="696" t="s">
        <v>14</v>
      </c>
      <c r="S10" s="697">
        <f t="shared" si="0"/>
        <v>100</v>
      </c>
      <c r="T10" s="696" t="s">
        <v>14</v>
      </c>
      <c r="U10" s="697">
        <f t="shared" si="1"/>
        <v>100</v>
      </c>
      <c r="V10" s="696" t="s">
        <v>14</v>
      </c>
      <c r="W10" s="697">
        <f t="shared" si="2"/>
        <v>100</v>
      </c>
      <c r="X10" s="698"/>
      <c r="Y10" s="3690"/>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786"/>
      <c r="Q11" s="1335">
        <f t="shared" si="6"/>
        <v>111</v>
      </c>
      <c r="R11" s="696" t="s">
        <v>14</v>
      </c>
      <c r="S11" s="697">
        <f t="shared" si="0"/>
        <v>100</v>
      </c>
      <c r="T11" s="696" t="s">
        <v>14</v>
      </c>
      <c r="U11" s="697">
        <f t="shared" si="1"/>
        <v>100</v>
      </c>
      <c r="V11" s="696" t="s">
        <v>14</v>
      </c>
      <c r="W11" s="697">
        <f t="shared" si="2"/>
        <v>100</v>
      </c>
      <c r="X11" s="698"/>
      <c r="Y11" s="3690"/>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786"/>
      <c r="Q12" s="1335">
        <f t="shared" si="6"/>
        <v>111</v>
      </c>
      <c r="R12" s="696" t="s">
        <v>14</v>
      </c>
      <c r="S12" s="697">
        <f t="shared" si="0"/>
        <v>100</v>
      </c>
      <c r="T12" s="696" t="s">
        <v>14</v>
      </c>
      <c r="U12" s="697">
        <f t="shared" si="1"/>
        <v>100</v>
      </c>
      <c r="V12" s="696" t="s">
        <v>14</v>
      </c>
      <c r="W12" s="697">
        <f t="shared" si="2"/>
        <v>100</v>
      </c>
      <c r="X12" s="698"/>
      <c r="Y12" s="3690"/>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786"/>
      <c r="Q13" s="1335">
        <f t="shared" si="6"/>
        <v>111</v>
      </c>
      <c r="R13" s="696" t="s">
        <v>14</v>
      </c>
      <c r="S13" s="697">
        <f t="shared" si="0"/>
        <v>100</v>
      </c>
      <c r="T13" s="696" t="s">
        <v>14</v>
      </c>
      <c r="U13" s="697">
        <f t="shared" si="1"/>
        <v>100</v>
      </c>
      <c r="V13" s="696" t="s">
        <v>14</v>
      </c>
      <c r="W13" s="697">
        <f t="shared" si="2"/>
        <v>100</v>
      </c>
      <c r="X13" s="698"/>
      <c r="Y13" s="3690"/>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788" t="s">
        <v>1691</v>
      </c>
      <c r="Q14" s="1344" t="str">
        <f t="shared" si="6"/>
        <v>交通便捷度</v>
      </c>
      <c r="R14" s="700" t="s">
        <v>14</v>
      </c>
      <c r="S14" s="701">
        <f t="shared" si="0"/>
        <v>100</v>
      </c>
      <c r="T14" s="700" t="s">
        <v>14</v>
      </c>
      <c r="U14" s="701">
        <f t="shared" si="1"/>
        <v>103</v>
      </c>
      <c r="V14" s="700" t="s">
        <v>14</v>
      </c>
      <c r="W14" s="701">
        <f t="shared" si="2"/>
        <v>103</v>
      </c>
      <c r="X14" s="1347"/>
      <c r="Y14" s="3788"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789"/>
      <c r="Q15" s="1344"/>
      <c r="R15" s="700"/>
      <c r="S15" s="701"/>
      <c r="T15" s="700"/>
      <c r="U15" s="701"/>
      <c r="V15" s="700"/>
      <c r="W15" s="701"/>
      <c r="X15" s="1347"/>
      <c r="Y15" s="3789"/>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789"/>
      <c r="Q16" s="1344" t="str">
        <f>B16</f>
        <v>公共配套设施</v>
      </c>
      <c r="R16" s="700" t="s">
        <v>14</v>
      </c>
      <c r="S16" s="701">
        <f>F16</f>
        <v>100</v>
      </c>
      <c r="T16" s="700" t="s">
        <v>14</v>
      </c>
      <c r="U16" s="701">
        <f>H16</f>
        <v>102</v>
      </c>
      <c r="V16" s="700" t="s">
        <v>14</v>
      </c>
      <c r="W16" s="701">
        <f>J16</f>
        <v>102</v>
      </c>
      <c r="X16" s="1347"/>
      <c r="Y16" s="3789"/>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789"/>
      <c r="Q17" s="1344"/>
      <c r="R17" s="700"/>
      <c r="S17" s="701"/>
      <c r="T17" s="700"/>
      <c r="U17" s="701"/>
      <c r="V17" s="700"/>
      <c r="W17" s="701"/>
      <c r="X17" s="1347"/>
      <c r="Y17" s="3789"/>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789"/>
      <c r="Q18" s="1344" t="str">
        <f>B18</f>
        <v>基础设施水平</v>
      </c>
      <c r="R18" s="700" t="s">
        <v>14</v>
      </c>
      <c r="S18" s="701">
        <f>F18</f>
        <v>100</v>
      </c>
      <c r="T18" s="700" t="s">
        <v>14</v>
      </c>
      <c r="U18" s="701">
        <f>H18</f>
        <v>100</v>
      </c>
      <c r="V18" s="700" t="s">
        <v>14</v>
      </c>
      <c r="W18" s="701">
        <f>J18</f>
        <v>100</v>
      </c>
      <c r="X18" s="1347"/>
      <c r="Y18" s="3789"/>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789"/>
      <c r="Q19" s="1344"/>
      <c r="R19" s="700"/>
      <c r="S19" s="701"/>
      <c r="T19" s="700"/>
      <c r="U19" s="701"/>
      <c r="V19" s="700"/>
      <c r="W19" s="701"/>
      <c r="X19" s="1347"/>
      <c r="Y19" s="3789"/>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789"/>
      <c r="Q20" s="1344" t="str">
        <f>B20</f>
        <v>自然及人文环境</v>
      </c>
      <c r="R20" s="700" t="s">
        <v>14</v>
      </c>
      <c r="S20" s="701">
        <f>F20</f>
        <v>98</v>
      </c>
      <c r="T20" s="700" t="s">
        <v>14</v>
      </c>
      <c r="U20" s="701">
        <f>H20</f>
        <v>98</v>
      </c>
      <c r="V20" s="700" t="s">
        <v>14</v>
      </c>
      <c r="W20" s="701">
        <f>J20</f>
        <v>98</v>
      </c>
      <c r="X20" s="1347"/>
      <c r="Y20" s="3789"/>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789"/>
      <c r="Q21" s="1344"/>
      <c r="R21" s="700"/>
      <c r="S21" s="701"/>
      <c r="T21" s="700"/>
      <c r="U21" s="701"/>
      <c r="V21" s="700"/>
      <c r="W21" s="701"/>
      <c r="X21" s="1347"/>
      <c r="Y21" s="3789"/>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789"/>
      <c r="Q22" s="1344" t="str">
        <f>B22</f>
        <v>楼层</v>
      </c>
      <c r="R22" s="700" t="s">
        <v>14</v>
      </c>
      <c r="S22" s="701">
        <f>F22</f>
        <v>100</v>
      </c>
      <c r="T22" s="700" t="s">
        <v>14</v>
      </c>
      <c r="U22" s="701">
        <f>H22</f>
        <v>100</v>
      </c>
      <c r="V22" s="700" t="s">
        <v>14</v>
      </c>
      <c r="W22" s="701">
        <f>J22</f>
        <v>100</v>
      </c>
      <c r="X22" s="1347"/>
      <c r="Y22" s="3789"/>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789"/>
      <c r="Q23" s="1344">
        <f>B23</f>
        <v>111</v>
      </c>
      <c r="R23" s="700" t="s">
        <v>14</v>
      </c>
      <c r="S23" s="701">
        <f>F23</f>
        <v>100</v>
      </c>
      <c r="T23" s="700" t="s">
        <v>14</v>
      </c>
      <c r="U23" s="701">
        <f>H23</f>
        <v>100</v>
      </c>
      <c r="V23" s="700" t="s">
        <v>14</v>
      </c>
      <c r="W23" s="701">
        <f>J23</f>
        <v>100</v>
      </c>
      <c r="X23" s="1347"/>
      <c r="Y23" s="3789"/>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789"/>
      <c r="Q24" s="1344">
        <f t="shared" ref="Q24:Q34" si="11">B24</f>
        <v>111</v>
      </c>
      <c r="R24" s="700" t="s">
        <v>14</v>
      </c>
      <c r="S24" s="701">
        <f>F24</f>
        <v>100</v>
      </c>
      <c r="T24" s="700" t="s">
        <v>14</v>
      </c>
      <c r="U24" s="701">
        <f>H24</f>
        <v>100</v>
      </c>
      <c r="V24" s="700" t="s">
        <v>14</v>
      </c>
      <c r="W24" s="701">
        <f>J24</f>
        <v>100</v>
      </c>
      <c r="X24" s="1347"/>
      <c r="Y24" s="3789"/>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789"/>
      <c r="Q25" s="1335">
        <f t="shared" si="11"/>
        <v>111</v>
      </c>
      <c r="R25" s="696" t="s">
        <v>14</v>
      </c>
      <c r="S25" s="697">
        <f>F25</f>
        <v>100</v>
      </c>
      <c r="T25" s="696" t="s">
        <v>14</v>
      </c>
      <c r="U25" s="697">
        <f>H25</f>
        <v>100</v>
      </c>
      <c r="V25" s="696" t="s">
        <v>14</v>
      </c>
      <c r="W25" s="697">
        <f>J25</f>
        <v>100</v>
      </c>
      <c r="X25" s="698"/>
      <c r="Y25" s="3789"/>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33"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793"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793"/>
      <c r="Q27" s="702" t="str">
        <f t="shared" si="11"/>
        <v>成新率</v>
      </c>
      <c r="R27" s="703" t="s">
        <v>14</v>
      </c>
      <c r="S27" s="704">
        <f t="shared" si="12"/>
        <v>100</v>
      </c>
      <c r="T27" s="703" t="s">
        <v>14</v>
      </c>
      <c r="U27" s="704">
        <f t="shared" si="13"/>
        <v>100</v>
      </c>
      <c r="V27" s="703" t="s">
        <v>14</v>
      </c>
      <c r="W27" s="704">
        <f t="shared" si="14"/>
        <v>100</v>
      </c>
      <c r="X27" s="705"/>
      <c r="Y27" s="3793"/>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793"/>
      <c r="Q28" s="1344" t="str">
        <f t="shared" si="11"/>
        <v>物业等级</v>
      </c>
      <c r="R28" s="700" t="s">
        <v>14</v>
      </c>
      <c r="S28" s="701">
        <f t="shared" si="12"/>
        <v>100</v>
      </c>
      <c r="T28" s="700" t="s">
        <v>14</v>
      </c>
      <c r="U28" s="701">
        <f t="shared" si="13"/>
        <v>100</v>
      </c>
      <c r="V28" s="700" t="s">
        <v>14</v>
      </c>
      <c r="W28" s="701">
        <f t="shared" si="14"/>
        <v>100</v>
      </c>
      <c r="X28" s="1347"/>
      <c r="Y28" s="3793"/>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793"/>
      <c r="Q29" s="1344" t="str">
        <f t="shared" si="11"/>
        <v>有无电梯</v>
      </c>
      <c r="R29" s="700" t="s">
        <v>14</v>
      </c>
      <c r="S29" s="701">
        <f t="shared" si="12"/>
        <v>100</v>
      </c>
      <c r="T29" s="700" t="s">
        <v>14</v>
      </c>
      <c r="U29" s="701">
        <f t="shared" si="13"/>
        <v>100</v>
      </c>
      <c r="V29" s="700" t="s">
        <v>14</v>
      </c>
      <c r="W29" s="701">
        <f t="shared" si="14"/>
        <v>100</v>
      </c>
      <c r="X29" s="1347"/>
      <c r="Y29" s="3793"/>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793"/>
      <c r="Q30" s="1344" t="str">
        <f t="shared" si="11"/>
        <v>建筑面积</v>
      </c>
      <c r="R30" s="700" t="s">
        <v>14</v>
      </c>
      <c r="S30" s="701">
        <f t="shared" si="12"/>
        <v>101</v>
      </c>
      <c r="T30" s="700" t="s">
        <v>14</v>
      </c>
      <c r="U30" s="701">
        <f t="shared" si="13"/>
        <v>101</v>
      </c>
      <c r="V30" s="700" t="s">
        <v>14</v>
      </c>
      <c r="W30" s="701">
        <f t="shared" si="14"/>
        <v>100</v>
      </c>
      <c r="X30" s="1347"/>
      <c r="Y30" s="3793"/>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793"/>
      <c r="Q31" s="1335" t="str">
        <f t="shared" si="11"/>
        <v>是否封闭</v>
      </c>
      <c r="R31" s="696" t="s">
        <v>14</v>
      </c>
      <c r="S31" s="697">
        <f t="shared" si="12"/>
        <v>100</v>
      </c>
      <c r="T31" s="696" t="s">
        <v>14</v>
      </c>
      <c r="U31" s="697">
        <f t="shared" si="13"/>
        <v>100</v>
      </c>
      <c r="V31" s="696" t="s">
        <v>14</v>
      </c>
      <c r="W31" s="697">
        <f t="shared" si="14"/>
        <v>100</v>
      </c>
      <c r="X31" s="698"/>
      <c r="Y31" s="3793"/>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793" t="s">
        <v>1696</v>
      </c>
      <c r="Q32" s="1344">
        <f t="shared" si="11"/>
        <v>111</v>
      </c>
      <c r="R32" s="700" t="s">
        <v>14</v>
      </c>
      <c r="S32" s="701">
        <f t="shared" si="12"/>
        <v>100</v>
      </c>
      <c r="T32" s="700" t="s">
        <v>14</v>
      </c>
      <c r="U32" s="701">
        <f t="shared" si="13"/>
        <v>100</v>
      </c>
      <c r="V32" s="700" t="s">
        <v>14</v>
      </c>
      <c r="W32" s="701">
        <f t="shared" si="14"/>
        <v>100</v>
      </c>
      <c r="X32" s="1347"/>
      <c r="Y32" s="3793"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793"/>
      <c r="Q33" s="1344">
        <f t="shared" si="11"/>
        <v>111</v>
      </c>
      <c r="R33" s="700" t="s">
        <v>14</v>
      </c>
      <c r="S33" s="701">
        <f t="shared" si="12"/>
        <v>100</v>
      </c>
      <c r="T33" s="700" t="s">
        <v>14</v>
      </c>
      <c r="U33" s="701">
        <f t="shared" si="13"/>
        <v>100</v>
      </c>
      <c r="V33" s="700" t="s">
        <v>14</v>
      </c>
      <c r="W33" s="701">
        <f t="shared" si="14"/>
        <v>100</v>
      </c>
      <c r="X33" s="1347"/>
      <c r="Y33" s="3793"/>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793"/>
      <c r="Q34" s="1344">
        <f t="shared" si="11"/>
        <v>111</v>
      </c>
      <c r="R34" s="700" t="s">
        <v>14</v>
      </c>
      <c r="S34" s="701">
        <f t="shared" si="12"/>
        <v>100</v>
      </c>
      <c r="T34" s="700" t="s">
        <v>14</v>
      </c>
      <c r="U34" s="701">
        <f t="shared" si="13"/>
        <v>100</v>
      </c>
      <c r="V34" s="700" t="s">
        <v>14</v>
      </c>
      <c r="W34" s="701">
        <f t="shared" si="14"/>
        <v>100</v>
      </c>
      <c r="X34" s="1347"/>
      <c r="Y34" s="3793"/>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786" t="str">
        <f>A35</f>
        <v>成交单价（元/平方米）</v>
      </c>
      <c r="Q35" s="3786"/>
      <c r="R35" s="3787">
        <f>E35</f>
        <v>13272</v>
      </c>
      <c r="S35" s="3787"/>
      <c r="T35" s="3787">
        <f>G35</f>
        <v>15098</v>
      </c>
      <c r="U35" s="3787"/>
      <c r="V35" s="3787">
        <f>I35</f>
        <v>14281</v>
      </c>
      <c r="W35" s="3787"/>
      <c r="X35" s="685"/>
      <c r="Y35" s="707"/>
      <c r="Z35" s="685"/>
      <c r="AA35" s="685"/>
      <c r="AB35" s="685"/>
      <c r="AC35" s="685"/>
    </row>
    <row r="36" spans="1:30" ht="15.75" thickBot="1">
      <c r="A36" s="434" t="s">
        <v>1793</v>
      </c>
      <c r="B36" s="435"/>
      <c r="C36" s="1152">
        <f>R37</f>
        <v>13955</v>
      </c>
      <c r="D36" s="2305" t="s">
        <v>2137</v>
      </c>
      <c r="E36" s="1153">
        <f>R36</f>
        <v>13476</v>
      </c>
      <c r="F36" s="2306"/>
      <c r="G36" s="1152">
        <f>T36</f>
        <v>14519</v>
      </c>
      <c r="H36" s="2306"/>
      <c r="I36" s="1153">
        <f>V36</f>
        <v>13871</v>
      </c>
      <c r="J36" s="2306"/>
      <c r="K36" s="2308">
        <f>F36+H36+J36</f>
        <v>0</v>
      </c>
      <c r="L36" s="2708"/>
      <c r="M36" s="2709"/>
      <c r="N36" s="2700"/>
      <c r="O36" s="2709"/>
      <c r="P36" s="3786" t="str">
        <f>A36</f>
        <v>比较价值（元/平方米）</v>
      </c>
      <c r="Q36" s="3786"/>
      <c r="R36" s="3787">
        <f>IF(F1="售价",ROUND(PRODUCT(R35,AA7:AA34),0),ROUND(PRODUCT(R35,AA7:AA34),1))</f>
        <v>13476</v>
      </c>
      <c r="S36" s="3787"/>
      <c r="T36" s="3787">
        <f>IF(F1="售价",ROUND(PRODUCT(T35,AB7:AB34),0),ROUND(PRODUCT(T35,AB7:AB34),1))</f>
        <v>14519</v>
      </c>
      <c r="U36" s="3787"/>
      <c r="V36" s="3787">
        <f>IF(F1="售价",ROUND(PRODUCT(V35,AC7:AC34),0),ROUND(PRODUCT(V35,AC7:AC34),1))</f>
        <v>13871</v>
      </c>
      <c r="W36" s="3787"/>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8"/>
      <c r="M37" s="2709"/>
      <c r="N37" s="2709"/>
      <c r="O37" s="2709"/>
      <c r="P37" s="3783" t="str">
        <f>A37</f>
        <v>估价对象XX用房的比较价值（楼面单价，元/平方米）</v>
      </c>
      <c r="Q37" s="3784"/>
      <c r="R37" s="3885">
        <f>IF(F1="售价",ROUND(IF(D36="简单平均",AVERAGE(R36:W36),R36*F36+T36*H36+V36*J36),0),ROUND(IF(D36="简单平均",AVERAGE(R36:V36),R36*F36+T36*H36+V36*J36),1))</f>
        <v>13955</v>
      </c>
      <c r="S37" s="3885"/>
      <c r="T37" s="3885"/>
      <c r="U37" s="3885"/>
      <c r="V37" s="3885"/>
      <c r="W37" s="3885"/>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01" t="s">
        <v>1770</v>
      </c>
      <c r="D4" s="3802"/>
      <c r="E4" s="3803" t="s">
        <v>1771</v>
      </c>
      <c r="F4" s="3804"/>
      <c r="G4" s="3801" t="s">
        <v>1772</v>
      </c>
      <c r="H4" s="3802"/>
      <c r="I4" s="3801" t="s">
        <v>1773</v>
      </c>
      <c r="J4" s="3802"/>
      <c r="K4" s="556" t="s">
        <v>1774</v>
      </c>
      <c r="L4" s="2699"/>
      <c r="M4" s="2700"/>
      <c r="N4" s="2700"/>
      <c r="O4" s="2700"/>
      <c r="P4" s="3805" t="s">
        <v>1775</v>
      </c>
      <c r="Q4" s="3806"/>
      <c r="R4" s="3811" t="s">
        <v>1771</v>
      </c>
      <c r="S4" s="3812"/>
      <c r="T4" s="3811" t="s">
        <v>1772</v>
      </c>
      <c r="U4" s="3812"/>
      <c r="V4" s="3817" t="s">
        <v>1773</v>
      </c>
      <c r="W4" s="3817"/>
      <c r="X4" s="1347"/>
      <c r="Y4" s="3811" t="s">
        <v>1775</v>
      </c>
      <c r="Z4" s="3812"/>
      <c r="AA4" s="3798" t="s">
        <v>1771</v>
      </c>
      <c r="AB4" s="3799" t="s">
        <v>1772</v>
      </c>
      <c r="AC4" s="3798" t="s">
        <v>1773</v>
      </c>
    </row>
    <row r="5" spans="1:29" ht="15">
      <c r="A5" s="358"/>
      <c r="B5" s="359"/>
      <c r="C5" s="3825" t="s">
        <v>1673</v>
      </c>
      <c r="D5" s="3821"/>
      <c r="E5" s="3834" t="s">
        <v>1674</v>
      </c>
      <c r="F5" s="3829"/>
      <c r="G5" s="3825" t="s">
        <v>1675</v>
      </c>
      <c r="H5" s="3821"/>
      <c r="I5" s="3825" t="s">
        <v>1676</v>
      </c>
      <c r="J5" s="3821"/>
      <c r="K5" s="556"/>
      <c r="L5" s="2699"/>
      <c r="M5" s="2700"/>
      <c r="N5" s="2700"/>
      <c r="O5" s="2700"/>
      <c r="P5" s="3807"/>
      <c r="Q5" s="3808"/>
      <c r="R5" s="3813"/>
      <c r="S5" s="3814"/>
      <c r="T5" s="3813"/>
      <c r="U5" s="3814"/>
      <c r="V5" s="3817"/>
      <c r="W5" s="3817"/>
      <c r="X5" s="1347"/>
      <c r="Y5" s="3813"/>
      <c r="Z5" s="3814"/>
      <c r="AA5" s="3799"/>
      <c r="AB5" s="3799"/>
      <c r="AC5" s="3799"/>
    </row>
    <row r="6" spans="1:29" ht="15.75" thickBot="1">
      <c r="A6" s="360"/>
      <c r="B6" s="361"/>
      <c r="C6" s="3886" t="s">
        <v>1919</v>
      </c>
      <c r="D6" s="3887"/>
      <c r="E6" s="3888" t="s">
        <v>1919</v>
      </c>
      <c r="F6" s="3889"/>
      <c r="G6" s="3886" t="s">
        <v>1919</v>
      </c>
      <c r="H6" s="3887"/>
      <c r="I6" s="3886" t="s">
        <v>1919</v>
      </c>
      <c r="J6" s="3887"/>
      <c r="K6" s="556" t="s">
        <v>1678</v>
      </c>
      <c r="L6" s="2699"/>
      <c r="M6" s="2700"/>
      <c r="N6" s="2700"/>
      <c r="O6" s="2700"/>
      <c r="P6" s="3809"/>
      <c r="Q6" s="3810"/>
      <c r="R6" s="3813"/>
      <c r="S6" s="3814"/>
      <c r="T6" s="3815"/>
      <c r="U6" s="3816"/>
      <c r="V6" s="3817"/>
      <c r="W6" s="3817"/>
      <c r="X6" s="1347"/>
      <c r="Y6" s="3815"/>
      <c r="Z6" s="3816"/>
      <c r="AA6" s="3800"/>
      <c r="AB6" s="3800"/>
      <c r="AC6" s="3800"/>
    </row>
    <row r="7" spans="1:29" s="108" customFormat="1" ht="15.75" thickBot="1">
      <c r="A7" s="362" t="s">
        <v>1679</v>
      </c>
      <c r="B7" s="363"/>
      <c r="C7" s="364">
        <f>'数据-取费表'!B2</f>
        <v>45173</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22" t="s">
        <v>1680</v>
      </c>
      <c r="Q7" s="3824"/>
      <c r="R7" s="696" t="s">
        <v>14</v>
      </c>
      <c r="S7" s="697">
        <f t="shared" ref="S7:S15" si="0">F7</f>
        <v>0</v>
      </c>
      <c r="T7" s="696" t="s">
        <v>14</v>
      </c>
      <c r="U7" s="697">
        <f t="shared" ref="U7:U15" si="1">H7</f>
        <v>0</v>
      </c>
      <c r="V7" s="696" t="s">
        <v>14</v>
      </c>
      <c r="W7" s="697">
        <f t="shared" ref="W7:W15" si="2">J7</f>
        <v>0</v>
      </c>
      <c r="X7" s="698"/>
      <c r="Y7" s="3822" t="s">
        <v>1680</v>
      </c>
      <c r="Z7" s="3823"/>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22" t="s">
        <v>1683</v>
      </c>
      <c r="Q8" s="3823"/>
      <c r="R8" s="696" t="s">
        <v>14</v>
      </c>
      <c r="S8" s="697">
        <f t="shared" si="0"/>
        <v>0</v>
      </c>
      <c r="T8" s="696" t="s">
        <v>14</v>
      </c>
      <c r="U8" s="697">
        <f t="shared" si="1"/>
        <v>0</v>
      </c>
      <c r="V8" s="696" t="s">
        <v>14</v>
      </c>
      <c r="W8" s="697">
        <f t="shared" si="2"/>
        <v>0</v>
      </c>
      <c r="X8" s="698"/>
      <c r="Y8" s="3822" t="s">
        <v>1683</v>
      </c>
      <c r="Z8" s="3823"/>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786" t="s">
        <v>1686</v>
      </c>
      <c r="Q9" s="1335" t="str">
        <f t="shared" ref="Q9:Q15" si="6">B9</f>
        <v>用途</v>
      </c>
      <c r="R9" s="696" t="s">
        <v>14</v>
      </c>
      <c r="S9" s="697">
        <f t="shared" si="0"/>
        <v>100</v>
      </c>
      <c r="T9" s="696" t="s">
        <v>14</v>
      </c>
      <c r="U9" s="697">
        <f t="shared" si="1"/>
        <v>100</v>
      </c>
      <c r="V9" s="696" t="s">
        <v>14</v>
      </c>
      <c r="W9" s="697">
        <f t="shared" si="2"/>
        <v>100</v>
      </c>
      <c r="X9" s="698"/>
      <c r="Y9" s="3690"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786"/>
      <c r="Q10" s="1335" t="str">
        <f t="shared" si="6"/>
        <v>土地使用年限（年）</v>
      </c>
      <c r="R10" s="696" t="s">
        <v>14</v>
      </c>
      <c r="S10" s="697">
        <f t="shared" si="0"/>
        <v>106</v>
      </c>
      <c r="T10" s="696" t="s">
        <v>14</v>
      </c>
      <c r="U10" s="697">
        <f t="shared" si="1"/>
        <v>106</v>
      </c>
      <c r="V10" s="696" t="s">
        <v>14</v>
      </c>
      <c r="W10" s="697">
        <f t="shared" si="2"/>
        <v>106</v>
      </c>
      <c r="X10" s="698"/>
      <c r="Y10" s="3690"/>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786"/>
      <c r="Q11" s="1335" t="str">
        <f t="shared" si="6"/>
        <v>容积率</v>
      </c>
      <c r="R11" s="696" t="s">
        <v>14</v>
      </c>
      <c r="S11" s="697" t="e">
        <f t="shared" si="0"/>
        <v>#N/A</v>
      </c>
      <c r="T11" s="696" t="s">
        <v>14</v>
      </c>
      <c r="U11" s="697" t="e">
        <f t="shared" si="1"/>
        <v>#N/A</v>
      </c>
      <c r="V11" s="696" t="s">
        <v>14</v>
      </c>
      <c r="W11" s="697" t="e">
        <f t="shared" si="2"/>
        <v>#N/A</v>
      </c>
      <c r="X11" s="698"/>
      <c r="Y11" s="3690"/>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786"/>
      <c r="Q12" s="1335">
        <f t="shared" si="6"/>
        <v>111</v>
      </c>
      <c r="R12" s="696" t="s">
        <v>14</v>
      </c>
      <c r="S12" s="697">
        <f t="shared" si="0"/>
        <v>100</v>
      </c>
      <c r="T12" s="696" t="s">
        <v>14</v>
      </c>
      <c r="U12" s="697">
        <f t="shared" si="1"/>
        <v>100</v>
      </c>
      <c r="V12" s="696" t="s">
        <v>14</v>
      </c>
      <c r="W12" s="697">
        <f t="shared" si="2"/>
        <v>100</v>
      </c>
      <c r="X12" s="698"/>
      <c r="Y12" s="3690"/>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786"/>
      <c r="Q13" s="1335">
        <f t="shared" si="6"/>
        <v>111</v>
      </c>
      <c r="R13" s="696" t="s">
        <v>14</v>
      </c>
      <c r="S13" s="697">
        <f t="shared" si="0"/>
        <v>100</v>
      </c>
      <c r="T13" s="696" t="s">
        <v>14</v>
      </c>
      <c r="U13" s="697">
        <f t="shared" si="1"/>
        <v>100</v>
      </c>
      <c r="V13" s="696" t="s">
        <v>14</v>
      </c>
      <c r="W13" s="697">
        <f t="shared" si="2"/>
        <v>100</v>
      </c>
      <c r="X13" s="698"/>
      <c r="Y13" s="3690"/>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786"/>
      <c r="Q14" s="1335">
        <f t="shared" si="6"/>
        <v>111</v>
      </c>
      <c r="R14" s="696" t="s">
        <v>14</v>
      </c>
      <c r="S14" s="697">
        <f t="shared" si="0"/>
        <v>100</v>
      </c>
      <c r="T14" s="696" t="s">
        <v>14</v>
      </c>
      <c r="U14" s="697">
        <f t="shared" si="1"/>
        <v>100</v>
      </c>
      <c r="V14" s="696" t="s">
        <v>14</v>
      </c>
      <c r="W14" s="697">
        <f t="shared" si="2"/>
        <v>100</v>
      </c>
      <c r="X14" s="698"/>
      <c r="Y14" s="3690"/>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788" t="s">
        <v>1691</v>
      </c>
      <c r="Q15" s="1344" t="str">
        <f t="shared" si="6"/>
        <v>产业集聚程度</v>
      </c>
      <c r="R15" s="700" t="s">
        <v>14</v>
      </c>
      <c r="S15" s="701">
        <f t="shared" si="0"/>
        <v>100</v>
      </c>
      <c r="T15" s="700" t="s">
        <v>14</v>
      </c>
      <c r="U15" s="701">
        <f t="shared" si="1"/>
        <v>100</v>
      </c>
      <c r="V15" s="700" t="s">
        <v>14</v>
      </c>
      <c r="W15" s="701">
        <f t="shared" si="2"/>
        <v>100</v>
      </c>
      <c r="X15" s="1347"/>
      <c r="Y15" s="3788"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789"/>
      <c r="Q16" s="1344"/>
      <c r="R16" s="700"/>
      <c r="S16" s="701"/>
      <c r="T16" s="700"/>
      <c r="U16" s="701"/>
      <c r="V16" s="700"/>
      <c r="W16" s="701"/>
      <c r="X16" s="1347"/>
      <c r="Y16" s="3789"/>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789"/>
      <c r="Q17" s="1344" t="str">
        <f>B17</f>
        <v>交通便捷度</v>
      </c>
      <c r="R17" s="700" t="s">
        <v>14</v>
      </c>
      <c r="S17" s="701">
        <f>F17</f>
        <v>100</v>
      </c>
      <c r="T17" s="700" t="s">
        <v>14</v>
      </c>
      <c r="U17" s="701">
        <f>H17</f>
        <v>100</v>
      </c>
      <c r="V17" s="700" t="s">
        <v>14</v>
      </c>
      <c r="W17" s="701">
        <f>J17</f>
        <v>100</v>
      </c>
      <c r="X17" s="1347"/>
      <c r="Y17" s="3789"/>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789"/>
      <c r="Q18" s="1344"/>
      <c r="R18" s="700"/>
      <c r="S18" s="701"/>
      <c r="T18" s="700"/>
      <c r="U18" s="701"/>
      <c r="V18" s="700"/>
      <c r="W18" s="701"/>
      <c r="X18" s="1347"/>
      <c r="Y18" s="3789"/>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789"/>
      <c r="Q19" s="1344" t="str">
        <f t="shared" ref="Q19:Q33" si="8">B19</f>
        <v>区域土地利用方向</v>
      </c>
      <c r="R19" s="700" t="s">
        <v>14</v>
      </c>
      <c r="S19" s="701">
        <f>F19</f>
        <v>100</v>
      </c>
      <c r="T19" s="700" t="s">
        <v>14</v>
      </c>
      <c r="U19" s="701">
        <f>H19</f>
        <v>100</v>
      </c>
      <c r="V19" s="700" t="s">
        <v>14</v>
      </c>
      <c r="W19" s="701">
        <f>J19</f>
        <v>100</v>
      </c>
      <c r="X19" s="1347"/>
      <c r="Y19" s="3789"/>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789"/>
      <c r="Q20" s="1344"/>
      <c r="R20" s="700"/>
      <c r="S20" s="701"/>
      <c r="T20" s="700"/>
      <c r="U20" s="701"/>
      <c r="V20" s="700"/>
      <c r="W20" s="701"/>
      <c r="X20" s="1347"/>
      <c r="Y20" s="3789"/>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789"/>
      <c r="Q21" s="1344" t="str">
        <f t="shared" si="8"/>
        <v>环境状况</v>
      </c>
      <c r="R21" s="700" t="s">
        <v>14</v>
      </c>
      <c r="S21" s="701">
        <f>F21</f>
        <v>100</v>
      </c>
      <c r="T21" s="700" t="s">
        <v>14</v>
      </c>
      <c r="U21" s="701">
        <f>H21</f>
        <v>100</v>
      </c>
      <c r="V21" s="700" t="s">
        <v>14</v>
      </c>
      <c r="W21" s="701">
        <f>J21</f>
        <v>100</v>
      </c>
      <c r="X21" s="1347"/>
      <c r="Y21" s="3789"/>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789"/>
      <c r="Q22" s="1344"/>
      <c r="R22" s="700"/>
      <c r="S22" s="701"/>
      <c r="T22" s="700"/>
      <c r="U22" s="701"/>
      <c r="V22" s="700"/>
      <c r="W22" s="701"/>
      <c r="X22" s="1347"/>
      <c r="Y22" s="3789"/>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789"/>
      <c r="Q23" s="1335" t="str">
        <f t="shared" si="8"/>
        <v>公共配套设施</v>
      </c>
      <c r="R23" s="696" t="s">
        <v>14</v>
      </c>
      <c r="S23" s="697">
        <f>F23</f>
        <v>100</v>
      </c>
      <c r="T23" s="696" t="s">
        <v>14</v>
      </c>
      <c r="U23" s="697">
        <f>H23</f>
        <v>100</v>
      </c>
      <c r="V23" s="696" t="s">
        <v>14</v>
      </c>
      <c r="W23" s="697">
        <f>J23</f>
        <v>100</v>
      </c>
      <c r="X23" s="698"/>
      <c r="Y23" s="3789"/>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789"/>
      <c r="Q24" s="1335"/>
      <c r="R24" s="696"/>
      <c r="S24" s="697"/>
      <c r="T24" s="696"/>
      <c r="U24" s="697"/>
      <c r="V24" s="696"/>
      <c r="W24" s="697"/>
      <c r="X24" s="698"/>
      <c r="Y24" s="3789"/>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789"/>
      <c r="Q25" s="1335" t="str">
        <f t="shared" ref="Q25" si="9">B25</f>
        <v>基础设施水平</v>
      </c>
      <c r="R25" s="696" t="s">
        <v>14</v>
      </c>
      <c r="S25" s="697">
        <f>F25</f>
        <v>100</v>
      </c>
      <c r="T25" s="696" t="s">
        <v>14</v>
      </c>
      <c r="U25" s="697">
        <f>H25</f>
        <v>100</v>
      </c>
      <c r="V25" s="696" t="s">
        <v>14</v>
      </c>
      <c r="W25" s="697">
        <f>J25</f>
        <v>100</v>
      </c>
      <c r="X25" s="698"/>
      <c r="Y25" s="3789"/>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789"/>
      <c r="Q26" s="1335"/>
      <c r="R26" s="696"/>
      <c r="S26" s="697"/>
      <c r="T26" s="696"/>
      <c r="U26" s="697"/>
      <c r="V26" s="696"/>
      <c r="W26" s="697"/>
      <c r="X26" s="698"/>
      <c r="Y26" s="3789"/>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789"/>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789"/>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789"/>
      <c r="Q28" s="1344" t="str">
        <f t="shared" si="8"/>
        <v>毗邻道路的类型与等级</v>
      </c>
      <c r="R28" s="700" t="s">
        <v>14</v>
      </c>
      <c r="S28" s="701">
        <f t="shared" si="10"/>
        <v>100</v>
      </c>
      <c r="T28" s="700" t="s">
        <v>14</v>
      </c>
      <c r="U28" s="701">
        <f t="shared" si="11"/>
        <v>100</v>
      </c>
      <c r="V28" s="700" t="s">
        <v>14</v>
      </c>
      <c r="W28" s="701">
        <f t="shared" si="12"/>
        <v>100</v>
      </c>
      <c r="X28" s="1347"/>
      <c r="Y28" s="3789"/>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789"/>
      <c r="Q29" s="1344"/>
      <c r="R29" s="700"/>
      <c r="S29" s="701"/>
      <c r="T29" s="700"/>
      <c r="U29" s="701"/>
      <c r="V29" s="700"/>
      <c r="W29" s="701"/>
      <c r="X29" s="1347"/>
      <c r="Y29" s="3789"/>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789"/>
      <c r="Q30" s="1344" t="str">
        <f t="shared" si="8"/>
        <v>土地级别</v>
      </c>
      <c r="R30" s="700" t="s">
        <v>14</v>
      </c>
      <c r="S30" s="701">
        <f t="shared" si="10"/>
        <v>100</v>
      </c>
      <c r="T30" s="700" t="s">
        <v>14</v>
      </c>
      <c r="U30" s="701">
        <f t="shared" si="11"/>
        <v>100</v>
      </c>
      <c r="V30" s="700" t="s">
        <v>14</v>
      </c>
      <c r="W30" s="701">
        <f t="shared" si="12"/>
        <v>100</v>
      </c>
      <c r="X30" s="1347"/>
      <c r="Y30" s="3789"/>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789"/>
      <c r="Q31" s="1344">
        <f t="shared" si="8"/>
        <v>111</v>
      </c>
      <c r="R31" s="700" t="s">
        <v>14</v>
      </c>
      <c r="S31" s="701">
        <f t="shared" si="10"/>
        <v>100</v>
      </c>
      <c r="T31" s="700" t="s">
        <v>14</v>
      </c>
      <c r="U31" s="701">
        <f t="shared" si="11"/>
        <v>100</v>
      </c>
      <c r="V31" s="700" t="s">
        <v>14</v>
      </c>
      <c r="W31" s="701">
        <f t="shared" si="12"/>
        <v>100</v>
      </c>
      <c r="X31" s="1347"/>
      <c r="Y31" s="3789"/>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33" t="s">
        <v>1696</v>
      </c>
      <c r="Q32" s="1344">
        <f t="shared" si="8"/>
        <v>111</v>
      </c>
      <c r="R32" s="700" t="s">
        <v>14</v>
      </c>
      <c r="S32" s="701">
        <f t="shared" si="10"/>
        <v>100</v>
      </c>
      <c r="T32" s="700" t="s">
        <v>14</v>
      </c>
      <c r="U32" s="701">
        <f t="shared" si="11"/>
        <v>100</v>
      </c>
      <c r="V32" s="700" t="s">
        <v>14</v>
      </c>
      <c r="W32" s="701">
        <f t="shared" si="12"/>
        <v>100</v>
      </c>
      <c r="X32" s="1347"/>
      <c r="Y32" s="3793"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793"/>
      <c r="Q33" s="1344">
        <f t="shared" si="8"/>
        <v>111</v>
      </c>
      <c r="R33" s="703" t="s">
        <v>14</v>
      </c>
      <c r="S33" s="704">
        <f t="shared" si="10"/>
        <v>100</v>
      </c>
      <c r="T33" s="703" t="s">
        <v>14</v>
      </c>
      <c r="U33" s="704">
        <f t="shared" si="11"/>
        <v>100</v>
      </c>
      <c r="V33" s="703" t="s">
        <v>14</v>
      </c>
      <c r="W33" s="704">
        <f t="shared" si="12"/>
        <v>100</v>
      </c>
      <c r="X33" s="705"/>
      <c r="Y33" s="3793"/>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793"/>
      <c r="Q34" s="1344" t="str">
        <f>B34</f>
        <v>宗地面积</v>
      </c>
      <c r="R34" s="700" t="s">
        <v>14</v>
      </c>
      <c r="S34" s="701" t="e">
        <f t="shared" si="10"/>
        <v>#N/A</v>
      </c>
      <c r="T34" s="700" t="s">
        <v>14</v>
      </c>
      <c r="U34" s="701" t="e">
        <f t="shared" si="11"/>
        <v>#N/A</v>
      </c>
      <c r="V34" s="700" t="s">
        <v>14</v>
      </c>
      <c r="W34" s="701" t="e">
        <f t="shared" si="12"/>
        <v>#N/A</v>
      </c>
      <c r="X34" s="1347"/>
      <c r="Y34" s="3793"/>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793"/>
      <c r="Q35" s="1344" t="str">
        <f t="shared" ref="Q35:Q40" si="14">B35</f>
        <v>宗地形状</v>
      </c>
      <c r="R35" s="700" t="s">
        <v>14</v>
      </c>
      <c r="S35" s="701">
        <f t="shared" si="10"/>
        <v>100</v>
      </c>
      <c r="T35" s="700" t="s">
        <v>14</v>
      </c>
      <c r="U35" s="701">
        <f t="shared" si="11"/>
        <v>100</v>
      </c>
      <c r="V35" s="700" t="s">
        <v>14</v>
      </c>
      <c r="W35" s="701">
        <f t="shared" si="12"/>
        <v>100</v>
      </c>
      <c r="X35" s="1347"/>
      <c r="Y35" s="3793"/>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793"/>
      <c r="Q36" s="1344" t="str">
        <f t="shared" si="14"/>
        <v>宗地开发程度</v>
      </c>
      <c r="R36" s="696" t="s">
        <v>14</v>
      </c>
      <c r="S36" s="697">
        <f t="shared" si="10"/>
        <v>100</v>
      </c>
      <c r="T36" s="696" t="s">
        <v>14</v>
      </c>
      <c r="U36" s="697">
        <f t="shared" si="11"/>
        <v>100</v>
      </c>
      <c r="V36" s="696" t="s">
        <v>14</v>
      </c>
      <c r="W36" s="697">
        <f t="shared" si="12"/>
        <v>100</v>
      </c>
      <c r="X36" s="698"/>
      <c r="Y36" s="3793"/>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793" t="s">
        <v>1696</v>
      </c>
      <c r="Q37" s="1344" t="str">
        <f t="shared" si="14"/>
        <v>工程地质条件</v>
      </c>
      <c r="R37" s="700" t="s">
        <v>14</v>
      </c>
      <c r="S37" s="701">
        <f t="shared" si="10"/>
        <v>100</v>
      </c>
      <c r="T37" s="700" t="s">
        <v>14</v>
      </c>
      <c r="U37" s="701">
        <f t="shared" si="11"/>
        <v>100</v>
      </c>
      <c r="V37" s="700" t="s">
        <v>14</v>
      </c>
      <c r="W37" s="701">
        <f t="shared" si="12"/>
        <v>100</v>
      </c>
      <c r="X37" s="1347"/>
      <c r="Y37" s="3793"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793"/>
      <c r="Q38" s="1344">
        <f t="shared" si="14"/>
        <v>111</v>
      </c>
      <c r="R38" s="700" t="s">
        <v>14</v>
      </c>
      <c r="S38" s="701">
        <f t="shared" si="10"/>
        <v>100</v>
      </c>
      <c r="T38" s="700" t="s">
        <v>14</v>
      </c>
      <c r="U38" s="701">
        <f t="shared" si="11"/>
        <v>100</v>
      </c>
      <c r="V38" s="700" t="s">
        <v>14</v>
      </c>
      <c r="W38" s="701">
        <f t="shared" si="12"/>
        <v>100</v>
      </c>
      <c r="X38" s="1347"/>
      <c r="Y38" s="3793"/>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793"/>
      <c r="Q39" s="1344">
        <f t="shared" si="14"/>
        <v>111</v>
      </c>
      <c r="R39" s="700" t="s">
        <v>14</v>
      </c>
      <c r="S39" s="701">
        <f t="shared" si="10"/>
        <v>100</v>
      </c>
      <c r="T39" s="700" t="s">
        <v>14</v>
      </c>
      <c r="U39" s="701">
        <f t="shared" si="11"/>
        <v>100</v>
      </c>
      <c r="V39" s="700" t="s">
        <v>14</v>
      </c>
      <c r="W39" s="701">
        <f t="shared" si="12"/>
        <v>100</v>
      </c>
      <c r="X39" s="1347"/>
      <c r="Y39" s="3793"/>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793"/>
      <c r="Q40" s="1344">
        <f t="shared" si="14"/>
        <v>111</v>
      </c>
      <c r="R40" s="703" t="s">
        <v>14</v>
      </c>
      <c r="S40" s="704">
        <f t="shared" si="10"/>
        <v>100</v>
      </c>
      <c r="T40" s="703" t="s">
        <v>14</v>
      </c>
      <c r="U40" s="704">
        <f t="shared" si="11"/>
        <v>100</v>
      </c>
      <c r="V40" s="703" t="s">
        <v>14</v>
      </c>
      <c r="W40" s="704">
        <f t="shared" si="12"/>
        <v>100</v>
      </c>
      <c r="X40" s="705"/>
      <c r="Y40" s="3793"/>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786" t="str">
        <f>A41</f>
        <v>成交单价</v>
      </c>
      <c r="Q41" s="3786"/>
      <c r="R41" s="3817">
        <f>E41</f>
        <v>0</v>
      </c>
      <c r="S41" s="3817"/>
      <c r="T41" s="3817">
        <f>G41</f>
        <v>0</v>
      </c>
      <c r="U41" s="3817"/>
      <c r="V41" s="3817">
        <f>I41</f>
        <v>0</v>
      </c>
      <c r="W41" s="3817"/>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786" t="str">
        <f>A42</f>
        <v>比较价值（元/平方米）</v>
      </c>
      <c r="Q42" s="3786"/>
      <c r="R42" s="3830" t="e">
        <f>ROUND(PRODUCT(R41,AA7:AA40),0)</f>
        <v>#DIV/0!</v>
      </c>
      <c r="S42" s="3830"/>
      <c r="T42" s="3830" t="e">
        <f>ROUND(PRODUCT(T41,AB7:AB40),0)</f>
        <v>#DIV/0!</v>
      </c>
      <c r="U42" s="3830"/>
      <c r="V42" s="3830" t="e">
        <f>ROUND(PRODUCT(V41,AC7:AC40),0)</f>
        <v>#DIV/0!</v>
      </c>
      <c r="W42" s="3830"/>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783" t="str">
        <f>A43</f>
        <v>估价对象XX用房的比较价值（楼面单价，元/平方米）</v>
      </c>
      <c r="Q43" s="3784"/>
      <c r="R43" s="3831" t="e">
        <f>ROUND(IF(D42="简单平均",AVERAGE(R42:W42),R42*F42+T42*H42+V42*J42),0)</f>
        <v>#DIV/0!</v>
      </c>
      <c r="S43" s="3831"/>
      <c r="T43" s="3831"/>
      <c r="U43" s="3831"/>
      <c r="V43" s="3831"/>
      <c r="W43" s="3831"/>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01" t="s">
        <v>1887</v>
      </c>
      <c r="H50" s="3832"/>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1422.5</v>
      </c>
      <c r="F51" s="635" t="e">
        <f t="shared" ref="F51:F60" si="15">ROUND(B51*E51/10000,0)</f>
        <v>#DIV/0!</v>
      </c>
      <c r="G51" s="3797"/>
      <c r="H51" s="3786"/>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0"/>
      <c r="C2" s="3580"/>
      <c r="D2" s="3580"/>
      <c r="E2" s="3580"/>
    </row>
    <row r="3" spans="1:5" ht="18">
      <c r="A3" s="3581" t="str">
        <f>IF(项目基本情况!B9="房地产市场价值","估价结果一览表（市场价值不需“结果表-1”）","估价结果一览表")</f>
        <v>估价结果一览表</v>
      </c>
      <c r="B3" s="3581"/>
      <c r="C3" s="3581"/>
      <c r="D3" s="3581"/>
      <c r="E3" s="3581"/>
    </row>
    <row r="4" spans="1:5" ht="19.5" thickBot="1">
      <c r="A4" s="1485"/>
      <c r="B4" s="3579" t="s">
        <v>917</v>
      </c>
      <c r="C4" s="3579"/>
      <c r="D4" s="3579"/>
      <c r="E4" s="1485"/>
    </row>
    <row r="5" spans="1:5" ht="16.5" thickTop="1">
      <c r="A5" s="1483"/>
      <c r="B5" s="3577" t="s">
        <v>909</v>
      </c>
      <c r="C5" s="1486" t="s">
        <v>910</v>
      </c>
      <c r="D5" s="842">
        <f ca="1">结果表!H101</f>
        <v>1247</v>
      </c>
      <c r="E5" s="1483"/>
    </row>
    <row r="6" spans="1:5" ht="15.75">
      <c r="A6" s="1483"/>
      <c r="B6" s="3577"/>
      <c r="C6" s="1486" t="s">
        <v>911</v>
      </c>
      <c r="D6" s="842" t="str">
        <f ca="1">NUMBERSTRING(INT(D5*10000),2)&amp;"元整"</f>
        <v>壹仟贰佰肆拾柒万元整</v>
      </c>
      <c r="E6" s="1483"/>
    </row>
    <row r="7" spans="1:5" ht="15.75">
      <c r="A7" s="1483"/>
      <c r="B7" s="3582"/>
      <c r="C7" s="1487" t="s">
        <v>912</v>
      </c>
      <c r="D7" s="843">
        <f ca="1">结果表!H102</f>
        <v>45249</v>
      </c>
      <c r="E7" s="1483"/>
    </row>
    <row r="8" spans="1:5" ht="15.75">
      <c r="A8" s="1483"/>
      <c r="B8" s="3583" t="str">
        <f>结果表!E103</f>
        <v>2.估价师知悉的法定优先受偿款</v>
      </c>
      <c r="C8" s="1488" t="s">
        <v>913</v>
      </c>
      <c r="D8" s="843">
        <f>结果表!H103</f>
        <v>0</v>
      </c>
      <c r="E8" s="1483"/>
    </row>
    <row r="9" spans="1:5" ht="15.75">
      <c r="A9" s="1483"/>
      <c r="B9" s="3585"/>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576" t="str">
        <f>结果表!E107</f>
        <v>3.房地产抵押价值</v>
      </c>
      <c r="C13" s="1491" t="s">
        <v>910</v>
      </c>
      <c r="D13" s="845">
        <f ca="1">结果表!H107</f>
        <v>1247</v>
      </c>
      <c r="E13" s="1483"/>
    </row>
    <row r="14" spans="1:5" ht="15.75">
      <c r="A14" s="1483"/>
      <c r="B14" s="3577"/>
      <c r="C14" s="1486" t="s">
        <v>911</v>
      </c>
      <c r="D14" s="842" t="str">
        <f ca="1">NUMBERSTRING(INT(D13*10000),2)&amp;"元整"</f>
        <v>壹仟贰佰肆拾柒万元整</v>
      </c>
      <c r="E14" s="1483"/>
    </row>
    <row r="15" spans="1:5" ht="15">
      <c r="A15" s="1483"/>
      <c r="B15" s="3582"/>
      <c r="C15" s="1487" t="s">
        <v>921</v>
      </c>
      <c r="D15" s="851">
        <f ca="1">结果表!H108</f>
        <v>45249</v>
      </c>
      <c r="E15" s="1483"/>
    </row>
    <row r="16" spans="1:5" ht="15">
      <c r="A16" s="1483"/>
      <c r="B16" s="3583" t="str">
        <f>结果表!E109</f>
        <v>——</v>
      </c>
      <c r="C16" s="1491" t="s">
        <v>922</v>
      </c>
      <c r="D16" s="1492" t="str">
        <f>结果表!H109</f>
        <v>——</v>
      </c>
      <c r="E16" s="1483"/>
    </row>
    <row r="17" spans="1:5" ht="15.75">
      <c r="A17" s="1483"/>
      <c r="B17" s="3584"/>
      <c r="C17" s="1486" t="s">
        <v>923</v>
      </c>
      <c r="D17" s="842" t="e">
        <f>NUMBERSTRING(INT(D16*10000),2)&amp;"元整"</f>
        <v>#VALUE!</v>
      </c>
      <c r="E17" s="1483"/>
    </row>
    <row r="18" spans="1:5" ht="15">
      <c r="A18" s="1483"/>
      <c r="B18" s="3585"/>
      <c r="C18" s="1487" t="s">
        <v>912</v>
      </c>
      <c r="D18" s="851" t="str">
        <f>结果表!H110</f>
        <v>——</v>
      </c>
      <c r="E18" s="1483"/>
    </row>
    <row r="19" spans="1:5" ht="15.75">
      <c r="A19" s="1483"/>
      <c r="B19" s="3576" t="str">
        <f>结果表!E111</f>
        <v>——</v>
      </c>
      <c r="C19" s="1491" t="s">
        <v>910</v>
      </c>
      <c r="D19" s="843" t="str">
        <f>结果表!H111</f>
        <v>——</v>
      </c>
      <c r="E19" s="1483"/>
    </row>
    <row r="20" spans="1:5" ht="15.75">
      <c r="A20" s="1483"/>
      <c r="B20" s="3577"/>
      <c r="C20" s="1486" t="s">
        <v>923</v>
      </c>
      <c r="D20" s="842" t="e">
        <f>NUMBERSTRING(INT(D19*10000),2)&amp;"元整"</f>
        <v>#VALUE!</v>
      </c>
      <c r="E20" s="1483"/>
    </row>
    <row r="21" spans="1:5" ht="15.75" thickBot="1">
      <c r="A21" s="1483"/>
      <c r="B21" s="3578"/>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897"/>
      <c r="B4" s="3898"/>
      <c r="C4" s="3898"/>
      <c r="D4" s="3899"/>
      <c r="E4" s="3899"/>
      <c r="F4" s="3899"/>
      <c r="G4" s="3899"/>
      <c r="H4" s="3899"/>
      <c r="I4" s="3899"/>
      <c r="J4" s="3900"/>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894" t="s">
        <v>1960</v>
      </c>
      <c r="X8" s="3895"/>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896"/>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896"/>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01" t="s">
        <v>3255</v>
      </c>
      <c r="B20" s="167" t="s">
        <v>1994</v>
      </c>
      <c r="C20" s="3309" t="e">
        <f>ROUND(IF(F21="与级别开发程度一致",0,(G21-E21)/C21),0)</f>
        <v>#DIV/0!</v>
      </c>
      <c r="D20" s="3325" t="s">
        <v>1998</v>
      </c>
      <c r="E20" s="3326"/>
      <c r="F20" s="3907" t="s">
        <v>1995</v>
      </c>
      <c r="G20" s="3908"/>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02"/>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45173</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10</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05"/>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06"/>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06"/>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03" t="s">
        <v>3295</v>
      </c>
      <c r="B103" s="3903"/>
      <c r="C103" s="3903"/>
      <c r="D103" s="3903"/>
      <c r="E103" s="3903"/>
      <c r="F103" s="3903"/>
      <c r="G103" s="3903"/>
      <c r="H103" s="3903"/>
      <c r="I103" s="3903"/>
      <c r="J103" s="3903"/>
      <c r="K103" s="3374"/>
      <c r="L103" s="3374"/>
      <c r="M103" s="3374"/>
      <c r="N103" s="3374"/>
    </row>
    <row r="104" spans="1:14">
      <c r="A104" s="3904" t="s">
        <v>3296</v>
      </c>
      <c r="B104" s="3904" t="s">
        <v>3297</v>
      </c>
      <c r="C104" s="3375" t="s">
        <v>3298</v>
      </c>
      <c r="D104" s="3376"/>
      <c r="E104" s="3376"/>
      <c r="F104" s="3376"/>
      <c r="G104" s="3376"/>
      <c r="H104" s="3376"/>
      <c r="I104" s="3376"/>
      <c r="J104" s="3377"/>
      <c r="K104" s="3378"/>
      <c r="L104" s="3378"/>
      <c r="M104" s="3378"/>
      <c r="N104" s="3378"/>
    </row>
    <row r="105" spans="1:14">
      <c r="A105" s="3904"/>
      <c r="B105" s="3904"/>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890"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891"/>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891"/>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891"/>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891"/>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891"/>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892"/>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893" t="s">
        <v>3312</v>
      </c>
      <c r="B113" s="3893"/>
      <c r="C113" s="3893"/>
      <c r="D113" s="3893"/>
      <c r="E113" s="3893"/>
      <c r="F113" s="3893"/>
      <c r="G113" s="3893"/>
      <c r="H113" s="3893"/>
      <c r="I113" s="3893"/>
      <c r="J113" s="3893"/>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9" priority="6" stopIfTrue="1" operator="notEqual">
      <formula>"——"</formula>
    </cfRule>
  </conditionalFormatting>
  <conditionalFormatting sqref="F61">
    <cfRule type="cellIs" dxfId="28" priority="5" stopIfTrue="1" operator="notEqual">
      <formula>"——"</formula>
    </cfRule>
  </conditionalFormatting>
  <conditionalFormatting sqref="F72">
    <cfRule type="cellIs" dxfId="27" priority="4" stopIfTrue="1" operator="notEqual">
      <formula>"——"</formula>
    </cfRule>
  </conditionalFormatting>
  <conditionalFormatting sqref="F83">
    <cfRule type="cellIs" dxfId="26" priority="3" stopIfTrue="1" operator="notEqual">
      <formula>"——"</formula>
    </cfRule>
  </conditionalFormatting>
  <conditionalFormatting sqref="H50:H58 H61:H69 H72:H80 H83:H91">
    <cfRule type="cellIs" dxfId="25" priority="2" operator="notEqual">
      <formula>"——"</formula>
    </cfRule>
  </conditionalFormatting>
  <conditionalFormatting sqref="H93:H101">
    <cfRule type="cellIs" dxfId="2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18" t="s">
        <v>2606</v>
      </c>
      <c r="B20" s="3913" t="s">
        <v>2627</v>
      </c>
      <c r="C20" s="3087" t="s">
        <v>2438</v>
      </c>
      <c r="D20" s="3088"/>
      <c r="E20" s="3089">
        <v>1</v>
      </c>
      <c r="F20" s="3090" t="s">
        <v>2439</v>
      </c>
      <c r="G20" s="3090"/>
    </row>
    <row r="21" spans="1:13" ht="19.5" customHeight="1">
      <c r="A21" s="3919"/>
      <c r="B21" s="3912"/>
      <c r="C21" s="3091" t="s">
        <v>2440</v>
      </c>
      <c r="D21" s="3092"/>
      <c r="E21" s="3093">
        <v>1</v>
      </c>
      <c r="F21" s="3090" t="s">
        <v>2441</v>
      </c>
      <c r="G21" s="3090"/>
    </row>
    <row r="22" spans="1:13" ht="19.5" customHeight="1">
      <c r="A22" s="3919"/>
      <c r="B22" s="3912"/>
      <c r="C22" s="3091" t="s">
        <v>2442</v>
      </c>
      <c r="D22" s="3092"/>
      <c r="E22" s="3093">
        <v>0.9</v>
      </c>
      <c r="F22" s="3090" t="s">
        <v>2443</v>
      </c>
      <c r="G22" s="3090"/>
    </row>
    <row r="23" spans="1:13" ht="19.5" customHeight="1">
      <c r="A23" s="3919"/>
      <c r="B23" s="3912"/>
      <c r="C23" s="3091" t="s">
        <v>2444</v>
      </c>
      <c r="D23" s="3092"/>
      <c r="E23" s="3093">
        <v>0.9</v>
      </c>
      <c r="F23" s="3090" t="s">
        <v>2445</v>
      </c>
      <c r="G23" s="3090"/>
    </row>
    <row r="24" spans="1:13" ht="19.5" customHeight="1">
      <c r="A24" s="3919"/>
      <c r="B24" s="3912"/>
      <c r="C24" s="3091" t="s">
        <v>2446</v>
      </c>
      <c r="D24" s="3092"/>
      <c r="E24" s="3093">
        <v>0.8</v>
      </c>
      <c r="F24" s="3090" t="s">
        <v>2447</v>
      </c>
      <c r="G24" s="3090"/>
    </row>
    <row r="25" spans="1:13" ht="19.5" customHeight="1" thickBot="1">
      <c r="A25" s="3920"/>
      <c r="B25" s="3914"/>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15" t="s">
        <v>2630</v>
      </c>
      <c r="B27" s="3913" t="s">
        <v>2611</v>
      </c>
      <c r="C27" s="3087" t="s">
        <v>2451</v>
      </c>
      <c r="D27" s="3088"/>
      <c r="E27" s="3089">
        <v>1</v>
      </c>
      <c r="F27" s="3090" t="s">
        <v>2452</v>
      </c>
      <c r="G27" s="3090"/>
    </row>
    <row r="28" spans="1:13" ht="19.5" customHeight="1">
      <c r="A28" s="3916"/>
      <c r="B28" s="3912"/>
      <c r="C28" s="3091" t="s">
        <v>2453</v>
      </c>
      <c r="D28" s="3092"/>
      <c r="E28" s="3093">
        <v>1</v>
      </c>
      <c r="F28" s="3090" t="s">
        <v>2454</v>
      </c>
      <c r="G28" s="3090"/>
    </row>
    <row r="29" spans="1:13" ht="19.5" customHeight="1">
      <c r="A29" s="3916"/>
      <c r="B29" s="3912"/>
      <c r="C29" s="3091" t="s">
        <v>2455</v>
      </c>
      <c r="D29" s="3092"/>
      <c r="E29" s="3093">
        <v>0.8</v>
      </c>
      <c r="F29" s="3090" t="s">
        <v>2456</v>
      </c>
      <c r="G29" s="3090"/>
    </row>
    <row r="30" spans="1:13" ht="19.5" customHeight="1">
      <c r="A30" s="3916"/>
      <c r="B30" s="3912"/>
      <c r="C30" s="3091" t="s">
        <v>2457</v>
      </c>
      <c r="D30" s="3092"/>
      <c r="E30" s="3093">
        <v>0.8</v>
      </c>
      <c r="F30" s="3090" t="s">
        <v>2458</v>
      </c>
      <c r="G30" s="3090"/>
    </row>
    <row r="31" spans="1:13" ht="19.5" customHeight="1">
      <c r="A31" s="3916"/>
      <c r="B31" s="3912"/>
      <c r="C31" s="3091" t="s">
        <v>2459</v>
      </c>
      <c r="D31" s="3092"/>
      <c r="E31" s="3093">
        <v>0.8</v>
      </c>
      <c r="F31" s="3090" t="s">
        <v>2460</v>
      </c>
      <c r="G31" s="3090"/>
    </row>
    <row r="32" spans="1:13" ht="19.5" customHeight="1">
      <c r="A32" s="3916"/>
      <c r="B32" s="3912"/>
      <c r="C32" s="3091" t="s">
        <v>2461</v>
      </c>
      <c r="D32" s="3092"/>
      <c r="E32" s="3093">
        <v>0.7</v>
      </c>
      <c r="F32" s="3090" t="s">
        <v>2462</v>
      </c>
      <c r="G32" s="3090"/>
    </row>
    <row r="33" spans="1:7" ht="19.5" customHeight="1">
      <c r="A33" s="3916"/>
      <c r="B33" s="3912"/>
      <c r="C33" s="3091" t="s">
        <v>2463</v>
      </c>
      <c r="D33" s="3092"/>
      <c r="E33" s="3093">
        <v>0.8</v>
      </c>
      <c r="F33" s="3090" t="s">
        <v>2464</v>
      </c>
      <c r="G33" s="3090"/>
    </row>
    <row r="34" spans="1:7" ht="19.5" customHeight="1">
      <c r="A34" s="3916"/>
      <c r="B34" s="3912"/>
      <c r="C34" s="3091" t="s">
        <v>2465</v>
      </c>
      <c r="D34" s="3092"/>
      <c r="E34" s="3093">
        <v>0.6</v>
      </c>
      <c r="F34" s="3090" t="s">
        <v>2466</v>
      </c>
      <c r="G34" s="3090"/>
    </row>
    <row r="35" spans="1:7" ht="19.5" customHeight="1">
      <c r="A35" s="3916"/>
      <c r="B35" s="3912"/>
      <c r="C35" s="3091" t="s">
        <v>2467</v>
      </c>
      <c r="D35" s="3092"/>
      <c r="E35" s="3093">
        <v>0.2</v>
      </c>
      <c r="F35" s="3090" t="s">
        <v>2468</v>
      </c>
      <c r="G35" s="3090"/>
    </row>
    <row r="36" spans="1:7" ht="19.5" customHeight="1">
      <c r="A36" s="3916"/>
      <c r="B36" s="3912"/>
      <c r="C36" s="3091" t="s">
        <v>2469</v>
      </c>
      <c r="D36" s="3092"/>
      <c r="E36" s="3093">
        <v>0.2</v>
      </c>
      <c r="F36" s="3090" t="s">
        <v>2470</v>
      </c>
      <c r="G36" s="3090"/>
    </row>
    <row r="37" spans="1:7" ht="19.5" customHeight="1">
      <c r="A37" s="3916"/>
      <c r="B37" s="3910" t="s">
        <v>2631</v>
      </c>
      <c r="C37" s="3091" t="s">
        <v>2471</v>
      </c>
      <c r="D37" s="3092"/>
      <c r="E37" s="3093">
        <v>0.6</v>
      </c>
      <c r="F37" s="3090" t="s">
        <v>2472</v>
      </c>
      <c r="G37" s="3090"/>
    </row>
    <row r="38" spans="1:7" ht="19.5" customHeight="1">
      <c r="A38" s="3916"/>
      <c r="B38" s="3912"/>
      <c r="C38" s="3091" t="s">
        <v>2473</v>
      </c>
      <c r="D38" s="3092"/>
      <c r="E38" s="3093">
        <v>0.6</v>
      </c>
      <c r="F38" s="3090" t="s">
        <v>2474</v>
      </c>
      <c r="G38" s="3090"/>
    </row>
    <row r="39" spans="1:7" ht="19.5" customHeight="1" thickBot="1">
      <c r="A39" s="3917"/>
      <c r="B39" s="3914"/>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18" t="s">
        <v>2609</v>
      </c>
      <c r="B41" s="3913" t="s">
        <v>2633</v>
      </c>
      <c r="C41" s="3087" t="s">
        <v>2478</v>
      </c>
      <c r="D41" s="3088"/>
      <c r="E41" s="3089">
        <v>1</v>
      </c>
      <c r="F41" s="3090" t="s">
        <v>2479</v>
      </c>
      <c r="G41" s="3090"/>
    </row>
    <row r="42" spans="1:7" ht="19.5" customHeight="1">
      <c r="A42" s="3919"/>
      <c r="B42" s="3912"/>
      <c r="C42" s="3091" t="s">
        <v>2480</v>
      </c>
      <c r="D42" s="3092"/>
      <c r="E42" s="3093">
        <v>1</v>
      </c>
      <c r="F42" s="3090" t="s">
        <v>2481</v>
      </c>
      <c r="G42" s="3090"/>
    </row>
    <row r="43" spans="1:7" ht="19.5" customHeight="1">
      <c r="A43" s="3919"/>
      <c r="B43" s="3911"/>
      <c r="C43" s="3091" t="s">
        <v>2482</v>
      </c>
      <c r="D43" s="3092"/>
      <c r="E43" s="3093">
        <v>1.5</v>
      </c>
      <c r="F43" s="3090" t="s">
        <v>2483</v>
      </c>
      <c r="G43" s="3090"/>
    </row>
    <row r="44" spans="1:7" ht="19.5" customHeight="1">
      <c r="A44" s="3919"/>
      <c r="B44" s="3102" t="s">
        <v>2634</v>
      </c>
      <c r="C44" s="3091" t="s">
        <v>2635</v>
      </c>
      <c r="D44" s="3092"/>
      <c r="E44" s="3093">
        <v>2</v>
      </c>
      <c r="F44" s="3090" t="s">
        <v>2484</v>
      </c>
      <c r="G44" s="3090"/>
    </row>
    <row r="45" spans="1:7" ht="19.5" customHeight="1">
      <c r="A45" s="3919"/>
      <c r="B45" s="3910" t="s">
        <v>2636</v>
      </c>
      <c r="C45" s="3091" t="s">
        <v>2485</v>
      </c>
      <c r="D45" s="3092"/>
      <c r="E45" s="3093">
        <v>1</v>
      </c>
      <c r="F45" s="3090" t="s">
        <v>2486</v>
      </c>
      <c r="G45" s="3090"/>
    </row>
    <row r="46" spans="1:7" ht="19.5" customHeight="1">
      <c r="A46" s="3919"/>
      <c r="B46" s="3912"/>
      <c r="C46" s="3091" t="s">
        <v>2487</v>
      </c>
      <c r="D46" s="3092"/>
      <c r="E46" s="3093">
        <v>1</v>
      </c>
      <c r="F46" s="3090" t="s">
        <v>2488</v>
      </c>
      <c r="G46" s="3090"/>
    </row>
    <row r="47" spans="1:7" ht="19.5" customHeight="1">
      <c r="A47" s="3919"/>
      <c r="B47" s="3912"/>
      <c r="C47" s="3091" t="s">
        <v>2489</v>
      </c>
      <c r="D47" s="3092"/>
      <c r="E47" s="3093">
        <v>1</v>
      </c>
      <c r="F47" s="3090" t="s">
        <v>2490</v>
      </c>
      <c r="G47" s="3090"/>
    </row>
    <row r="48" spans="1:7" ht="19.5" customHeight="1">
      <c r="A48" s="3919"/>
      <c r="B48" s="3912"/>
      <c r="C48" s="3091" t="s">
        <v>2491</v>
      </c>
      <c r="D48" s="3092"/>
      <c r="E48" s="3093">
        <v>1</v>
      </c>
      <c r="F48" s="3090" t="s">
        <v>2492</v>
      </c>
      <c r="G48" s="3090"/>
    </row>
    <row r="49" spans="1:7" ht="19.5" customHeight="1">
      <c r="A49" s="3919"/>
      <c r="B49" s="3912"/>
      <c r="C49" s="3091" t="s">
        <v>2493</v>
      </c>
      <c r="D49" s="3092"/>
      <c r="E49" s="3093">
        <v>1</v>
      </c>
      <c r="F49" s="3090" t="s">
        <v>2494</v>
      </c>
      <c r="G49" s="3090"/>
    </row>
    <row r="50" spans="1:7" ht="19.5" customHeight="1">
      <c r="A50" s="3919"/>
      <c r="B50" s="3912"/>
      <c r="C50" s="3091" t="s">
        <v>2495</v>
      </c>
      <c r="D50" s="3092"/>
      <c r="E50" s="3093">
        <v>1</v>
      </c>
      <c r="F50" s="3090" t="s">
        <v>2496</v>
      </c>
      <c r="G50" s="3090"/>
    </row>
    <row r="51" spans="1:7" ht="19.5" customHeight="1" thickBot="1">
      <c r="A51" s="3920"/>
      <c r="B51" s="3914"/>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10" t="s">
        <v>2650</v>
      </c>
      <c r="C73" s="3076" t="s">
        <v>2651</v>
      </c>
      <c r="D73" s="3076" t="s">
        <v>2652</v>
      </c>
      <c r="E73" s="3102">
        <v>0.2</v>
      </c>
      <c r="F73" s="3102">
        <v>25</v>
      </c>
    </row>
    <row r="74" spans="1:7" ht="24">
      <c r="A74" s="3102">
        <v>2</v>
      </c>
      <c r="B74" s="3912"/>
      <c r="C74" s="3076" t="s">
        <v>2653</v>
      </c>
      <c r="D74" s="3076" t="s">
        <v>2654</v>
      </c>
      <c r="E74" s="3102">
        <v>0.2</v>
      </c>
      <c r="F74" s="3102">
        <v>25</v>
      </c>
    </row>
    <row r="75" spans="1:7" ht="24">
      <c r="A75" s="3102">
        <v>3</v>
      </c>
      <c r="B75" s="3912"/>
      <c r="C75" s="3076" t="s">
        <v>2655</v>
      </c>
      <c r="D75" s="3076" t="s">
        <v>2656</v>
      </c>
      <c r="E75" s="3102">
        <v>0.2</v>
      </c>
      <c r="F75" s="3102">
        <v>25</v>
      </c>
    </row>
    <row r="76" spans="1:7" ht="13.5">
      <c r="A76" s="3102">
        <v>4</v>
      </c>
      <c r="B76" s="3912"/>
      <c r="C76" s="3076" t="s">
        <v>2657</v>
      </c>
      <c r="D76" s="3076" t="s">
        <v>2658</v>
      </c>
      <c r="E76" s="3102">
        <v>0.15</v>
      </c>
      <c r="F76" s="3102">
        <v>20</v>
      </c>
    </row>
    <row r="77" spans="1:7" ht="24">
      <c r="A77" s="3102">
        <v>5</v>
      </c>
      <c r="B77" s="3912"/>
      <c r="C77" s="3076" t="s">
        <v>2659</v>
      </c>
      <c r="D77" s="3076" t="s">
        <v>2660</v>
      </c>
      <c r="E77" s="3102">
        <v>0.15</v>
      </c>
      <c r="F77" s="3102">
        <v>20</v>
      </c>
    </row>
    <row r="78" spans="1:7" ht="24">
      <c r="A78" s="3102">
        <v>6</v>
      </c>
      <c r="B78" s="3912"/>
      <c r="C78" s="3076" t="s">
        <v>2661</v>
      </c>
      <c r="D78" s="3076" t="s">
        <v>2662</v>
      </c>
      <c r="E78" s="3102">
        <v>0.15</v>
      </c>
      <c r="F78" s="3102">
        <v>20</v>
      </c>
    </row>
    <row r="79" spans="1:7" ht="24">
      <c r="A79" s="3102">
        <v>7</v>
      </c>
      <c r="B79" s="3912"/>
      <c r="C79" s="3076" t="s">
        <v>2663</v>
      </c>
      <c r="D79" s="3076" t="s">
        <v>2664</v>
      </c>
      <c r="E79" s="3102">
        <v>0.15</v>
      </c>
      <c r="F79" s="3102">
        <v>20</v>
      </c>
    </row>
    <row r="80" spans="1:7" ht="24">
      <c r="A80" s="3102">
        <v>8</v>
      </c>
      <c r="B80" s="3912"/>
      <c r="C80" s="3076" t="s">
        <v>2665</v>
      </c>
      <c r="D80" s="3076" t="s">
        <v>2666</v>
      </c>
      <c r="E80" s="3102">
        <v>0.1</v>
      </c>
      <c r="F80" s="3102">
        <v>15</v>
      </c>
    </row>
    <row r="81" spans="1:6" ht="24">
      <c r="A81" s="3102">
        <v>9</v>
      </c>
      <c r="B81" s="3912"/>
      <c r="C81" s="3076" t="s">
        <v>2667</v>
      </c>
      <c r="D81" s="3076" t="s">
        <v>2668</v>
      </c>
      <c r="E81" s="3102">
        <v>0.1</v>
      </c>
      <c r="F81" s="3102">
        <v>15</v>
      </c>
    </row>
    <row r="82" spans="1:6" ht="24">
      <c r="A82" s="3102">
        <v>10</v>
      </c>
      <c r="B82" s="3912"/>
      <c r="C82" s="3076" t="s">
        <v>2669</v>
      </c>
      <c r="D82" s="3076" t="s">
        <v>2670</v>
      </c>
      <c r="E82" s="3102">
        <v>0.1</v>
      </c>
      <c r="F82" s="3102">
        <v>15</v>
      </c>
    </row>
    <row r="83" spans="1:6" ht="24">
      <c r="A83" s="3102">
        <v>11</v>
      </c>
      <c r="B83" s="3912"/>
      <c r="C83" s="3076" t="s">
        <v>2671</v>
      </c>
      <c r="D83" s="3076" t="s">
        <v>2672</v>
      </c>
      <c r="E83" s="3102">
        <v>0.1</v>
      </c>
      <c r="F83" s="3102">
        <v>15</v>
      </c>
    </row>
    <row r="84" spans="1:6" ht="24">
      <c r="A84" s="3102">
        <v>12</v>
      </c>
      <c r="B84" s="3912"/>
      <c r="C84" s="3076" t="s">
        <v>2673</v>
      </c>
      <c r="D84" s="3076" t="s">
        <v>2674</v>
      </c>
      <c r="E84" s="3102">
        <v>0.1</v>
      </c>
      <c r="F84" s="3102">
        <v>15</v>
      </c>
    </row>
    <row r="85" spans="1:6" ht="13.5">
      <c r="A85" s="3102">
        <v>13</v>
      </c>
      <c r="B85" s="3912"/>
      <c r="C85" s="3076" t="s">
        <v>2675</v>
      </c>
      <c r="D85" s="3076" t="s">
        <v>2676</v>
      </c>
      <c r="E85" s="3102">
        <v>0.1</v>
      </c>
      <c r="F85" s="3102">
        <v>15</v>
      </c>
    </row>
    <row r="86" spans="1:6" ht="13.5">
      <c r="A86" s="3102">
        <v>14</v>
      </c>
      <c r="B86" s="3912"/>
      <c r="C86" s="3076" t="s">
        <v>2677</v>
      </c>
      <c r="D86" s="3076" t="s">
        <v>2678</v>
      </c>
      <c r="E86" s="3102">
        <v>0.1</v>
      </c>
      <c r="F86" s="3102">
        <v>15</v>
      </c>
    </row>
    <row r="87" spans="1:6" ht="13.5">
      <c r="A87" s="3102">
        <v>15</v>
      </c>
      <c r="B87" s="3912"/>
      <c r="C87" s="3076" t="s">
        <v>2679</v>
      </c>
      <c r="D87" s="3076" t="s">
        <v>2680</v>
      </c>
      <c r="E87" s="3102">
        <v>0.1</v>
      </c>
      <c r="F87" s="3102">
        <v>15</v>
      </c>
    </row>
    <row r="88" spans="1:6" ht="24">
      <c r="A88" s="3102">
        <v>16</v>
      </c>
      <c r="B88" s="3912"/>
      <c r="C88" s="3076" t="s">
        <v>2681</v>
      </c>
      <c r="D88" s="3076" t="s">
        <v>2682</v>
      </c>
      <c r="E88" s="3102">
        <v>0.1</v>
      </c>
      <c r="F88" s="3102">
        <v>15</v>
      </c>
    </row>
    <row r="89" spans="1:6" ht="24">
      <c r="A89" s="3102">
        <v>17</v>
      </c>
      <c r="B89" s="3911"/>
      <c r="C89" s="3076" t="s">
        <v>2683</v>
      </c>
      <c r="D89" s="3076" t="s">
        <v>2684</v>
      </c>
      <c r="E89" s="3102">
        <v>0.1</v>
      </c>
      <c r="F89" s="3102">
        <v>15</v>
      </c>
    </row>
    <row r="90" spans="1:6" ht="13.5">
      <c r="A90" s="3102">
        <v>18</v>
      </c>
      <c r="B90" s="3910" t="s">
        <v>2685</v>
      </c>
      <c r="C90" s="3076" t="s">
        <v>2686</v>
      </c>
      <c r="D90" s="3076" t="s">
        <v>2687</v>
      </c>
      <c r="E90" s="3102">
        <v>0.2</v>
      </c>
      <c r="F90" s="3102">
        <v>25</v>
      </c>
    </row>
    <row r="91" spans="1:6" ht="24">
      <c r="A91" s="3102">
        <v>19</v>
      </c>
      <c r="B91" s="3912"/>
      <c r="C91" s="3076" t="s">
        <v>2688</v>
      </c>
      <c r="D91" s="3076" t="s">
        <v>2689</v>
      </c>
      <c r="E91" s="3102">
        <v>0.2</v>
      </c>
      <c r="F91" s="3102">
        <v>25</v>
      </c>
    </row>
    <row r="92" spans="1:6" ht="13.5">
      <c r="A92" s="3102">
        <v>20</v>
      </c>
      <c r="B92" s="3912"/>
      <c r="C92" s="3076" t="s">
        <v>2690</v>
      </c>
      <c r="D92" s="3076" t="s">
        <v>2691</v>
      </c>
      <c r="E92" s="3102">
        <v>0.15</v>
      </c>
      <c r="F92" s="3102">
        <v>20</v>
      </c>
    </row>
    <row r="93" spans="1:6" ht="13.5">
      <c r="A93" s="3102">
        <v>21</v>
      </c>
      <c r="B93" s="3912"/>
      <c r="C93" s="3076" t="s">
        <v>2692</v>
      </c>
      <c r="D93" s="3076" t="s">
        <v>2693</v>
      </c>
      <c r="E93" s="3102">
        <v>0.15</v>
      </c>
      <c r="F93" s="3102">
        <v>20</v>
      </c>
    </row>
    <row r="94" spans="1:6" ht="13.5">
      <c r="A94" s="3102">
        <v>22</v>
      </c>
      <c r="B94" s="3912"/>
      <c r="C94" s="3076" t="s">
        <v>2694</v>
      </c>
      <c r="D94" s="3076" t="s">
        <v>2695</v>
      </c>
      <c r="E94" s="3102">
        <v>0.15</v>
      </c>
      <c r="F94" s="3102">
        <v>20</v>
      </c>
    </row>
    <row r="95" spans="1:6" ht="36">
      <c r="A95" s="3102">
        <v>23</v>
      </c>
      <c r="B95" s="3912"/>
      <c r="C95" s="3076" t="s">
        <v>2696</v>
      </c>
      <c r="D95" s="3076" t="s">
        <v>2697</v>
      </c>
      <c r="E95" s="3102">
        <v>0.15</v>
      </c>
      <c r="F95" s="3102">
        <v>20</v>
      </c>
    </row>
    <row r="96" spans="1:6" ht="13.5">
      <c r="A96" s="3102">
        <v>24</v>
      </c>
      <c r="B96" s="3912"/>
      <c r="C96" s="3076" t="s">
        <v>2698</v>
      </c>
      <c r="D96" s="3076" t="s">
        <v>2699</v>
      </c>
      <c r="E96" s="3102">
        <v>0.1</v>
      </c>
      <c r="F96" s="3102">
        <v>15</v>
      </c>
    </row>
    <row r="97" spans="1:6" ht="13.5">
      <c r="A97" s="3102">
        <v>25</v>
      </c>
      <c r="B97" s="3912"/>
      <c r="C97" s="3076" t="s">
        <v>2700</v>
      </c>
      <c r="D97" s="3076" t="s">
        <v>2701</v>
      </c>
      <c r="E97" s="3102">
        <v>0.1</v>
      </c>
      <c r="F97" s="3102">
        <v>15</v>
      </c>
    </row>
    <row r="98" spans="1:6" ht="24">
      <c r="A98" s="3102">
        <v>26</v>
      </c>
      <c r="B98" s="3912"/>
      <c r="C98" s="3076" t="s">
        <v>2702</v>
      </c>
      <c r="D98" s="3076" t="s">
        <v>2703</v>
      </c>
      <c r="E98" s="3102">
        <v>0.1</v>
      </c>
      <c r="F98" s="3102">
        <v>15</v>
      </c>
    </row>
    <row r="99" spans="1:6" ht="24">
      <c r="A99" s="3102">
        <v>27</v>
      </c>
      <c r="B99" s="3912"/>
      <c r="C99" s="3076" t="s">
        <v>2704</v>
      </c>
      <c r="D99" s="3076" t="s">
        <v>2705</v>
      </c>
      <c r="E99" s="3102">
        <v>0.1</v>
      </c>
      <c r="F99" s="3102">
        <v>15</v>
      </c>
    </row>
    <row r="100" spans="1:6" ht="13.5">
      <c r="A100" s="3102">
        <v>28</v>
      </c>
      <c r="B100" s="3912"/>
      <c r="C100" s="3076" t="s">
        <v>2706</v>
      </c>
      <c r="D100" s="3076" t="s">
        <v>2707</v>
      </c>
      <c r="E100" s="3102">
        <v>0.1</v>
      </c>
      <c r="F100" s="3102">
        <v>15</v>
      </c>
    </row>
    <row r="101" spans="1:6" ht="13.5">
      <c r="A101" s="3102">
        <v>29</v>
      </c>
      <c r="B101" s="3912"/>
      <c r="C101" s="3076" t="s">
        <v>2708</v>
      </c>
      <c r="D101" s="3076" t="s">
        <v>2709</v>
      </c>
      <c r="E101" s="3102">
        <v>0.1</v>
      </c>
      <c r="F101" s="3102">
        <v>15</v>
      </c>
    </row>
    <row r="102" spans="1:6" ht="13.5">
      <c r="A102" s="3102">
        <v>30</v>
      </c>
      <c r="B102" s="3912"/>
      <c r="C102" s="3076" t="s">
        <v>2710</v>
      </c>
      <c r="D102" s="3076" t="s">
        <v>2711</v>
      </c>
      <c r="E102" s="3102">
        <v>0.1</v>
      </c>
      <c r="F102" s="3102">
        <v>15</v>
      </c>
    </row>
    <row r="103" spans="1:6" ht="24">
      <c r="A103" s="3102">
        <v>31</v>
      </c>
      <c r="B103" s="3912"/>
      <c r="C103" s="3076" t="s">
        <v>2712</v>
      </c>
      <c r="D103" s="3076" t="s">
        <v>2713</v>
      </c>
      <c r="E103" s="3102">
        <v>0.1</v>
      </c>
      <c r="F103" s="3102">
        <v>15</v>
      </c>
    </row>
    <row r="104" spans="1:6" ht="24">
      <c r="A104" s="3102">
        <v>32</v>
      </c>
      <c r="B104" s="3912"/>
      <c r="C104" s="3076" t="s">
        <v>2714</v>
      </c>
      <c r="D104" s="3076" t="s">
        <v>2715</v>
      </c>
      <c r="E104" s="3102">
        <v>0.1</v>
      </c>
      <c r="F104" s="3102">
        <v>15</v>
      </c>
    </row>
    <row r="105" spans="1:6" ht="24">
      <c r="A105" s="3102">
        <v>33</v>
      </c>
      <c r="B105" s="3912"/>
      <c r="C105" s="3076" t="s">
        <v>2716</v>
      </c>
      <c r="D105" s="3076" t="s">
        <v>2717</v>
      </c>
      <c r="E105" s="3102">
        <v>0.1</v>
      </c>
      <c r="F105" s="3102">
        <v>15</v>
      </c>
    </row>
    <row r="106" spans="1:6" ht="24">
      <c r="A106" s="3102">
        <v>34</v>
      </c>
      <c r="B106" s="3911"/>
      <c r="C106" s="3076" t="s">
        <v>2718</v>
      </c>
      <c r="D106" s="3076" t="s">
        <v>2719</v>
      </c>
      <c r="E106" s="3102">
        <v>0.1</v>
      </c>
      <c r="F106" s="3102">
        <v>15</v>
      </c>
    </row>
    <row r="107" spans="1:6" ht="24">
      <c r="A107" s="3102">
        <v>35</v>
      </c>
      <c r="B107" s="3910" t="s">
        <v>2720</v>
      </c>
      <c r="C107" s="3102" t="s">
        <v>2721</v>
      </c>
      <c r="D107" s="3076" t="s">
        <v>2722</v>
      </c>
      <c r="E107" s="3102">
        <v>0.15</v>
      </c>
      <c r="F107" s="3102">
        <v>20</v>
      </c>
    </row>
    <row r="108" spans="1:6" ht="13.5">
      <c r="A108" s="3102">
        <v>36</v>
      </c>
      <c r="B108" s="3912"/>
      <c r="C108" s="3102" t="s">
        <v>2723</v>
      </c>
      <c r="D108" s="3076" t="s">
        <v>2724</v>
      </c>
      <c r="E108" s="3102">
        <v>0.15</v>
      </c>
      <c r="F108" s="3102">
        <v>20</v>
      </c>
    </row>
    <row r="109" spans="1:6" ht="13.5">
      <c r="A109" s="3102">
        <v>37</v>
      </c>
      <c r="B109" s="3912"/>
      <c r="C109" s="3102" t="s">
        <v>2725</v>
      </c>
      <c r="D109" s="3076" t="s">
        <v>2726</v>
      </c>
      <c r="E109" s="3102">
        <v>0.15</v>
      </c>
      <c r="F109" s="3102">
        <v>20</v>
      </c>
    </row>
    <row r="110" spans="1:6" ht="13.5">
      <c r="A110" s="3102">
        <v>38</v>
      </c>
      <c r="B110" s="3912"/>
      <c r="C110" s="3102" t="s">
        <v>2727</v>
      </c>
      <c r="D110" s="3076" t="s">
        <v>2728</v>
      </c>
      <c r="E110" s="3102">
        <v>0.1</v>
      </c>
      <c r="F110" s="3102">
        <v>15</v>
      </c>
    </row>
    <row r="111" spans="1:6" ht="24">
      <c r="A111" s="3102">
        <v>39</v>
      </c>
      <c r="B111" s="3912"/>
      <c r="C111" s="3102" t="s">
        <v>2729</v>
      </c>
      <c r="D111" s="3076" t="s">
        <v>2730</v>
      </c>
      <c r="E111" s="3102">
        <v>0.1</v>
      </c>
      <c r="F111" s="3102">
        <v>15</v>
      </c>
    </row>
    <row r="112" spans="1:6" ht="24">
      <c r="A112" s="3102">
        <v>40</v>
      </c>
      <c r="B112" s="3911"/>
      <c r="C112" s="3102" t="s">
        <v>2731</v>
      </c>
      <c r="D112" s="3076" t="s">
        <v>2732</v>
      </c>
      <c r="E112" s="3102">
        <v>0.1</v>
      </c>
      <c r="F112" s="3102">
        <v>15</v>
      </c>
    </row>
    <row r="113" spans="1:6" ht="13.5">
      <c r="A113" s="3102">
        <v>41</v>
      </c>
      <c r="B113" s="3909" t="s">
        <v>2733</v>
      </c>
      <c r="C113" s="3102" t="s">
        <v>2734</v>
      </c>
      <c r="D113" s="3076" t="s">
        <v>2735</v>
      </c>
      <c r="E113" s="3102">
        <v>0.1</v>
      </c>
      <c r="F113" s="3102">
        <v>15</v>
      </c>
    </row>
    <row r="114" spans="1:6" ht="13.5">
      <c r="A114" s="3102">
        <v>42</v>
      </c>
      <c r="B114" s="3909"/>
      <c r="C114" s="3102" t="s">
        <v>2736</v>
      </c>
      <c r="D114" s="3076" t="s">
        <v>2737</v>
      </c>
      <c r="E114" s="3102">
        <v>0.1</v>
      </c>
      <c r="F114" s="3102">
        <v>15</v>
      </c>
    </row>
    <row r="115" spans="1:6" ht="24">
      <c r="A115" s="3102">
        <v>43</v>
      </c>
      <c r="B115" s="3909"/>
      <c r="C115" s="3102" t="s">
        <v>2738</v>
      </c>
      <c r="D115" s="3076" t="s">
        <v>2739</v>
      </c>
      <c r="E115" s="3102">
        <v>0.1</v>
      </c>
      <c r="F115" s="3102">
        <v>15</v>
      </c>
    </row>
    <row r="116" spans="1:6" ht="13.5">
      <c r="A116" s="3102">
        <v>44</v>
      </c>
      <c r="B116" s="3910" t="s">
        <v>2740</v>
      </c>
      <c r="C116" s="3102" t="s">
        <v>2741</v>
      </c>
      <c r="D116" s="3076" t="s">
        <v>2742</v>
      </c>
      <c r="E116" s="3102">
        <v>0.1</v>
      </c>
      <c r="F116" s="3102">
        <v>15</v>
      </c>
    </row>
    <row r="117" spans="1:6" ht="24">
      <c r="A117" s="3102">
        <v>45</v>
      </c>
      <c r="B117" s="3911"/>
      <c r="C117" s="3076" t="s">
        <v>2743</v>
      </c>
      <c r="D117" s="3076" t="s">
        <v>2744</v>
      </c>
      <c r="E117" s="3102">
        <v>0.1</v>
      </c>
      <c r="F117" s="3102">
        <v>15</v>
      </c>
    </row>
    <row r="118" spans="1:6" ht="24">
      <c r="A118" s="3102">
        <v>46</v>
      </c>
      <c r="B118" s="3910" t="s">
        <v>2745</v>
      </c>
      <c r="C118" s="3102" t="s">
        <v>2746</v>
      </c>
      <c r="D118" s="3076" t="s">
        <v>2747</v>
      </c>
      <c r="E118" s="3102">
        <v>0.1</v>
      </c>
      <c r="F118" s="3102">
        <v>15</v>
      </c>
    </row>
    <row r="119" spans="1:6" ht="24">
      <c r="A119" s="3102">
        <v>47</v>
      </c>
      <c r="B119" s="3911"/>
      <c r="C119" s="3102" t="s">
        <v>2748</v>
      </c>
      <c r="D119" s="3076" t="s">
        <v>2749</v>
      </c>
      <c r="E119" s="3102">
        <v>0.1</v>
      </c>
      <c r="F119" s="3102">
        <v>15</v>
      </c>
    </row>
    <row r="120" spans="1:6" ht="13.5">
      <c r="A120" s="3102">
        <v>48</v>
      </c>
      <c r="B120" s="3910" t="s">
        <v>2750</v>
      </c>
      <c r="C120" s="3102" t="s">
        <v>2751</v>
      </c>
      <c r="D120" s="3076" t="s">
        <v>2752</v>
      </c>
      <c r="E120" s="3102">
        <v>0.1</v>
      </c>
      <c r="F120" s="3102">
        <v>15</v>
      </c>
    </row>
    <row r="121" spans="1:6" ht="13.5">
      <c r="A121" s="3102">
        <v>49</v>
      </c>
      <c r="B121" s="3911"/>
      <c r="C121" s="3102" t="s">
        <v>2753</v>
      </c>
      <c r="D121" s="3076" t="s">
        <v>2754</v>
      </c>
      <c r="E121" s="3102">
        <v>0.1</v>
      </c>
      <c r="F121" s="3102">
        <v>15</v>
      </c>
    </row>
    <row r="122" spans="1:6" ht="24">
      <c r="A122" s="3102">
        <v>50</v>
      </c>
      <c r="B122" s="3909" t="s">
        <v>2755</v>
      </c>
      <c r="C122" s="3102" t="s">
        <v>2756</v>
      </c>
      <c r="D122" s="3076" t="s">
        <v>2757</v>
      </c>
      <c r="E122" s="3102">
        <v>0.1</v>
      </c>
      <c r="F122" s="3102">
        <v>15</v>
      </c>
    </row>
    <row r="123" spans="1:6" ht="24">
      <c r="A123" s="3102">
        <v>51</v>
      </c>
      <c r="B123" s="3909"/>
      <c r="C123" s="3102" t="s">
        <v>2758</v>
      </c>
      <c r="D123" s="3076" t="s">
        <v>2759</v>
      </c>
      <c r="E123" s="3102">
        <v>0.1</v>
      </c>
      <c r="F123" s="3102">
        <v>15</v>
      </c>
    </row>
    <row r="124" spans="1:6" ht="24">
      <c r="A124" s="3102">
        <v>52</v>
      </c>
      <c r="B124" s="3909" t="s">
        <v>2760</v>
      </c>
      <c r="C124" s="3102" t="s">
        <v>2761</v>
      </c>
      <c r="D124" s="3076" t="s">
        <v>2762</v>
      </c>
      <c r="E124" s="3102">
        <v>0.1</v>
      </c>
      <c r="F124" s="3102">
        <v>15</v>
      </c>
    </row>
    <row r="125" spans="1:6" ht="24">
      <c r="A125" s="3102">
        <v>53</v>
      </c>
      <c r="B125" s="3909"/>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09" t="s">
        <v>2768</v>
      </c>
      <c r="C127" s="3102" t="s">
        <v>2769</v>
      </c>
      <c r="D127" s="3076" t="s">
        <v>2770</v>
      </c>
      <c r="E127" s="3102">
        <v>0.1</v>
      </c>
      <c r="F127" s="3102">
        <v>15</v>
      </c>
    </row>
    <row r="128" spans="1:6" ht="13.5">
      <c r="A128" s="3102">
        <v>56</v>
      </c>
      <c r="B128" s="3909"/>
      <c r="C128" s="3102" t="s">
        <v>2771</v>
      </c>
      <c r="D128" s="3076" t="s">
        <v>2772</v>
      </c>
      <c r="E128" s="3102">
        <v>0.1</v>
      </c>
      <c r="F128" s="3102">
        <v>15</v>
      </c>
    </row>
    <row r="129" spans="1:6" ht="24">
      <c r="A129" s="3102">
        <v>57</v>
      </c>
      <c r="B129" s="3909"/>
      <c r="C129" s="3102" t="s">
        <v>2773</v>
      </c>
      <c r="D129" s="3076" t="s">
        <v>2774</v>
      </c>
      <c r="E129" s="3102">
        <v>0.1</v>
      </c>
      <c r="F129" s="3102">
        <v>15</v>
      </c>
    </row>
    <row r="130" spans="1:6" ht="24">
      <c r="A130" s="3102">
        <v>58</v>
      </c>
      <c r="B130" s="3909" t="s">
        <v>2775</v>
      </c>
      <c r="C130" s="3102" t="s">
        <v>2776</v>
      </c>
      <c r="D130" s="3076" t="s">
        <v>2777</v>
      </c>
      <c r="E130" s="3102">
        <v>0.1</v>
      </c>
      <c r="F130" s="3102">
        <v>15</v>
      </c>
    </row>
    <row r="131" spans="1:6" ht="13.5">
      <c r="A131" s="3102">
        <v>59</v>
      </c>
      <c r="B131" s="3909"/>
      <c r="C131" s="3102" t="s">
        <v>2778</v>
      </c>
      <c r="D131" s="3076" t="s">
        <v>2779</v>
      </c>
      <c r="E131" s="3102">
        <v>0.1</v>
      </c>
      <c r="F131" s="3102">
        <v>15</v>
      </c>
    </row>
    <row r="132" spans="1:6" ht="13.5">
      <c r="A132" s="3102">
        <v>60</v>
      </c>
      <c r="B132" s="3910" t="s">
        <v>2780</v>
      </c>
      <c r="C132" s="3102" t="s">
        <v>2781</v>
      </c>
      <c r="D132" s="3076" t="s">
        <v>2782</v>
      </c>
      <c r="E132" s="3102">
        <v>0.1</v>
      </c>
      <c r="F132" s="3102">
        <v>15</v>
      </c>
    </row>
    <row r="133" spans="1:6" ht="13.5">
      <c r="A133" s="3102">
        <v>61</v>
      </c>
      <c r="B133" s="3911"/>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09" t="s">
        <v>2788</v>
      </c>
      <c r="C135" s="3102" t="s">
        <v>2789</v>
      </c>
      <c r="D135" s="3076" t="s">
        <v>2790</v>
      </c>
      <c r="E135" s="3102">
        <v>0.1</v>
      </c>
      <c r="F135" s="3102">
        <v>15</v>
      </c>
    </row>
    <row r="136" spans="1:6" ht="13.5">
      <c r="A136" s="3102">
        <v>64</v>
      </c>
      <c r="B136" s="3909"/>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28693</v>
      </c>
      <c r="C2" s="2" t="s">
        <v>106</v>
      </c>
      <c r="D2" s="199"/>
      <c r="E2" s="199"/>
      <c r="F2" s="199"/>
      <c r="G2" s="199"/>
    </row>
    <row r="3" spans="1:7" s="200" customFormat="1" ht="18" customHeight="1" thickBot="1">
      <c r="A3" s="203" t="s">
        <v>58</v>
      </c>
      <c r="B3" s="204">
        <f ca="1">ROUND(B2*10000/'数据-汇总表'!E3,0)</f>
        <v>195530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28</v>
      </c>
      <c r="D10" s="837">
        <f>'数据-汇总表'!E6</f>
        <v>1467.45</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29</v>
      </c>
      <c r="D19" s="841">
        <f>'数据-汇总表'!E3</f>
        <v>1467.45</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715</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656</v>
      </c>
      <c r="D34" s="217"/>
      <c r="E34" s="220"/>
      <c r="F34" s="257">
        <f>IF('数据-取费表'!B24=0,1,'数据-取费表'!N16)</f>
        <v>1</v>
      </c>
      <c r="G34" s="219" t="s">
        <v>89</v>
      </c>
    </row>
    <row r="35" spans="1:7" ht="13.5" customHeight="1">
      <c r="A35" s="772" t="s">
        <v>351</v>
      </c>
      <c r="B35" s="215" t="s">
        <v>33</v>
      </c>
      <c r="C35" s="220">
        <f>ROUND(C34*F35,0)</f>
        <v>20</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29</v>
      </c>
      <c r="D37" s="217">
        <f>'数据-汇总表'!E3</f>
        <v>1467.45</v>
      </c>
      <c r="E37" s="249">
        <f>'数据-取费表'!B35</f>
        <v>200</v>
      </c>
      <c r="F37" s="259"/>
      <c r="G37" s="261" t="s">
        <v>92</v>
      </c>
    </row>
    <row r="38" spans="1:7" ht="13.5" customHeight="1">
      <c r="A38" s="772" t="s">
        <v>354</v>
      </c>
      <c r="B38" s="215" t="s">
        <v>36</v>
      </c>
      <c r="C38" s="220">
        <f>ROUND(C34*F38,0)</f>
        <v>10</v>
      </c>
      <c r="D38" s="220"/>
      <c r="E38" s="220"/>
      <c r="F38" s="259">
        <f>'数据-取费表'!B36</f>
        <v>1.4999999999999999E-2</v>
      </c>
      <c r="G38" s="219" t="s">
        <v>90</v>
      </c>
    </row>
    <row r="39" spans="1:7" s="214" customFormat="1" ht="13.5" customHeight="1">
      <c r="A39" s="769" t="s">
        <v>338</v>
      </c>
      <c r="B39" s="210" t="s">
        <v>77</v>
      </c>
      <c r="C39" s="232">
        <f>ROUND(C33*F20,0)</f>
        <v>14</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25</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25</v>
      </c>
      <c r="D42" s="238"/>
      <c r="E42" s="238"/>
      <c r="F42" s="239"/>
      <c r="G42" s="3835" t="s">
        <v>94</v>
      </c>
    </row>
    <row r="43" spans="1:7" ht="13.5" customHeight="1">
      <c r="A43" s="772" t="s">
        <v>347</v>
      </c>
      <c r="B43" s="215" t="s">
        <v>426</v>
      </c>
      <c r="C43" s="238">
        <f ca="1">ROUND(IF('数据-取费表'!B22&lt;=1,C39*F22*'数据-取费表'!B21/2,C39*(POWER((1+F22),'数据-取费表'!B21/2)-1)),0)</f>
        <v>0</v>
      </c>
      <c r="D43" s="238"/>
      <c r="E43" s="238"/>
      <c r="F43" s="239"/>
      <c r="G43" s="3836"/>
    </row>
    <row r="44" spans="1:7" ht="13.5" customHeight="1">
      <c r="A44" s="772" t="s">
        <v>348</v>
      </c>
      <c r="B44" s="215" t="s">
        <v>428</v>
      </c>
      <c r="C44" s="238">
        <f ca="1">ROUND(IF('数据-取费表'!B22&lt;=1,C40*F22*'数据-取费表'!B21/2,C40*(POWER((1+F22),'数据-取费表'!B21/2)-1)),4)</f>
        <v>6.9999999999999999E-4</v>
      </c>
      <c r="D44" s="238"/>
      <c r="E44" s="238"/>
      <c r="F44" s="239"/>
      <c r="G44" s="3837"/>
    </row>
    <row r="45" spans="1:7" s="214" customFormat="1" ht="13.5" customHeight="1">
      <c r="A45" s="769" t="s">
        <v>341</v>
      </c>
      <c r="B45" s="244" t="s">
        <v>85</v>
      </c>
      <c r="C45" s="245">
        <f>C46</f>
        <v>109</v>
      </c>
      <c r="D45" s="235">
        <f>C47</f>
        <v>3.0000000000000001E-3</v>
      </c>
      <c r="E45" s="236" t="s">
        <v>102</v>
      </c>
      <c r="F45" s="246"/>
      <c r="G45" s="247" t="s">
        <v>434</v>
      </c>
    </row>
    <row r="46" spans="1:7" s="214" customFormat="1" ht="13.5" customHeight="1">
      <c r="A46" s="772" t="s">
        <v>349</v>
      </c>
      <c r="B46" s="248" t="s">
        <v>427</v>
      </c>
      <c r="C46" s="249">
        <f>ROUND((C33+C39)*F27,0)</f>
        <v>109</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934</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906</v>
      </c>
      <c r="D51" s="232"/>
      <c r="E51" s="232"/>
      <c r="F51" s="264"/>
      <c r="G51" s="234" t="s">
        <v>37</v>
      </c>
    </row>
    <row r="52" spans="1:7" s="208" customFormat="1" ht="16.5" thickBot="1">
      <c r="A52" s="265" t="s">
        <v>38</v>
      </c>
      <c r="B52" s="266"/>
      <c r="C52" s="267">
        <f ca="1">C31+C51</f>
        <v>28693</v>
      </c>
      <c r="D52" s="266"/>
      <c r="E52" s="266"/>
      <c r="F52" s="266"/>
      <c r="G52" s="268"/>
    </row>
    <row r="55" spans="1:7" ht="15">
      <c r="B55" s="270" t="s">
        <v>39</v>
      </c>
      <c r="C55" s="271"/>
    </row>
    <row r="56" spans="1:7">
      <c r="B56" s="273" t="s">
        <v>40</v>
      </c>
      <c r="C56" s="274">
        <f ca="1">ROUND(C51/C52,3)</f>
        <v>3.2000000000000001E-2</v>
      </c>
    </row>
    <row r="57" spans="1:7">
      <c r="B57" s="273" t="s">
        <v>41</v>
      </c>
      <c r="C57" s="275">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23" t="s">
        <v>2840</v>
      </c>
      <c r="B1" s="3923"/>
      <c r="C1" s="3923"/>
      <c r="D1" s="3923"/>
      <c r="E1" s="3923"/>
      <c r="F1" s="3923"/>
      <c r="G1" s="3924"/>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21"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22"/>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25" t="s">
        <v>3182</v>
      </c>
      <c r="B1" s="3925"/>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26" t="s">
        <v>3233</v>
      </c>
      <c r="B1" s="3926"/>
      <c r="C1" s="3926"/>
      <c r="D1" s="3926"/>
      <c r="E1" s="3926"/>
      <c r="F1" s="3927"/>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45173</v>
      </c>
      <c r="B1" s="3194" t="s">
        <v>2839</v>
      </c>
      <c r="C1" s="3195"/>
      <c r="D1" s="3195"/>
      <c r="E1" s="3195"/>
      <c r="F1" s="3195"/>
      <c r="G1" s="3195"/>
      <c r="H1" s="3195"/>
      <c r="I1" s="3195"/>
      <c r="J1" s="3149"/>
      <c r="K1" s="3195" t="s">
        <v>454</v>
      </c>
      <c r="L1" s="3195"/>
      <c r="M1" s="3195"/>
      <c r="N1" s="3195"/>
      <c r="O1" s="3195"/>
      <c r="P1" s="3195"/>
      <c r="Q1" s="3149"/>
      <c r="R1" s="3928" t="s">
        <v>456</v>
      </c>
      <c r="S1" s="3929"/>
      <c r="T1" s="3929"/>
      <c r="U1" s="3929"/>
      <c r="V1" s="3929"/>
      <c r="W1" s="3929"/>
      <c r="X1" s="3149"/>
      <c r="Y1" s="3928" t="s">
        <v>457</v>
      </c>
      <c r="Z1" s="3929"/>
      <c r="AA1" s="3929"/>
      <c r="AB1" s="3929"/>
      <c r="AC1" s="3929"/>
      <c r="AD1" s="3929"/>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ROUND(IF([6]项目基本情况!B8="出让",SUMPRODUCT(PRODUCT(1+K9:K16)),SUMPRODUCT(PRODUCT(1+K9:K15))),4)</f>
        <v>1.0565</v>
      </c>
      <c r="S9" s="3167">
        <f>ROUND(IF([6]项目基本情况!B8="出让",SUMPRODUCT(PRODUCT(1+L9:L16)),SUMPRODUCT(PRODUCT(1+L9:L15))),4)</f>
        <v>1.0250999999999999</v>
      </c>
      <c r="T9" s="3167">
        <f>ROUND(IF([6]项目基本情况!B8="出让",SUMPRODUCT(PRODUCT(1+M9:M16)),SUMPRODUCT(PRODUCT(1+M9:M15))),4)</f>
        <v>1.0145</v>
      </c>
      <c r="U9" s="3167">
        <f>ROUND(IF([6]项目基本情况!B8="出让",SUMPRODUCT(PRODUCT(1+N9:N16)),SUMPRODUCT(PRODUCT(1+N9:N15))),4)</f>
        <v>1.0618000000000001</v>
      </c>
      <c r="V9" s="3167">
        <f>ROUND(IF([6]项目基本情况!B8="出让",SUMPRODUCT(PRODUCT(1+O9:O16)),SUMPRODUCT(PRODUCT(1+O9:O15))),4)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ROUND(IF([6]项目基本情况!B8="出让",SUMPRODUCT(PRODUCT(1+K10:K16)),SUMPRODUCT(PRODUCT(1+K10:K15))),4)</f>
        <v>1.05</v>
      </c>
      <c r="S10" s="3167">
        <f>ROUND(IF([6]项目基本情况!B8="出让",SUMPRODUCT(PRODUCT(1+L10:L16)),SUMPRODUCT(PRODUCT(1+L10:L15))),4)</f>
        <v>1.0229999999999999</v>
      </c>
      <c r="T10" s="3167">
        <f>ROUND(IF([6]项目基本情况!B8="出让",SUMPRODUCT(PRODUCT(1+M10:M16)),SUMPRODUCT(PRODUCT(1+M10:M15))),4)</f>
        <v>1.0134000000000001</v>
      </c>
      <c r="U10" s="3167">
        <f>ROUND(IF([6]项目基本情况!B8="出让",SUMPRODUCT(PRODUCT(1+N10:N16)),SUMPRODUCT(PRODUCT(1+N10:N15))),4)</f>
        <v>1.0545</v>
      </c>
      <c r="V10" s="3167">
        <f>ROUND(IF([6]项目基本情况!B8="出让",SUMPRODUCT(PRODUCT(1+O10:O16)),SUMPRODUCT(PRODUCT(1+O10:O15))),4)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ROUND(IF([6]项目基本情况!B8="出让",SUMPRODUCT(PRODUCT(1+K11:K16)),SUMPRODUCT(PRODUCT(1+K11:K15))),4)</f>
        <v>1.0430999999999999</v>
      </c>
      <c r="S11" s="3167">
        <f>ROUND(IF([6]项目基本情况!B8="出让",SUMPRODUCT(PRODUCT(1+L11:L16)),SUMPRODUCT(PRODUCT(1+L11:L15))),4)</f>
        <v>1.0197000000000001</v>
      </c>
      <c r="T11" s="3167">
        <f>ROUND(IF([6]项目基本情况!B8="出让",SUMPRODUCT(PRODUCT(1+M11:M16)),SUMPRODUCT(PRODUCT(1+M11:M15))),4)</f>
        <v>1.0109999999999999</v>
      </c>
      <c r="U11" s="3167">
        <f>ROUND(IF([6]项目基本情况!B8="出让",SUMPRODUCT(PRODUCT(1+N11:N16)),SUMPRODUCT(PRODUCT(1+N11:N15))),4)</f>
        <v>1.0468999999999999</v>
      </c>
      <c r="V11" s="3167">
        <f>ROUND(IF([6]项目基本情况!B8="出让",SUMPRODUCT(PRODUCT(1+O11:O16)),SUMPRODUCT(PRODUCT(1+O11:O15))),4)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ROUND(IF([6]项目基本情况!B8="出让",SUMPRODUCT(PRODUCT(1+K12:K16)),SUMPRODUCT(PRODUCT(1+K12:K15))),4)</f>
        <v>1.0335000000000001</v>
      </c>
      <c r="S12" s="3167">
        <f>ROUND(IF([6]项目基本情况!B8="出让",SUMPRODUCT(PRODUCT(1+L12:L16)),SUMPRODUCT(PRODUCT(1+L12:L15))),4)</f>
        <v>1.0182</v>
      </c>
      <c r="T12" s="3167">
        <f>ROUND(IF([6]项目基本情况!B8="出让",SUMPRODUCT(PRODUCT(1+M12:M16)),SUMPRODUCT(PRODUCT(1+M12:M15))),4)</f>
        <v>1.0108999999999999</v>
      </c>
      <c r="U12" s="3167">
        <f>ROUND(IF([6]项目基本情况!B8="出让",SUMPRODUCT(PRODUCT(1+N12:N16)),SUMPRODUCT(PRODUCT(1+N12:N15))),4)</f>
        <v>1.0361</v>
      </c>
      <c r="V12" s="3167">
        <f>ROUND(IF([6]项目基本情况!B8="出让",SUMPRODUCT(PRODUCT(1+O12:O16)),SUMPRODUCT(PRODUCT(1+O12:O15))),4)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ROUND(IF([6]项目基本情况!B8="出让",SUMPRODUCT(PRODUCT(1+K13:K16)),SUMPRODUCT(PRODUCT(1+K13:K15))),4)</f>
        <v>1.0244</v>
      </c>
      <c r="S13" s="3167">
        <f>ROUND(IF([6]项目基本情况!B8="出让",SUMPRODUCT(PRODUCT(1+L13:L16)),SUMPRODUCT(PRODUCT(1+L13:L15))),4)</f>
        <v>1.0138</v>
      </c>
      <c r="T13" s="3167">
        <f>ROUND(IF([6]项目基本情况!B8="出让",SUMPRODUCT(PRODUCT(1+M13:M16)),SUMPRODUCT(PRODUCT(1+M13:M15))),4)</f>
        <v>1.0072000000000001</v>
      </c>
      <c r="U13" s="3167">
        <f>ROUND(IF([6]项目基本情况!B8="出让",SUMPRODUCT(PRODUCT(1+N13:N16)),SUMPRODUCT(PRODUCT(1+N13:N15))),4)</f>
        <v>1.0262</v>
      </c>
      <c r="V13" s="3167">
        <f>ROUND(IF([6]项目基本情况!B8="出让",SUMPRODUCT(PRODUCT(1+O13:O16)),SUMPRODUCT(PRODUCT(1+O13:O15))),4)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ROUND(IF([6]项目基本情况!B8="出让",SUMPRODUCT(PRODUCT(1+K14:K16)),SUMPRODUCT(PRODUCT(1+K14:K15))),4)</f>
        <v>1.0139</v>
      </c>
      <c r="S14" s="3167">
        <f>ROUND(IF([6]项目基本情况!B8="出让",SUMPRODUCT(PRODUCT(1+L14:L16)),SUMPRODUCT(PRODUCT(1+L14:L15))),4)</f>
        <v>1.0113000000000001</v>
      </c>
      <c r="T14" s="3167">
        <f>ROUND(IF([6]项目基本情况!B8="出让",SUMPRODUCT(PRODUCT(1+M14:M16)),SUMPRODUCT(PRODUCT(1+M14:M15))),4)</f>
        <v>1.0065</v>
      </c>
      <c r="U14" s="3167">
        <f>ROUND(IF([6]项目基本情况!B8="出让",SUMPRODUCT(PRODUCT(1+N14:N16)),SUMPRODUCT(PRODUCT(1+N14:N15))),4)</f>
        <v>1.0143</v>
      </c>
      <c r="V14" s="3167">
        <f>ROUND(IF([6]项目基本情况!B8="出让",SUMPRODUCT(PRODUCT(1+O14:O16)),SUMPRODUCT(PRODUCT(1+O14:O15))),4)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ROUND(IF([6]项目基本情况!B8="出让",SUMPRODUCT(PRODUCT(1+K15:K16)),SUMPRODUCT(PRODUCT(1+K15:K15))),4)</f>
        <v>1.0092000000000001</v>
      </c>
      <c r="S15" s="3167">
        <f>ROUND(IF([6]项目基本情况!B8="出让",SUMPRODUCT(PRODUCT(1+L15:L16)),SUMPRODUCT(PRODUCT(1+L15:L15))),4)</f>
        <v>1.0072000000000001</v>
      </c>
      <c r="T15" s="3167">
        <f>ROUND(IF([6]项目基本情况!B8="出让",SUMPRODUCT(PRODUCT(1+M15:M16)),SUMPRODUCT(PRODUCT(1+M15:M15))),4)</f>
        <v>1.0041</v>
      </c>
      <c r="U15" s="3167">
        <f>ROUND(IF([6]项目基本情况!B8="出让",SUMPRODUCT(PRODUCT(1+N15:N16)),SUMPRODUCT(PRODUCT(1+N15:N15))),4)</f>
        <v>1.0095000000000001</v>
      </c>
      <c r="V15" s="3167">
        <f>ROUND(IF([6]项目基本情况!B8="出让",SUMPRODUCT(PRODUCT(1+O15:O16)),SUMPRODUCT(PRODUCT(1+O15:O15))),4)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28" t="s">
        <v>2827</v>
      </c>
      <c r="S21" s="3929"/>
      <c r="T21" s="3929"/>
      <c r="U21" s="3929"/>
      <c r="V21" s="3929"/>
      <c r="W21" s="3929"/>
      <c r="X21" s="3149"/>
      <c r="Y21" s="3928" t="s">
        <v>2828</v>
      </c>
      <c r="Z21" s="3929"/>
      <c r="AA21" s="3929"/>
      <c r="AB21" s="3929"/>
      <c r="AC21" s="3929"/>
      <c r="AD21" s="3929"/>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ROUND(IF([6]项目基本情况!$B$8="出让",SUMPRODUCT(PRODUCT(1+L25:L$36)),SUMPRODUCT(PRODUCT(1+L25:L$35))),4)</f>
        <v>1.0396000000000001</v>
      </c>
      <c r="T25" s="3167">
        <f>ROUND(IF([6]项目基本情况!$B$8="出让",SUMPRODUCT(PRODUCT(1+M25:M$36)),SUMPRODUCT(PRODUCT(1+M25:M$35))),4)</f>
        <v>1.0269999999999999</v>
      </c>
      <c r="U25" s="3167">
        <f>ROUND(IF([6]项目基本情况!$B$8="出让",SUMPRODUCT(PRODUCT(1+N25:N$36)),SUMPRODUCT(PRODUCT(1+N25:N$35))),4)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ROUND(IF([6]项目基本情况!$B$8="出让",SUMPRODUCT(PRODUCT(1+L26:L$36)),SUMPRODUCT(PRODUCT(1+L26:L$35))),4)</f>
        <v>1.0396000000000001</v>
      </c>
      <c r="T26" s="3167">
        <f>ROUND(IF([6]项目基本情况!$B$8="出让",SUMPRODUCT(PRODUCT(1+M26:M$36)),SUMPRODUCT(PRODUCT(1+M26:M$35))),4)</f>
        <v>1.0269999999999999</v>
      </c>
      <c r="U26" s="3167">
        <f>ROUND(IF([6]项目基本情况!$B$8="出让",SUMPRODUCT(PRODUCT(1+N26:N$36)),SUMPRODUCT(PRODUCT(1+N26:N$35))),4)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ROUND(IF([6]项目基本情况!$B$8="出让",SUMPRODUCT(PRODUCT(1+L27:L$36)),SUMPRODUCT(PRODUCT(1+L27:L$35))),4)</f>
        <v>1.0396000000000001</v>
      </c>
      <c r="T27" s="3176">
        <f>ROUND(IF([6]项目基本情况!$B$8="出让",SUMPRODUCT(PRODUCT(1+M27:M$36)),SUMPRODUCT(PRODUCT(1+M27:M$35))),4)</f>
        <v>1.0269999999999999</v>
      </c>
      <c r="U27" s="3176">
        <f>ROUND(IF([6]项目基本情况!$B$8="出让",SUMPRODUCT(PRODUCT(1+N27:N$36)),SUMPRODUCT(PRODUCT(1+N27:N$35))),4)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ROUND(IF([6]项目基本情况!$B$8="出让",SUMPRODUCT(PRODUCT(1+L28:L$36)),SUMPRODUCT(PRODUCT(1+L28:L$35))),4)</f>
        <v>1.0344</v>
      </c>
      <c r="T28" s="3167">
        <f>ROUND(IF([6]项目基本情况!$B$8="出让",SUMPRODUCT(PRODUCT(1+M28:M$36)),SUMPRODUCT(PRODUCT(1+M28:M$35))),4)</f>
        <v>1.0224</v>
      </c>
      <c r="U28" s="3167">
        <f>ROUND(IF([6]项目基本情况!$B$8="出让",SUMPRODUCT(PRODUCT(1+N28:N$36)),SUMPRODUCT(PRODUCT(1+N28:N$35))),4)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ROUND(IF([6]项目基本情况!$B$8="出让",SUMPRODUCT(PRODUCT(1+L29:L$36)),SUMPRODUCT(PRODUCT(1+L29:L$35))),4)</f>
        <v>1.0286999999999999</v>
      </c>
      <c r="T29" s="3167">
        <f>ROUND(IF([6]项目基本情况!$B$8="出让",SUMPRODUCT(PRODUCT(1+M29:M$36)),SUMPRODUCT(PRODUCT(1+M29:M$35))),4)</f>
        <v>1.0164</v>
      </c>
      <c r="U29" s="3167">
        <f>ROUND(IF([6]项目基本情况!$B$8="出让",SUMPRODUCT(PRODUCT(1+N29:N$36)),SUMPRODUCT(PRODUCT(1+N29:N$35))),4)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ROUND(IF([6]项目基本情况!$B$8="出让",SUMPRODUCT(PRODUCT(1+L30:L$36)),SUMPRODUCT(PRODUCT(1+L30:L$35))),4)</f>
        <v>1.0241</v>
      </c>
      <c r="T30" s="3167">
        <f>ROUND(IF([6]项目基本情况!$B$8="出让",SUMPRODUCT(PRODUCT(1+M30:M$36)),SUMPRODUCT(PRODUCT(1+M30:M$35))),4)</f>
        <v>1.0144</v>
      </c>
      <c r="U30" s="3167">
        <f>ROUND(IF([6]项目基本情况!$B$8="出让",SUMPRODUCT(PRODUCT(1+N30:N$36)),SUMPRODUCT(PRODUCT(1+N30:N$35))),4)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ROUND(IF([6]项目基本情况!$B$8="出让",SUMPRODUCT(PRODUCT(1+L31:L$36)),SUMPRODUCT(PRODUCT(1+L31:L$35))),4)</f>
        <v>1.0210999999999999</v>
      </c>
      <c r="T31" s="3167">
        <f>ROUND(IF([6]项目基本情况!$B$8="出让",SUMPRODUCT(PRODUCT(1+M31:M$36)),SUMPRODUCT(PRODUCT(1+M31:M$35))),4)</f>
        <v>1.0114000000000001</v>
      </c>
      <c r="U31" s="3167">
        <f>ROUND(IF([6]项目基本情况!$B$8="出让",SUMPRODUCT(PRODUCT(1+N31:N$36)),SUMPRODUCT(PRODUCT(1+N31:N$35))),4)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ROUND(IF([6]项目基本情况!$B$8="出让",SUMPRODUCT(PRODUCT(1+L32:L$36)),SUMPRODUCT(PRODUCT(1+L32:L$35))),4)</f>
        <v>1.0222</v>
      </c>
      <c r="T32" s="3167">
        <f>ROUND(IF([6]项目基本情况!$B$8="出让",SUMPRODUCT(PRODUCT(1+M32:M$36)),SUMPRODUCT(PRODUCT(1+M32:M$35))),4)</f>
        <v>1.0127999999999999</v>
      </c>
      <c r="U32" s="3167">
        <f>ROUND(IF([6]项目基本情况!$B$8="出让",SUMPRODUCT(PRODUCT(1+N32:N$36)),SUMPRODUCT(PRODUCT(1+N32:N$35))),4)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ROUND(IF([6]项目基本情况!$B$8="出让",SUMPRODUCT(PRODUCT(1+L33:L$36)),SUMPRODUCT(PRODUCT(1+L33:L$35))),4)</f>
        <v>1.0161</v>
      </c>
      <c r="T33" s="3167">
        <f>ROUND(IF([6]项目基本情况!$B$8="出让",SUMPRODUCT(PRODUCT(1+M33:M$36)),SUMPRODUCT(PRODUCT(1+M33:M$35))),4)</f>
        <v>1.0082</v>
      </c>
      <c r="U33" s="3167">
        <f>ROUND(IF([6]项目基本情况!$B$8="出让",SUMPRODUCT(PRODUCT(1+N33:N$36)),SUMPRODUCT(PRODUCT(1+N33:N$35))),4)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ROUND(IF([6]项目基本情况!$B$8="出让",SUMPRODUCT(PRODUCT(1+L34:L$36)),SUMPRODUCT(PRODUCT(1+L34:L$35))),4)</f>
        <v>1.0102</v>
      </c>
      <c r="T34" s="3167">
        <f>ROUND(IF([6]项目基本情况!$B$8="出让",SUMPRODUCT(PRODUCT(1+M34:M$36)),SUMPRODUCT(PRODUCT(1+M34:M$35))),4)</f>
        <v>1.0074000000000001</v>
      </c>
      <c r="U34" s="3167">
        <f>ROUND(IF([6]项目基本情况!$B$8="出让",SUMPRODUCT(PRODUCT(1+N34:N$36)),SUMPRODUCT(PRODUCT(1+N34:N$35))),4)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ROUND(IF([6]项目基本情况!$B$8="出让",SUMPRODUCT(PRODUCT(1+L35:L$36)),SUMPRODUCT(PRODUCT(1+L35:L$35))),4)</f>
        <v>1.0055000000000001</v>
      </c>
      <c r="T35" s="3167">
        <f>ROUND(IF([6]项目基本情况!$B$8="出让",SUMPRODUCT(PRODUCT(1+M35:M$36)),SUMPRODUCT(PRODUCT(1+M35:M$35))),4)</f>
        <v>1.0045999999999999</v>
      </c>
      <c r="U35" s="3167">
        <f>ROUND(IF([6]项目基本情况!$B$8="出让",SUMPRODUCT(PRODUCT(1+N35:N$36)),SUMPRODUCT(PRODUCT(1+N35:N$35))),4)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35" t="s">
        <v>452</v>
      </c>
      <c r="C1" s="3935"/>
      <c r="D1" s="3935"/>
      <c r="E1" s="3935"/>
      <c r="F1" s="3935"/>
      <c r="G1" s="3934" t="s">
        <v>453</v>
      </c>
      <c r="H1" s="3934"/>
      <c r="I1" s="3934"/>
      <c r="J1" s="3934"/>
      <c r="K1" s="3934"/>
      <c r="L1" s="3934"/>
      <c r="N1" s="3934" t="s">
        <v>454</v>
      </c>
      <c r="O1" s="3934"/>
      <c r="P1" s="3934"/>
      <c r="Q1" s="3934"/>
      <c r="S1" s="3934" t="s">
        <v>455</v>
      </c>
      <c r="T1" s="3934"/>
      <c r="U1" s="3934"/>
      <c r="V1" s="3934"/>
      <c r="X1" s="3933" t="s">
        <v>456</v>
      </c>
      <c r="Y1" s="3934"/>
      <c r="Z1" s="3934"/>
      <c r="AA1" s="3934"/>
      <c r="AB1" s="3934"/>
      <c r="AD1" s="3933" t="s">
        <v>457</v>
      </c>
      <c r="AE1" s="3934"/>
      <c r="AF1" s="3934"/>
      <c r="AG1" s="3934"/>
      <c r="AH1" s="3934"/>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31">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31"/>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31"/>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40"/>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36">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31"/>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31"/>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40"/>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36">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31"/>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31"/>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32"/>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30">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31"/>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31"/>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32"/>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30">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31"/>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31"/>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32"/>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37">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38"/>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38"/>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39"/>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30">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31"/>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31"/>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32"/>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30">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31">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31">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32">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30">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31">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31">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32">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30">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31">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31">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32">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30">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31">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31">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32">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30">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31">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31">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32">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30">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31">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31">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32">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30">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31">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31">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32">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30">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31">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31">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32">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30">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31">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31">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32">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30">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31">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31">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32">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93" t="str">
        <f>IF(项目基本情况!B9="房地产市场价值","估价结果一览表","结果表-2")</f>
        <v>结果表-2</v>
      </c>
      <c r="B1" s="3593"/>
      <c r="C1" s="3593"/>
      <c r="D1" s="3593"/>
      <c r="E1" s="3593"/>
      <c r="F1" s="3593"/>
      <c r="G1" s="3593"/>
      <c r="H1" s="3593"/>
      <c r="I1" s="3593"/>
    </row>
    <row r="2" spans="1:9" ht="30" customHeight="1" thickTop="1">
      <c r="A2" s="3594" t="s">
        <v>928</v>
      </c>
      <c r="B2" s="3594" t="s">
        <v>929</v>
      </c>
      <c r="C2" s="3594" t="s">
        <v>930</v>
      </c>
      <c r="D2" s="3594" t="str">
        <f>结果表!D116</f>
        <v>出让国有建设用地使用权价值</v>
      </c>
      <c r="E2" s="3594"/>
      <c r="F2" s="3594" t="str">
        <f>结果表!F116</f>
        <v>在建建筑物价值</v>
      </c>
      <c r="G2" s="3594"/>
      <c r="H2" s="3594" t="str">
        <f>IF(项目基本情况!B9="房地产市场价值","房地产市场价值","房地产价值")</f>
        <v>房地产价值</v>
      </c>
      <c r="I2" s="3594"/>
    </row>
    <row r="3" spans="1:9" ht="15">
      <c r="A3" s="3589"/>
      <c r="B3" s="3589"/>
      <c r="C3" s="3589"/>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1467.45</v>
      </c>
      <c r="C4" s="846">
        <f>项目基本情况!C18</f>
        <v>0</v>
      </c>
      <c r="D4" s="846">
        <f>结果表!D118</f>
        <v>0</v>
      </c>
      <c r="E4" s="846">
        <f>结果表!E118</f>
        <v>0</v>
      </c>
      <c r="F4" s="846">
        <f>结果表!F118</f>
        <v>0</v>
      </c>
      <c r="G4" s="846">
        <f>结果表!G118</f>
        <v>0</v>
      </c>
      <c r="H4" s="846">
        <f ca="1">结果表!H118</f>
        <v>1247</v>
      </c>
      <c r="I4" s="846">
        <f ca="1">结果表!I118</f>
        <v>45249</v>
      </c>
    </row>
    <row r="5" spans="1:9" ht="30" customHeight="1">
      <c r="A5" s="3589" t="s">
        <v>927</v>
      </c>
      <c r="B5" s="3589"/>
      <c r="C5" s="3589"/>
      <c r="D5" s="3589" t="str">
        <f>结果表!D119</f>
        <v>零元整</v>
      </c>
      <c r="E5" s="3589"/>
      <c r="F5" s="3589" t="str">
        <f>结果表!F119</f>
        <v>零元整</v>
      </c>
      <c r="G5" s="3589"/>
      <c r="H5" s="3589" t="str">
        <f ca="1">结果表!H119</f>
        <v>壹仟贰佰肆拾柒万元整</v>
      </c>
      <c r="I5" s="3589"/>
    </row>
    <row r="6" spans="1:9" ht="15.75">
      <c r="A6" s="3588" t="str">
        <f>结果表!A120</f>
        <v>估价师知悉的法定优先受偿款</v>
      </c>
      <c r="B6" s="3588"/>
      <c r="C6" s="3588"/>
      <c r="D6" s="3588">
        <f>结果表!D120</f>
        <v>0</v>
      </c>
      <c r="E6" s="3588"/>
      <c r="F6" s="3588"/>
      <c r="G6" s="3588"/>
      <c r="H6" s="3588"/>
      <c r="I6" s="3588"/>
    </row>
    <row r="7" spans="1:9" ht="15">
      <c r="A7" s="3589" t="s">
        <v>927</v>
      </c>
      <c r="B7" s="3589"/>
      <c r="C7" s="3589"/>
      <c r="D7" s="3590" t="str">
        <f>结果表!D121</f>
        <v>零元整</v>
      </c>
      <c r="E7" s="3591"/>
      <c r="F7" s="3591"/>
      <c r="G7" s="3591"/>
      <c r="H7" s="3591"/>
      <c r="I7" s="3592"/>
    </row>
    <row r="8" spans="1:9" ht="15.75">
      <c r="A8" s="3588" t="str">
        <f>结果表!A122</f>
        <v>房地产抵押价值</v>
      </c>
      <c r="B8" s="3588"/>
      <c r="C8" s="3588"/>
      <c r="D8" s="3588">
        <f ca="1">结果表!D122</f>
        <v>1247</v>
      </c>
      <c r="E8" s="3588"/>
      <c r="F8" s="3588"/>
      <c r="G8" s="3588"/>
      <c r="H8" s="3588"/>
      <c r="I8" s="3588"/>
    </row>
    <row r="9" spans="1:9" ht="15">
      <c r="A9" s="3589" t="s">
        <v>927</v>
      </c>
      <c r="B9" s="3589"/>
      <c r="C9" s="3589"/>
      <c r="D9" s="3589" t="str">
        <f ca="1">结果表!D123</f>
        <v>壹仟贰佰肆拾柒万元整</v>
      </c>
      <c r="E9" s="3589"/>
      <c r="F9" s="3589"/>
      <c r="G9" s="3589"/>
      <c r="H9" s="3589"/>
      <c r="I9" s="3589"/>
    </row>
    <row r="10" spans="1:9" ht="15.75">
      <c r="A10" s="3588" t="str">
        <f>结果表!A124</f>
        <v/>
      </c>
      <c r="B10" s="3588"/>
      <c r="C10" s="3588"/>
      <c r="D10" s="3588" t="str">
        <f>结果表!D124</f>
        <v>——</v>
      </c>
      <c r="E10" s="3588"/>
      <c r="F10" s="3588"/>
      <c r="G10" s="3588"/>
      <c r="H10" s="3588"/>
      <c r="I10" s="3588"/>
    </row>
    <row r="11" spans="1:9" ht="15">
      <c r="A11" s="3589" t="s">
        <v>927</v>
      </c>
      <c r="B11" s="3589"/>
      <c r="C11" s="3589"/>
      <c r="D11" s="3589" t="e">
        <f>结果表!D125</f>
        <v>#VALUE!</v>
      </c>
      <c r="E11" s="3589"/>
      <c r="F11" s="3589"/>
      <c r="G11" s="3589"/>
      <c r="H11" s="3589"/>
      <c r="I11" s="3589"/>
    </row>
    <row r="12" spans="1:9" ht="15.75">
      <c r="A12" s="3588" t="str">
        <f>结果表!A126</f>
        <v/>
      </c>
      <c r="B12" s="3588"/>
      <c r="C12" s="3588"/>
      <c r="D12" s="3588" t="str">
        <f>结果表!D126</f>
        <v>——</v>
      </c>
      <c r="E12" s="3588"/>
      <c r="F12" s="3588"/>
      <c r="G12" s="3588"/>
      <c r="H12" s="3588"/>
      <c r="I12" s="3588"/>
    </row>
    <row r="13" spans="1:9" ht="15.75" thickBot="1">
      <c r="A13" s="3586" t="s">
        <v>927</v>
      </c>
      <c r="B13" s="3586"/>
      <c r="C13" s="3586"/>
      <c r="D13" s="3586" t="e">
        <f>结果表!D127</f>
        <v>#VALUE!</v>
      </c>
      <c r="E13" s="3586"/>
      <c r="F13" s="3586"/>
      <c r="G13" s="3586"/>
      <c r="H13" s="3586"/>
      <c r="I13" s="3586"/>
    </row>
    <row r="14" spans="1:9" ht="15" thickTop="1">
      <c r="A14" s="3587" t="s">
        <v>932</v>
      </c>
      <c r="B14" s="3587"/>
      <c r="C14" s="3587"/>
      <c r="D14" s="3587"/>
      <c r="E14" s="3587"/>
      <c r="F14" s="3587"/>
      <c r="G14" s="3587"/>
      <c r="H14" s="3587"/>
      <c r="I14" s="3587"/>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Normal="60" zoomScaleSheetLayoutView="100" workbookViewId="0">
      <selection activeCell="M20" sqref="M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4292</v>
      </c>
      <c r="E1" s="3416" t="s">
        <v>4315</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4888</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801" t="s">
        <v>1770</v>
      </c>
      <c r="D4" s="3802"/>
      <c r="E4" s="3803" t="s">
        <v>1771</v>
      </c>
      <c r="F4" s="3804"/>
      <c r="G4" s="3801" t="s">
        <v>1772</v>
      </c>
      <c r="H4" s="3802"/>
      <c r="I4" s="3801" t="s">
        <v>1773</v>
      </c>
      <c r="J4" s="3802"/>
      <c r="K4" s="556" t="s">
        <v>1774</v>
      </c>
      <c r="L4" s="2699"/>
      <c r="M4" s="2700"/>
      <c r="N4" s="2700"/>
      <c r="O4" s="2700"/>
      <c r="P4" s="3805" t="s">
        <v>1775</v>
      </c>
      <c r="Q4" s="3806"/>
      <c r="R4" s="3811" t="s">
        <v>1771</v>
      </c>
      <c r="S4" s="3812"/>
      <c r="T4" s="3811" t="s">
        <v>1772</v>
      </c>
      <c r="U4" s="3812"/>
      <c r="V4" s="3817" t="s">
        <v>1773</v>
      </c>
      <c r="W4" s="3817"/>
      <c r="X4" s="1347"/>
      <c r="Y4" s="3811" t="s">
        <v>1775</v>
      </c>
      <c r="Z4" s="3812"/>
      <c r="AA4" s="3798" t="s">
        <v>1771</v>
      </c>
      <c r="AB4" s="3799" t="s">
        <v>1772</v>
      </c>
      <c r="AC4" s="3798" t="s">
        <v>1773</v>
      </c>
    </row>
    <row r="5" spans="1:29" ht="15">
      <c r="A5" s="358"/>
      <c r="B5" s="359"/>
      <c r="C5" s="3825" t="s">
        <v>1673</v>
      </c>
      <c r="D5" s="3821"/>
      <c r="E5" s="3828" t="s">
        <v>4316</v>
      </c>
      <c r="F5" s="3829"/>
      <c r="G5" s="3820" t="s">
        <v>4322</v>
      </c>
      <c r="H5" s="3821"/>
      <c r="I5" s="3820" t="s">
        <v>4325</v>
      </c>
      <c r="J5" s="3821"/>
      <c r="K5" s="556"/>
      <c r="L5" s="2699"/>
      <c r="M5" s="2700"/>
      <c r="N5" s="2700"/>
      <c r="O5" s="2700"/>
      <c r="P5" s="3807"/>
      <c r="Q5" s="3808"/>
      <c r="R5" s="3813"/>
      <c r="S5" s="3814"/>
      <c r="T5" s="3813"/>
      <c r="U5" s="3814"/>
      <c r="V5" s="3817"/>
      <c r="W5" s="3817"/>
      <c r="X5" s="1347"/>
      <c r="Y5" s="3813"/>
      <c r="Z5" s="3814"/>
      <c r="AA5" s="3799"/>
      <c r="AB5" s="3799"/>
      <c r="AC5" s="3799"/>
    </row>
    <row r="6" spans="1:29" ht="15.75" thickBot="1">
      <c r="A6" s="360"/>
      <c r="B6" s="361"/>
      <c r="C6" s="3818" t="s">
        <v>1677</v>
      </c>
      <c r="D6" s="3819"/>
      <c r="E6" s="3826" t="s">
        <v>1677</v>
      </c>
      <c r="F6" s="3827"/>
      <c r="G6" s="3818" t="s">
        <v>1677</v>
      </c>
      <c r="H6" s="3819"/>
      <c r="I6" s="3818" t="s">
        <v>1677</v>
      </c>
      <c r="J6" s="3819"/>
      <c r="K6" s="556" t="s">
        <v>1678</v>
      </c>
      <c r="L6" s="2699"/>
      <c r="M6" s="2700"/>
      <c r="N6" s="2700"/>
      <c r="O6" s="2700"/>
      <c r="P6" s="3809"/>
      <c r="Q6" s="3810"/>
      <c r="R6" s="3813"/>
      <c r="S6" s="3814"/>
      <c r="T6" s="3815"/>
      <c r="U6" s="3816"/>
      <c r="V6" s="3817"/>
      <c r="W6" s="3817"/>
      <c r="X6" s="1347"/>
      <c r="Y6" s="3815"/>
      <c r="Z6" s="3816"/>
      <c r="AA6" s="3800"/>
      <c r="AB6" s="3800"/>
      <c r="AC6" s="3800"/>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22" t="s">
        <v>1680</v>
      </c>
      <c r="Q7" s="3824"/>
      <c r="R7" s="696" t="s">
        <v>14</v>
      </c>
      <c r="S7" s="697">
        <f t="shared" ref="S7:S14" si="0">F7</f>
        <v>100</v>
      </c>
      <c r="T7" s="696" t="s">
        <v>14</v>
      </c>
      <c r="U7" s="697">
        <f t="shared" ref="U7:U14" si="1">H7</f>
        <v>100</v>
      </c>
      <c r="V7" s="696" t="s">
        <v>14</v>
      </c>
      <c r="W7" s="697">
        <f t="shared" ref="W7:W14" si="2">J7</f>
        <v>100</v>
      </c>
      <c r="X7" s="698"/>
      <c r="Y7" s="3822" t="s">
        <v>1680</v>
      </c>
      <c r="Z7" s="3823"/>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22" t="s">
        <v>1683</v>
      </c>
      <c r="Q8" s="3823"/>
      <c r="R8" s="696" t="s">
        <v>14</v>
      </c>
      <c r="S8" s="697">
        <f t="shared" si="0"/>
        <v>100</v>
      </c>
      <c r="T8" s="696" t="s">
        <v>14</v>
      </c>
      <c r="U8" s="697">
        <f t="shared" si="1"/>
        <v>100</v>
      </c>
      <c r="V8" s="696" t="s">
        <v>14</v>
      </c>
      <c r="W8" s="697">
        <f t="shared" si="2"/>
        <v>100</v>
      </c>
      <c r="X8" s="698"/>
      <c r="Y8" s="3822" t="s">
        <v>1683</v>
      </c>
      <c r="Z8" s="3823"/>
      <c r="AA8" s="699">
        <f t="shared" ref="AA8:AA36" si="3">D8/F8</f>
        <v>1</v>
      </c>
      <c r="AB8" s="699">
        <f t="shared" ref="AB8:AB36" si="4">D8/H8</f>
        <v>1</v>
      </c>
      <c r="AC8" s="699">
        <f t="shared" ref="AC8:AC36" si="5">D8/J8</f>
        <v>1</v>
      </c>
    </row>
    <row r="9" spans="1:29" s="108" customFormat="1">
      <c r="A9" s="60" t="s">
        <v>1684</v>
      </c>
      <c r="B9" s="584" t="s">
        <v>1685</v>
      </c>
      <c r="C9" s="3440" t="s">
        <v>4317</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786" t="s">
        <v>1686</v>
      </c>
      <c r="Q9" s="1335" t="str">
        <f t="shared" ref="Q9:Q14" si="6">B9</f>
        <v>用途</v>
      </c>
      <c r="R9" s="696" t="s">
        <v>14</v>
      </c>
      <c r="S9" s="697">
        <f t="shared" si="0"/>
        <v>100</v>
      </c>
      <c r="T9" s="696" t="s">
        <v>14</v>
      </c>
      <c r="U9" s="697">
        <f t="shared" si="1"/>
        <v>100</v>
      </c>
      <c r="V9" s="696" t="s">
        <v>14</v>
      </c>
      <c r="W9" s="697">
        <f t="shared" si="2"/>
        <v>100</v>
      </c>
      <c r="X9" s="698"/>
      <c r="Y9" s="3690"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786"/>
      <c r="Q10" s="1335" t="str">
        <f t="shared" si="6"/>
        <v>土地使用年限（年）</v>
      </c>
      <c r="R10" s="696" t="s">
        <v>14</v>
      </c>
      <c r="S10" s="697">
        <f t="shared" si="0"/>
        <v>100</v>
      </c>
      <c r="T10" s="696" t="s">
        <v>14</v>
      </c>
      <c r="U10" s="697">
        <f t="shared" si="1"/>
        <v>100</v>
      </c>
      <c r="V10" s="696" t="s">
        <v>14</v>
      </c>
      <c r="W10" s="697">
        <f t="shared" si="2"/>
        <v>100</v>
      </c>
      <c r="X10" s="698"/>
      <c r="Y10" s="3690"/>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786"/>
      <c r="Q11" s="1335">
        <f t="shared" si="6"/>
        <v>111</v>
      </c>
      <c r="R11" s="696" t="s">
        <v>14</v>
      </c>
      <c r="S11" s="697">
        <f t="shared" si="0"/>
        <v>100</v>
      </c>
      <c r="T11" s="696" t="s">
        <v>14</v>
      </c>
      <c r="U11" s="697">
        <f t="shared" si="1"/>
        <v>100</v>
      </c>
      <c r="V11" s="696" t="s">
        <v>14</v>
      </c>
      <c r="W11" s="697">
        <f t="shared" si="2"/>
        <v>100</v>
      </c>
      <c r="X11" s="698"/>
      <c r="Y11" s="3690"/>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786"/>
      <c r="Q12" s="1335">
        <f t="shared" si="6"/>
        <v>111</v>
      </c>
      <c r="R12" s="696" t="s">
        <v>14</v>
      </c>
      <c r="S12" s="697">
        <f t="shared" si="0"/>
        <v>100</v>
      </c>
      <c r="T12" s="696" t="s">
        <v>14</v>
      </c>
      <c r="U12" s="697">
        <f t="shared" si="1"/>
        <v>100</v>
      </c>
      <c r="V12" s="696" t="s">
        <v>14</v>
      </c>
      <c r="W12" s="697">
        <f t="shared" si="2"/>
        <v>100</v>
      </c>
      <c r="X12" s="698"/>
      <c r="Y12" s="3690"/>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786"/>
      <c r="Q13" s="1335">
        <f t="shared" si="6"/>
        <v>111</v>
      </c>
      <c r="R13" s="696" t="s">
        <v>14</v>
      </c>
      <c r="S13" s="697">
        <f t="shared" si="0"/>
        <v>100</v>
      </c>
      <c r="T13" s="696" t="s">
        <v>14</v>
      </c>
      <c r="U13" s="697">
        <f t="shared" si="1"/>
        <v>100</v>
      </c>
      <c r="V13" s="696" t="s">
        <v>14</v>
      </c>
      <c r="W13" s="697">
        <f t="shared" si="2"/>
        <v>100</v>
      </c>
      <c r="X13" s="698"/>
      <c r="Y13" s="3690"/>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788" t="s">
        <v>1691</v>
      </c>
      <c r="Q14" s="1344" t="str">
        <f t="shared" si="6"/>
        <v>交通便捷度</v>
      </c>
      <c r="R14" s="700" t="s">
        <v>14</v>
      </c>
      <c r="S14" s="701">
        <f t="shared" si="0"/>
        <v>100</v>
      </c>
      <c r="T14" s="700" t="s">
        <v>14</v>
      </c>
      <c r="U14" s="701">
        <f t="shared" si="1"/>
        <v>100</v>
      </c>
      <c r="V14" s="700" t="s">
        <v>14</v>
      </c>
      <c r="W14" s="701">
        <f t="shared" si="2"/>
        <v>100</v>
      </c>
      <c r="X14" s="1347"/>
      <c r="Y14" s="3788"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789"/>
      <c r="Q15" s="1344"/>
      <c r="R15" s="700"/>
      <c r="S15" s="701"/>
      <c r="T15" s="700"/>
      <c r="U15" s="701"/>
      <c r="V15" s="700"/>
      <c r="W15" s="701"/>
      <c r="X15" s="1347"/>
      <c r="Y15" s="3789"/>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789"/>
      <c r="Q16" s="1344" t="str">
        <f>B16</f>
        <v>公共配套设施</v>
      </c>
      <c r="R16" s="700" t="s">
        <v>14</v>
      </c>
      <c r="S16" s="701">
        <f>F16</f>
        <v>100</v>
      </c>
      <c r="T16" s="700" t="s">
        <v>14</v>
      </c>
      <c r="U16" s="701">
        <f>H16</f>
        <v>100</v>
      </c>
      <c r="V16" s="700" t="s">
        <v>14</v>
      </c>
      <c r="W16" s="701">
        <f>J16</f>
        <v>100</v>
      </c>
      <c r="X16" s="1347"/>
      <c r="Y16" s="3789"/>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789"/>
      <c r="Q17" s="1344"/>
      <c r="R17" s="700"/>
      <c r="S17" s="701"/>
      <c r="T17" s="700"/>
      <c r="U17" s="701"/>
      <c r="V17" s="700"/>
      <c r="W17" s="701"/>
      <c r="X17" s="1347"/>
      <c r="Y17" s="3789"/>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789"/>
      <c r="Q18" s="1344" t="str">
        <f>B18</f>
        <v>基础设施水平</v>
      </c>
      <c r="R18" s="700" t="s">
        <v>14</v>
      </c>
      <c r="S18" s="701">
        <f>F18</f>
        <v>100</v>
      </c>
      <c r="T18" s="700" t="s">
        <v>14</v>
      </c>
      <c r="U18" s="701">
        <f>H18</f>
        <v>100</v>
      </c>
      <c r="V18" s="700" t="s">
        <v>14</v>
      </c>
      <c r="W18" s="701">
        <f>J18</f>
        <v>100</v>
      </c>
      <c r="X18" s="1347"/>
      <c r="Y18" s="3789"/>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789"/>
      <c r="Q19" s="1344"/>
      <c r="R19" s="700"/>
      <c r="S19" s="701"/>
      <c r="T19" s="700"/>
      <c r="U19" s="701"/>
      <c r="V19" s="700"/>
      <c r="W19" s="701"/>
      <c r="X19" s="1347"/>
      <c r="Y19" s="3789"/>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789"/>
      <c r="Q20" s="1344" t="str">
        <f>B20</f>
        <v>自然及人文环境</v>
      </c>
      <c r="R20" s="700" t="s">
        <v>14</v>
      </c>
      <c r="S20" s="701">
        <f>F20</f>
        <v>98</v>
      </c>
      <c r="T20" s="700" t="s">
        <v>14</v>
      </c>
      <c r="U20" s="701">
        <f>H20</f>
        <v>98</v>
      </c>
      <c r="V20" s="700" t="s">
        <v>14</v>
      </c>
      <c r="W20" s="701">
        <f>J20</f>
        <v>100</v>
      </c>
      <c r="X20" s="1347"/>
      <c r="Y20" s="3789"/>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789"/>
      <c r="Q21" s="1344"/>
      <c r="R21" s="700"/>
      <c r="S21" s="701"/>
      <c r="T21" s="700"/>
      <c r="U21" s="701"/>
      <c r="V21" s="700"/>
      <c r="W21" s="701"/>
      <c r="X21" s="1347"/>
      <c r="Y21" s="3789"/>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789"/>
      <c r="Q22" s="1344" t="str">
        <f>B22</f>
        <v>楼层</v>
      </c>
      <c r="R22" s="700" t="s">
        <v>14</v>
      </c>
      <c r="S22" s="701">
        <f>F22</f>
        <v>100</v>
      </c>
      <c r="T22" s="700" t="s">
        <v>14</v>
      </c>
      <c r="U22" s="701">
        <f>H22</f>
        <v>100</v>
      </c>
      <c r="V22" s="700" t="s">
        <v>14</v>
      </c>
      <c r="W22" s="701">
        <f>J22</f>
        <v>100</v>
      </c>
      <c r="X22" s="1347"/>
      <c r="Y22" s="3789"/>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789"/>
      <c r="Q23" s="1344">
        <f>B23</f>
        <v>111</v>
      </c>
      <c r="R23" s="700" t="s">
        <v>14</v>
      </c>
      <c r="S23" s="701">
        <f>F23</f>
        <v>100</v>
      </c>
      <c r="T23" s="700" t="s">
        <v>14</v>
      </c>
      <c r="U23" s="701">
        <f>H23</f>
        <v>100</v>
      </c>
      <c r="V23" s="700" t="s">
        <v>14</v>
      </c>
      <c r="W23" s="701">
        <f>J23</f>
        <v>100</v>
      </c>
      <c r="X23" s="1347"/>
      <c r="Y23" s="3789"/>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789"/>
      <c r="Q24" s="1344">
        <f t="shared" ref="Q24:Q36" si="11">B24</f>
        <v>111</v>
      </c>
      <c r="R24" s="700" t="s">
        <v>14</v>
      </c>
      <c r="S24" s="701">
        <f>F24</f>
        <v>100</v>
      </c>
      <c r="T24" s="700" t="s">
        <v>14</v>
      </c>
      <c r="U24" s="701">
        <f>H24</f>
        <v>100</v>
      </c>
      <c r="V24" s="700" t="s">
        <v>14</v>
      </c>
      <c r="W24" s="701">
        <f>J24</f>
        <v>100</v>
      </c>
      <c r="X24" s="1347"/>
      <c r="Y24" s="3789"/>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789"/>
      <c r="Q25" s="1335">
        <f t="shared" si="11"/>
        <v>111</v>
      </c>
      <c r="R25" s="696" t="s">
        <v>14</v>
      </c>
      <c r="S25" s="697">
        <f>F25</f>
        <v>100</v>
      </c>
      <c r="T25" s="696" t="s">
        <v>14</v>
      </c>
      <c r="U25" s="697">
        <f>H25</f>
        <v>100</v>
      </c>
      <c r="V25" s="696" t="s">
        <v>14</v>
      </c>
      <c r="W25" s="697">
        <f>J25</f>
        <v>100</v>
      </c>
      <c r="X25" s="698"/>
      <c r="Y25" s="3789"/>
      <c r="Z25" s="52">
        <f>Q25</f>
        <v>111</v>
      </c>
      <c r="AA25" s="1345">
        <f>D25/F25</f>
        <v>1</v>
      </c>
      <c r="AB25" s="1345">
        <f>D25/H25</f>
        <v>1</v>
      </c>
      <c r="AC25" s="1345">
        <f>D25/J25</f>
        <v>1</v>
      </c>
    </row>
    <row r="26" spans="1:29" ht="28.5">
      <c r="A26" s="596" t="s">
        <v>1694</v>
      </c>
      <c r="B26" s="62" t="s">
        <v>1836</v>
      </c>
      <c r="C26" s="1960" t="str">
        <f>B1</f>
        <v>车库</v>
      </c>
      <c r="D26" s="398">
        <v>100</v>
      </c>
      <c r="E26" s="397" t="s">
        <v>4323</v>
      </c>
      <c r="F26" s="399">
        <f>SUMIF(79:79,E26,80:80)-SUMIF(79:79,C26,80:80)+100</f>
        <v>98</v>
      </c>
      <c r="G26" s="397" t="s">
        <v>4323</v>
      </c>
      <c r="H26" s="398">
        <f>SUMIF(79:79,G26,80:80)-SUMIF(79:79,C26,80:80)+100</f>
        <v>98</v>
      </c>
      <c r="I26" s="397" t="s">
        <v>3334</v>
      </c>
      <c r="J26" s="398">
        <f>SUMIF(79:79,I26,80:80)-SUMIF(79:79,C26,80:80)+100</f>
        <v>100</v>
      </c>
      <c r="K26" s="558">
        <v>2</v>
      </c>
      <c r="L26" s="2706"/>
      <c r="M26" s="2700"/>
      <c r="N26" s="2700"/>
      <c r="O26" s="2700"/>
      <c r="P26" s="3833"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793"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793"/>
      <c r="Q27" s="702" t="str">
        <f t="shared" si="11"/>
        <v>项目停车位配比</v>
      </c>
      <c r="R27" s="703" t="s">
        <v>14</v>
      </c>
      <c r="S27" s="704">
        <f t="shared" si="12"/>
        <v>100</v>
      </c>
      <c r="T27" s="703" t="s">
        <v>14</v>
      </c>
      <c r="U27" s="704">
        <f t="shared" si="13"/>
        <v>100</v>
      </c>
      <c r="V27" s="703" t="s">
        <v>14</v>
      </c>
      <c r="W27" s="704">
        <f t="shared" si="14"/>
        <v>100</v>
      </c>
      <c r="X27" s="705"/>
      <c r="Y27" s="3793"/>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793"/>
      <c r="Q28" s="1344" t="str">
        <f t="shared" si="11"/>
        <v>公共部分装修</v>
      </c>
      <c r="R28" s="700" t="s">
        <v>14</v>
      </c>
      <c r="S28" s="701">
        <f t="shared" si="12"/>
        <v>100</v>
      </c>
      <c r="T28" s="700" t="s">
        <v>14</v>
      </c>
      <c r="U28" s="701">
        <f t="shared" si="13"/>
        <v>100</v>
      </c>
      <c r="V28" s="700" t="s">
        <v>14</v>
      </c>
      <c r="W28" s="701">
        <f t="shared" si="14"/>
        <v>100</v>
      </c>
      <c r="X28" s="1347"/>
      <c r="Y28" s="3793"/>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793"/>
      <c r="Q29" s="1344" t="str">
        <f t="shared" si="11"/>
        <v>成新率</v>
      </c>
      <c r="R29" s="700" t="s">
        <v>14</v>
      </c>
      <c r="S29" s="701">
        <f t="shared" si="12"/>
        <v>100</v>
      </c>
      <c r="T29" s="700" t="s">
        <v>14</v>
      </c>
      <c r="U29" s="701">
        <f t="shared" si="13"/>
        <v>100</v>
      </c>
      <c r="V29" s="700" t="s">
        <v>14</v>
      </c>
      <c r="W29" s="701">
        <f t="shared" si="14"/>
        <v>100</v>
      </c>
      <c r="X29" s="1347"/>
      <c r="Y29" s="3793"/>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793"/>
      <c r="Q30" s="1344" t="str">
        <f t="shared" si="11"/>
        <v>物业等级</v>
      </c>
      <c r="R30" s="700" t="s">
        <v>14</v>
      </c>
      <c r="S30" s="701">
        <f t="shared" si="12"/>
        <v>100</v>
      </c>
      <c r="T30" s="700" t="s">
        <v>14</v>
      </c>
      <c r="U30" s="701">
        <f t="shared" si="13"/>
        <v>100</v>
      </c>
      <c r="V30" s="700" t="s">
        <v>14</v>
      </c>
      <c r="W30" s="701">
        <f t="shared" si="14"/>
        <v>100</v>
      </c>
      <c r="X30" s="1347"/>
      <c r="Y30" s="3793"/>
      <c r="Z30" s="1348" t="str">
        <f t="shared" si="15"/>
        <v>物业等级</v>
      </c>
      <c r="AA30" s="1345">
        <f t="shared" si="3"/>
        <v>1</v>
      </c>
      <c r="AB30" s="1345">
        <f t="shared" si="4"/>
        <v>1</v>
      </c>
      <c r="AC30" s="1345">
        <f t="shared" si="5"/>
        <v>1</v>
      </c>
    </row>
    <row r="31" spans="1:29" s="108" customFormat="1" ht="15">
      <c r="A31" s="602"/>
      <c r="B31" s="598" t="s">
        <v>1841</v>
      </c>
      <c r="C31" s="419">
        <f>商办车库!F231</f>
        <v>44.95</v>
      </c>
      <c r="D31" s="127">
        <v>100</v>
      </c>
      <c r="E31" s="419">
        <v>33</v>
      </c>
      <c r="F31" s="411">
        <f>LOOKUP(E31,91:91,92:92)-LOOKUP(C31,91:91,92:92)+100</f>
        <v>99.5</v>
      </c>
      <c r="G31" s="419">
        <v>28</v>
      </c>
      <c r="H31" s="385">
        <f>LOOKUP(G31,91:91,92:92)-LOOKUP(C31,91:91,92:92)+100</f>
        <v>99</v>
      </c>
      <c r="I31" s="419">
        <v>44</v>
      </c>
      <c r="J31" s="385">
        <f>LOOKUP(I31,91:91,92:92)-LOOKUP(C31,91:91,92:92)+100</f>
        <v>100</v>
      </c>
      <c r="K31" s="558"/>
      <c r="L31" s="2701"/>
      <c r="M31" s="2702"/>
      <c r="N31" s="2702"/>
      <c r="O31" s="2702"/>
      <c r="P31" s="3793"/>
      <c r="Q31" s="1335" t="str">
        <f t="shared" si="11"/>
        <v>停车位面积</v>
      </c>
      <c r="R31" s="696" t="s">
        <v>14</v>
      </c>
      <c r="S31" s="697">
        <f t="shared" si="12"/>
        <v>99.5</v>
      </c>
      <c r="T31" s="696" t="s">
        <v>14</v>
      </c>
      <c r="U31" s="697">
        <f t="shared" si="13"/>
        <v>99</v>
      </c>
      <c r="V31" s="696" t="s">
        <v>14</v>
      </c>
      <c r="W31" s="697">
        <f t="shared" si="14"/>
        <v>100</v>
      </c>
      <c r="X31" s="698"/>
      <c r="Y31" s="3793"/>
      <c r="Z31" s="52" t="str">
        <f t="shared" si="15"/>
        <v>停车位面积</v>
      </c>
      <c r="AA31" s="699">
        <f t="shared" si="3"/>
        <v>1.0050251256281406</v>
      </c>
      <c r="AB31" s="699">
        <f t="shared" si="4"/>
        <v>1.0101010101010102</v>
      </c>
      <c r="AC31" s="699">
        <f t="shared" si="5"/>
        <v>1</v>
      </c>
    </row>
    <row r="32" spans="1:29" ht="15">
      <c r="A32" s="600"/>
      <c r="B32" s="598" t="s">
        <v>1842</v>
      </c>
      <c r="C32" s="410" t="s">
        <v>4318</v>
      </c>
      <c r="D32" s="385">
        <v>100</v>
      </c>
      <c r="E32" s="410" t="s">
        <v>4318</v>
      </c>
      <c r="F32" s="411">
        <f>SUMIF(93:93,E32,94:94)-SUMIF(93:93,C32,94:94)+100</f>
        <v>100</v>
      </c>
      <c r="G32" s="410" t="s">
        <v>4318</v>
      </c>
      <c r="H32" s="385">
        <f>SUMIF(93:93,G32,94:94)-SUMIF(93:93,C32,94:94)+100</f>
        <v>100</v>
      </c>
      <c r="I32" s="410" t="s">
        <v>4318</v>
      </c>
      <c r="J32" s="385">
        <f>SUMIF(93:93,I32,94:94)-SUMIF(93:93,C32,94:94)+100</f>
        <v>100</v>
      </c>
      <c r="K32" s="558">
        <v>2</v>
      </c>
      <c r="L32" s="2706"/>
      <c r="M32" s="2700"/>
      <c r="N32" s="2700"/>
      <c r="O32" s="2700"/>
      <c r="P32" s="3793" t="s">
        <v>1696</v>
      </c>
      <c r="Q32" s="1344" t="str">
        <f t="shared" si="11"/>
        <v>车位类型</v>
      </c>
      <c r="R32" s="700" t="s">
        <v>14</v>
      </c>
      <c r="S32" s="701">
        <f t="shared" si="12"/>
        <v>100</v>
      </c>
      <c r="T32" s="700" t="s">
        <v>14</v>
      </c>
      <c r="U32" s="701">
        <f t="shared" si="13"/>
        <v>100</v>
      </c>
      <c r="V32" s="700" t="s">
        <v>14</v>
      </c>
      <c r="W32" s="701">
        <f t="shared" si="14"/>
        <v>100</v>
      </c>
      <c r="X32" s="1347"/>
      <c r="Y32" s="3793"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793"/>
      <c r="Q33" s="1344" t="str">
        <f t="shared" si="11"/>
        <v>是否直接入户</v>
      </c>
      <c r="R33" s="700" t="s">
        <v>14</v>
      </c>
      <c r="S33" s="701">
        <f t="shared" si="12"/>
        <v>100</v>
      </c>
      <c r="T33" s="700" t="s">
        <v>14</v>
      </c>
      <c r="U33" s="701">
        <f t="shared" si="13"/>
        <v>100</v>
      </c>
      <c r="V33" s="700" t="s">
        <v>14</v>
      </c>
      <c r="W33" s="701">
        <f t="shared" si="14"/>
        <v>100</v>
      </c>
      <c r="X33" s="1347"/>
      <c r="Y33" s="3793"/>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793"/>
      <c r="Q34" s="1344">
        <f t="shared" si="11"/>
        <v>111</v>
      </c>
      <c r="R34" s="700" t="s">
        <v>14</v>
      </c>
      <c r="S34" s="701">
        <f t="shared" si="12"/>
        <v>100</v>
      </c>
      <c r="T34" s="700" t="s">
        <v>14</v>
      </c>
      <c r="U34" s="701">
        <f t="shared" si="13"/>
        <v>100</v>
      </c>
      <c r="V34" s="700" t="s">
        <v>14</v>
      </c>
      <c r="W34" s="701">
        <f t="shared" si="14"/>
        <v>100</v>
      </c>
      <c r="X34" s="1347"/>
      <c r="Y34" s="3793"/>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793"/>
      <c r="Q35" s="702">
        <f t="shared" si="11"/>
        <v>111</v>
      </c>
      <c r="R35" s="703" t="s">
        <v>14</v>
      </c>
      <c r="S35" s="704">
        <f t="shared" si="12"/>
        <v>100</v>
      </c>
      <c r="T35" s="703" t="s">
        <v>14</v>
      </c>
      <c r="U35" s="704">
        <f t="shared" si="13"/>
        <v>100</v>
      </c>
      <c r="V35" s="703" t="s">
        <v>14</v>
      </c>
      <c r="W35" s="704">
        <f t="shared" si="14"/>
        <v>100</v>
      </c>
      <c r="X35" s="705"/>
      <c r="Y35" s="3793"/>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793"/>
      <c r="Q36" s="1344">
        <f t="shared" si="11"/>
        <v>111</v>
      </c>
      <c r="R36" s="700" t="s">
        <v>14</v>
      </c>
      <c r="S36" s="701">
        <f t="shared" si="12"/>
        <v>100</v>
      </c>
      <c r="T36" s="700" t="s">
        <v>14</v>
      </c>
      <c r="U36" s="701">
        <f t="shared" si="13"/>
        <v>100</v>
      </c>
      <c r="V36" s="700" t="s">
        <v>14</v>
      </c>
      <c r="W36" s="701">
        <f t="shared" si="14"/>
        <v>100</v>
      </c>
      <c r="X36" s="1347"/>
      <c r="Y36" s="3793"/>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786" t="str">
        <f>A37</f>
        <v>成交单价</v>
      </c>
      <c r="Q37" s="3786"/>
      <c r="R37" s="3787">
        <f>E37</f>
        <v>5020</v>
      </c>
      <c r="S37" s="3787"/>
      <c r="T37" s="3787">
        <f>G37</f>
        <v>4645</v>
      </c>
      <c r="U37" s="3787"/>
      <c r="V37" s="3787">
        <f>I37</f>
        <v>4527</v>
      </c>
      <c r="W37" s="3787"/>
      <c r="X37" s="685"/>
      <c r="Y37" s="707"/>
      <c r="Z37" s="685"/>
      <c r="AA37" s="685"/>
      <c r="AB37" s="685"/>
      <c r="AC37" s="685"/>
    </row>
    <row r="38" spans="1:29" ht="15.75" thickBot="1">
      <c r="A38" s="434" t="s">
        <v>1845</v>
      </c>
      <c r="B38" s="435" t="str">
        <f>B37</f>
        <v>元/平方米</v>
      </c>
      <c r="C38" s="1152">
        <f>R39</f>
        <v>4888</v>
      </c>
      <c r="D38" s="2305" t="s">
        <v>2137</v>
      </c>
      <c r="E38" s="1153">
        <f>R38</f>
        <v>5253</v>
      </c>
      <c r="F38" s="2306"/>
      <c r="G38" s="1152">
        <f>T38</f>
        <v>4885</v>
      </c>
      <c r="H38" s="2306"/>
      <c r="I38" s="1153">
        <f>V38</f>
        <v>4527</v>
      </c>
      <c r="J38" s="2306"/>
      <c r="K38" s="2308">
        <f>F38+H38+J38</f>
        <v>0</v>
      </c>
      <c r="L38" s="2708"/>
      <c r="M38" s="2709"/>
      <c r="N38" s="2709"/>
      <c r="O38" s="2709"/>
      <c r="P38" s="3786" t="str">
        <f>A38</f>
        <v>比较价值（元/平方米）</v>
      </c>
      <c r="Q38" s="3786"/>
      <c r="R38" s="3787">
        <f>IF(F1="售价",ROUND(PRODUCT(R37,AA7:AA36),0),ROUND(PRODUCT(R37,AA7:AA36),1))</f>
        <v>5253</v>
      </c>
      <c r="S38" s="3787"/>
      <c r="T38" s="3787">
        <f>IF(F1="售价",ROUND(PRODUCT(T37,AB7:AB36),0),ROUND(PRODUCT(T37,AB7:AB36),1))</f>
        <v>4885</v>
      </c>
      <c r="U38" s="3787"/>
      <c r="V38" s="3787">
        <f>IF(F1="售价",ROUND(PRODUCT(V37,AC7:AC36),0),ROUND(PRODUCT(V37,AC7:AC36),1))</f>
        <v>4527</v>
      </c>
      <c r="W38" s="3787"/>
      <c r="X38" s="685"/>
      <c r="Y38" s="685"/>
      <c r="Z38" s="685"/>
      <c r="AA38" s="685"/>
      <c r="AB38" s="685"/>
      <c r="AC38" s="685"/>
    </row>
    <row r="39" spans="1:29" ht="15.75" thickBot="1">
      <c r="A39" s="438" t="s">
        <v>1846</v>
      </c>
      <c r="B39" s="439"/>
      <c r="C39" s="1155">
        <f>R39</f>
        <v>4888</v>
      </c>
      <c r="D39" s="1155"/>
      <c r="E39" s="1155"/>
      <c r="F39" s="1155"/>
      <c r="G39" s="1155"/>
      <c r="H39" s="1155"/>
      <c r="I39" s="1155"/>
      <c r="J39" s="1155"/>
      <c r="K39" s="565"/>
      <c r="L39" s="2708"/>
      <c r="M39" s="2709"/>
      <c r="N39" s="2709"/>
      <c r="O39" s="2709"/>
      <c r="P39" s="3783" t="str">
        <f>A39</f>
        <v>估价对象XX用房的比较价值（楼面单价，元/平方米）</v>
      </c>
      <c r="Q39" s="3784"/>
      <c r="R39" s="3885">
        <f>IF(F1="售价",ROUND(IF(D38="简单平均",AVERAGE(R38:W38),R38*F38+T38*H38+V38*J38),0),ROUND(IF(D38="简单平均",AVERAGE(R38:V38),R38*F38+T38*H38+V38*J38),1))</f>
        <v>4888</v>
      </c>
      <c r="S39" s="3885"/>
      <c r="T39" s="3885"/>
      <c r="U39" s="3885"/>
      <c r="V39" s="3885"/>
      <c r="W39" s="3885"/>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4.6414342629482075E-2</v>
      </c>
      <c r="F42" s="446" t="str">
        <f>IF(OR(E42&gt;=0.3,E42&lt;=-0.3),"超过30%","")</f>
        <v/>
      </c>
      <c r="G42" s="445">
        <f>IF(G37&lt;G38,G38/G37-1,G37/G38-1)</f>
        <v>5.16684607104414E-2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7.5332650972364412E-2</v>
      </c>
      <c r="F43" s="446" t="str">
        <f>IF(OR(E43&gt;=0.2,E43&lt;=-0.2),"超过20%","")</f>
        <v/>
      </c>
      <c r="G43" s="445">
        <f>IF(G38&lt;I38,I38/G38-1,G38/I38-1)</f>
        <v>7.9081069140711335E-2</v>
      </c>
      <c r="H43" s="446" t="str">
        <f>IF(OR(G43&gt;=0.2,G43&lt;=-0.2),"超过20%","")</f>
        <v/>
      </c>
      <c r="I43" s="445">
        <f>IF(I38&lt;E38,E38/I38-1,I38/E38-1)</f>
        <v>0.16037110669317434</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4324</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4299</v>
      </c>
      <c r="D83" s="3441" t="s">
        <v>4300</v>
      </c>
      <c r="E83" s="3441" t="s">
        <v>4301</v>
      </c>
      <c r="F83" s="3473" t="s">
        <v>4302</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4321</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v>
      </c>
      <c r="H90" s="524" t="str">
        <f t="shared" si="21"/>
        <v>(含)-</v>
      </c>
      <c r="I90" s="524" t="str">
        <f t="shared" si="21"/>
        <v>(含)-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541"/>
      <c r="I91" s="541"/>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C92+0.5</f>
        <v>100.5</v>
      </c>
      <c r="E92" s="482">
        <f t="shared" ref="E92:G92" si="22">D92+0.5</f>
        <v>101</v>
      </c>
      <c r="F92" s="482">
        <f t="shared" si="22"/>
        <v>101.5</v>
      </c>
      <c r="G92" s="482">
        <f t="shared" si="22"/>
        <v>102</v>
      </c>
      <c r="H92" s="482"/>
      <c r="I92" s="482"/>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4319</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4320</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J39" sqref="J39"/>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4292</v>
      </c>
      <c r="D1" s="1354" t="s">
        <v>43</v>
      </c>
      <c r="E1" s="1355" t="s">
        <v>678</v>
      </c>
      <c r="F1" s="1054">
        <f ca="1">J53</f>
        <v>41.36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19.938800000000001</v>
      </c>
      <c r="C2" s="1379" t="s">
        <v>879</v>
      </c>
      <c r="D2" s="1463">
        <f ca="1">C40+J29+L46</f>
        <v>199388</v>
      </c>
      <c r="E2" s="1380" t="s">
        <v>880</v>
      </c>
      <c r="F2" s="1381"/>
      <c r="G2" s="2690"/>
      <c r="H2" s="2679"/>
      <c r="I2" s="2679"/>
      <c r="J2" s="2679"/>
      <c r="K2" s="2680"/>
      <c r="L2" s="2679"/>
      <c r="M2" s="2679"/>
    </row>
    <row r="3" spans="1:37" ht="18" customHeight="1" thickBot="1">
      <c r="A3" s="1382" t="s">
        <v>881</v>
      </c>
      <c r="B3" s="1383">
        <f ca="1">IF(ISERROR(D2/F43),0,ROUND(D2/F43,0))</f>
        <v>4436</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40" t="s">
        <v>694</v>
      </c>
      <c r="C6" s="1066">
        <f ca="1">ROUND(F6*F8*F7*(1-F9),0)</f>
        <v>12960</v>
      </c>
      <c r="D6" s="155" t="s">
        <v>2105</v>
      </c>
      <c r="E6" s="302" t="s">
        <v>696</v>
      </c>
      <c r="F6" s="303">
        <f ca="1">INDIRECT("'数据-取费表'!u"&amp;$G$1)</f>
        <v>1200</v>
      </c>
      <c r="G6" s="1376"/>
      <c r="H6" s="1061" t="s">
        <v>398</v>
      </c>
      <c r="I6" s="3840" t="s">
        <v>694</v>
      </c>
      <c r="J6" s="301">
        <f ca="1">ROUND(M6*M8*M7*(1-M9),0)</f>
        <v>0</v>
      </c>
      <c r="K6" s="1368" t="s">
        <v>2106</v>
      </c>
      <c r="L6" s="302" t="s">
        <v>696</v>
      </c>
      <c r="M6" s="303">
        <f ca="1">INDIRECT("'数据-取费表'!z"&amp;$G$1)</f>
        <v>0</v>
      </c>
    </row>
    <row r="7" spans="1:37" ht="18" customHeight="1">
      <c r="A7" s="1065"/>
      <c r="B7" s="3841"/>
      <c r="C7" s="1067"/>
      <c r="D7" s="307"/>
      <c r="E7" s="1068" t="s">
        <v>697</v>
      </c>
      <c r="F7" s="303">
        <f ca="1">IF(INDIRECT("'数据-取费表'!ah"&amp;$G$1)="",INDIRECT("'数据-取费表'!k"&amp;$G$1),INDIRECT("'数据-取费表'!ah"&amp;$G$1))</f>
        <v>1</v>
      </c>
      <c r="G7" s="1376"/>
      <c r="H7" s="304"/>
      <c r="I7" s="3841"/>
      <c r="J7" s="306"/>
      <c r="K7" s="307"/>
      <c r="L7" s="302" t="s">
        <v>697</v>
      </c>
      <c r="M7" s="303">
        <f ca="1">F7</f>
        <v>1</v>
      </c>
    </row>
    <row r="8" spans="1:37" ht="18" customHeight="1">
      <c r="A8" s="304"/>
      <c r="B8" s="3841"/>
      <c r="C8" s="306"/>
      <c r="D8" s="307"/>
      <c r="E8" s="302" t="s">
        <v>698</v>
      </c>
      <c r="F8" s="303">
        <f ca="1">INDIRECT("'数据-取费表'!ai"&amp;$G$1)</f>
        <v>12</v>
      </c>
      <c r="G8" s="1376"/>
      <c r="H8" s="304"/>
      <c r="I8" s="3841"/>
      <c r="J8" s="306"/>
      <c r="K8" s="307"/>
      <c r="L8" s="302" t="s">
        <v>698</v>
      </c>
      <c r="M8" s="303">
        <f ca="1">INDIRECT("'数据-取费表'!ai"&amp;$G$1)</f>
        <v>12</v>
      </c>
    </row>
    <row r="9" spans="1:37" ht="18" customHeight="1">
      <c r="A9" s="304"/>
      <c r="B9" s="3842"/>
      <c r="C9" s="306"/>
      <c r="D9" s="307"/>
      <c r="E9" s="302" t="s">
        <v>699</v>
      </c>
      <c r="F9" s="312">
        <f ca="1">INDIRECT("'数据-取费表'!w"&amp;$G$1)</f>
        <v>0.1</v>
      </c>
      <c r="G9" s="1376"/>
      <c r="H9" s="304"/>
      <c r="I9" s="3842"/>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4575</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商办车库!G231</f>
        <v>8.18</v>
      </c>
      <c r="G35" s="1376"/>
      <c r="H35" s="2681"/>
      <c r="I35" s="1390"/>
      <c r="J35" s="1391"/>
      <c r="K35" s="2685"/>
      <c r="L35" s="2684"/>
      <c r="M35" s="2684"/>
    </row>
    <row r="36" spans="1:18" ht="18" customHeight="1">
      <c r="A36" s="1094" t="s">
        <v>402</v>
      </c>
      <c r="B36" s="302" t="s">
        <v>738</v>
      </c>
      <c r="C36" s="21">
        <f ca="1">ROUND(C29*F36,0)</f>
        <v>2072</v>
      </c>
      <c r="D36" s="1336"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201</v>
      </c>
      <c r="D37" s="1336" t="s">
        <v>743</v>
      </c>
      <c r="E37" s="302" t="s">
        <v>744</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130</v>
      </c>
      <c r="D38" s="1084" t="s">
        <v>748</v>
      </c>
      <c r="E38" s="1082" t="s">
        <v>744</v>
      </c>
      <c r="F38" s="1078">
        <f ca="1">INDIRECT("'数据-取费表'!Am"&amp;$G$1)</f>
        <v>0.01</v>
      </c>
      <c r="G38" s="1376"/>
      <c r="H38" s="2684"/>
      <c r="I38" s="1390"/>
      <c r="J38" s="1391"/>
      <c r="K38" s="2688"/>
      <c r="L38" s="2684"/>
      <c r="M38" s="2684"/>
    </row>
    <row r="39" spans="1:18" ht="24.6" customHeight="1" thickTop="1">
      <c r="A39" s="1071" t="s">
        <v>394</v>
      </c>
      <c r="B39" s="1086" t="s">
        <v>772</v>
      </c>
      <c r="C39" s="310">
        <f ca="1">C5-C30</f>
        <v>8385</v>
      </c>
      <c r="D39" s="1087" t="s">
        <v>773</v>
      </c>
      <c r="E39" s="1088"/>
      <c r="F39" s="1089"/>
      <c r="G39" s="1376"/>
      <c r="H39" s="2684"/>
      <c r="I39" s="1390"/>
      <c r="J39" s="1391"/>
      <c r="K39" s="2688"/>
      <c r="L39" s="2684"/>
      <c r="M39" s="2684"/>
    </row>
    <row r="40" spans="1:18" ht="18" customHeight="1">
      <c r="A40" s="299" t="s">
        <v>395</v>
      </c>
      <c r="B40" s="300" t="s">
        <v>774</v>
      </c>
      <c r="C40" s="301">
        <f ca="1">ROUND(C39*(1-((1+F42)/(1+F40))^F41)/(F40-F42),0)</f>
        <v>195226</v>
      </c>
      <c r="D40" s="324" t="s">
        <v>758</v>
      </c>
      <c r="E40" s="302" t="s">
        <v>759</v>
      </c>
      <c r="F40" s="312">
        <f ca="1">INDIRECT("'数据-取费表'!I"&amp;$G$1)</f>
        <v>0.05</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0.02</v>
      </c>
      <c r="G42" s="1376"/>
      <c r="H42" s="1183"/>
      <c r="I42" s="1390"/>
      <c r="J42" s="1391"/>
      <c r="K42" s="2529"/>
      <c r="L42" s="1183"/>
      <c r="M42" s="1183"/>
    </row>
    <row r="43" spans="1:18" ht="18" customHeight="1" thickBot="1">
      <c r="A43" s="334" t="s">
        <v>396</v>
      </c>
      <c r="B43" s="335" t="s">
        <v>776</v>
      </c>
      <c r="C43" s="336">
        <f ca="1">ROUND(C40/F43,0)</f>
        <v>4343</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-23.485099999999999</v>
      </c>
      <c r="D45" s="3415"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195226</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-116417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38" t="s">
        <v>837</v>
      </c>
      <c r="L53" s="3839"/>
      <c r="O53" s="1410" t="s">
        <v>409</v>
      </c>
      <c r="P53" s="1411" t="s">
        <v>838</v>
      </c>
      <c r="Q53" s="1412">
        <f ca="1">Q47+Q48</f>
        <v>199388</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t="s">
        <v>3387</v>
      </c>
      <c r="K56" s="1413" t="s">
        <v>843</v>
      </c>
      <c r="L56" s="1416" t="str">
        <f ca="1">IF(L48&lt;J51,"——",L48-J51)</f>
        <v>——</v>
      </c>
      <c r="O56" s="1410" t="s">
        <v>403</v>
      </c>
      <c r="P56" s="1411" t="s">
        <v>817</v>
      </c>
      <c r="Q56" s="1412">
        <f ca="1">C40+J29</f>
        <v>195226</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2285</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195226</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201</v>
      </c>
      <c r="D65" s="956" t="s">
        <v>743</v>
      </c>
      <c r="E65" s="942" t="s">
        <v>744</v>
      </c>
      <c r="F65" s="330">
        <f t="shared" ca="1" si="0"/>
        <v>1E-3</v>
      </c>
      <c r="I65" s="1454" t="s">
        <v>867</v>
      </c>
      <c r="J65" s="1455">
        <v>40</v>
      </c>
      <c r="K65" s="1455">
        <v>30</v>
      </c>
      <c r="L65" s="1455">
        <v>50</v>
      </c>
      <c r="M65" s="1457">
        <v>0.02</v>
      </c>
      <c r="O65" s="1410" t="s">
        <v>403</v>
      </c>
      <c r="P65" s="1411" t="s">
        <v>868</v>
      </c>
      <c r="Q65" s="1412">
        <f ca="1">C40+J29</f>
        <v>195226</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-2285</v>
      </c>
      <c r="D67" s="955" t="s">
        <v>753</v>
      </c>
      <c r="E67" s="960"/>
      <c r="F67" s="961"/>
      <c r="O67" s="1420" t="s">
        <v>405</v>
      </c>
      <c r="P67" s="1411" t="s">
        <v>850</v>
      </c>
      <c r="Q67" s="1458">
        <f ca="1">L51</f>
        <v>-116417</v>
      </c>
      <c r="R67" s="1412" t="s">
        <v>870</v>
      </c>
    </row>
    <row r="68" spans="1:18" s="1376" customFormat="1" ht="16.5" thickBot="1">
      <c r="A68" s="939" t="s">
        <v>395</v>
      </c>
      <c r="B68" s="940" t="s">
        <v>774</v>
      </c>
      <c r="C68" s="301">
        <f ca="1">ROUND(C67*(1-((1+F70)/(1+F68))^F69)/(F68-F70),0)</f>
        <v>-39625</v>
      </c>
      <c r="D68" s="957" t="s">
        <v>758</v>
      </c>
      <c r="E68" s="942" t="s">
        <v>759</v>
      </c>
      <c r="F68" s="312">
        <f ca="1">F40</f>
        <v>0.05</v>
      </c>
      <c r="O68" s="1420" t="s">
        <v>406</v>
      </c>
      <c r="P68" s="1459" t="s">
        <v>871</v>
      </c>
      <c r="Q68" s="1412">
        <f ca="1">ROUND(Q69-Q70*Q71,0)</f>
        <v>-5681</v>
      </c>
      <c r="R68" s="1412" t="s">
        <v>414</v>
      </c>
    </row>
    <row r="69" spans="1:18" s="1376" customFormat="1" ht="13.5" thickBot="1">
      <c r="A69" s="943"/>
      <c r="B69" s="944"/>
      <c r="C69" s="306"/>
      <c r="D69" s="962" t="s">
        <v>762</v>
      </c>
      <c r="E69" s="942" t="s">
        <v>763</v>
      </c>
      <c r="F69" s="333">
        <f ca="1">F41</f>
        <v>41.36</v>
      </c>
      <c r="O69" s="1420" t="s">
        <v>411</v>
      </c>
      <c r="P69" s="1459" t="s">
        <v>872</v>
      </c>
      <c r="Q69" s="1412">
        <f ca="1">C39</f>
        <v>8385</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-882</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195226</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-0.67799999999999994</v>
      </c>
    </row>
    <row r="80" spans="1:18">
      <c r="B80" s="340" t="s">
        <v>800</v>
      </c>
      <c r="C80" s="274">
        <f ca="1">ROUND(C75/C39,3)</f>
        <v>1.6779999999999999</v>
      </c>
    </row>
    <row r="81" spans="2:3">
      <c r="B81" s="270" t="s">
        <v>801</v>
      </c>
      <c r="C81" s="238"/>
    </row>
    <row r="82" spans="2:3">
      <c r="B82" s="273" t="s">
        <v>802</v>
      </c>
      <c r="C82" s="275">
        <f ca="1">1-C83</f>
        <v>-2.8999999999999915E-2</v>
      </c>
    </row>
    <row r="83" spans="2:3">
      <c r="B83" s="273" t="s">
        <v>803</v>
      </c>
      <c r="C83" s="274">
        <f ca="1">ROUND(C13/C40,3)</f>
        <v>1.0289999999999999</v>
      </c>
    </row>
  </sheetData>
  <sheetProtection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AA51" sqref="AA51"/>
    </sheetView>
  </sheetViews>
  <sheetFormatPr defaultColWidth="9" defaultRowHeight="12.75"/>
  <cols>
    <col min="1" max="1" width="11.5"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67" t="s">
        <v>2084</v>
      </c>
      <c r="D1" s="3868"/>
      <c r="E1" s="3868"/>
      <c r="F1" s="3868"/>
      <c r="G1" s="3868"/>
      <c r="H1" s="3868"/>
      <c r="I1" s="3868"/>
      <c r="J1" s="3868"/>
      <c r="K1" s="3868"/>
      <c r="L1" s="3868"/>
      <c r="M1" s="3868"/>
      <c r="N1" s="3868"/>
      <c r="O1" s="3868"/>
      <c r="P1" s="3868"/>
      <c r="Q1" s="3868"/>
      <c r="R1" s="3868"/>
      <c r="S1" s="3869"/>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60(含)-80</v>
      </c>
      <c r="H2" s="649" t="str">
        <f t="shared" si="0"/>
        <v>80(含)-</v>
      </c>
      <c r="I2" s="649" t="str">
        <f t="shared" si="0"/>
        <v>(含)-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80</v>
      </c>
      <c r="I3" s="1297"/>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C4+0.5</f>
        <v>100.5</v>
      </c>
      <c r="E4" s="482">
        <f t="shared" ref="E4:I4" si="1">D4+0.5</f>
        <v>101</v>
      </c>
      <c r="F4" s="482">
        <f t="shared" si="1"/>
        <v>101.5</v>
      </c>
      <c r="G4" s="482">
        <f t="shared" si="1"/>
        <v>102</v>
      </c>
      <c r="H4" s="482">
        <f t="shared" si="1"/>
        <v>102.5</v>
      </c>
      <c r="I4" s="482">
        <f t="shared" si="1"/>
        <v>103</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16089</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4482</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35896.760000000184</v>
      </c>
      <c r="C22" s="3864" t="s">
        <v>27</v>
      </c>
      <c r="D22" s="3865"/>
      <c r="E22" s="3865"/>
      <c r="F22" s="3865"/>
      <c r="G22" s="3865"/>
      <c r="H22" s="3865"/>
      <c r="I22" s="3865"/>
      <c r="J22" s="3865"/>
      <c r="K22" s="3865"/>
      <c r="L22" s="3865"/>
      <c r="M22" s="3865"/>
      <c r="N22" s="3865"/>
      <c r="O22" s="3865"/>
      <c r="P22" s="3865"/>
      <c r="Q22" s="3866"/>
      <c r="R22" s="659">
        <f ca="1">ROUND(S22*10000/B22,0)</f>
        <v>4482</v>
      </c>
      <c r="S22" s="21">
        <f ca="1">SUM(S24:S10000)</f>
        <v>16089</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商办车库!E231</f>
        <v>B101</v>
      </c>
      <c r="B24" s="3476">
        <f>商办车库!F231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4662</v>
      </c>
      <c r="S24" s="661">
        <f t="shared" ref="S24:S87" ca="1" si="6">ROUND(R24*B24/10000,0)</f>
        <v>21</v>
      </c>
      <c r="T24" s="725" t="str">
        <f>商办车库!H231</f>
        <v>车位</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商办车库!E38</f>
        <v>B3001</v>
      </c>
      <c r="B25" s="2408">
        <f>商办车库!F38</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4196</v>
      </c>
      <c r="S25" s="316">
        <f t="shared" ca="1" si="6"/>
        <v>19</v>
      </c>
      <c r="T25" s="720" t="str">
        <f>商办车库!H38</f>
        <v>车位</v>
      </c>
    </row>
    <row r="26" spans="1:45">
      <c r="A26" s="2408" t="str">
        <f>商办车库!E39</f>
        <v>B3002</v>
      </c>
      <c r="B26" s="2408">
        <f>商办车库!F39</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4196</v>
      </c>
      <c r="S26" s="316">
        <f t="shared" ca="1" si="6"/>
        <v>19</v>
      </c>
      <c r="T26" s="720" t="str">
        <f>商办车库!H39</f>
        <v>车位</v>
      </c>
    </row>
    <row r="27" spans="1:45">
      <c r="A27" s="2408" t="str">
        <f>商办车库!E40</f>
        <v>B3003</v>
      </c>
      <c r="B27" s="2408">
        <f>商办车库!F40</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4196</v>
      </c>
      <c r="S27" s="316">
        <f t="shared" ca="1" si="6"/>
        <v>19</v>
      </c>
      <c r="T27" s="720" t="str">
        <f>商办车库!H40</f>
        <v>车位</v>
      </c>
    </row>
    <row r="28" spans="1:45">
      <c r="A28" s="2408" t="str">
        <f>商办车库!E41</f>
        <v>B3004</v>
      </c>
      <c r="B28" s="2408">
        <f>商办车库!F41</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4196</v>
      </c>
      <c r="S28" s="316">
        <f t="shared" ca="1" si="6"/>
        <v>19</v>
      </c>
      <c r="T28" s="720" t="str">
        <f>商办车库!H41</f>
        <v>车位</v>
      </c>
    </row>
    <row r="29" spans="1:45">
      <c r="A29" s="2408" t="str">
        <f>商办车库!E42</f>
        <v>B3005</v>
      </c>
      <c r="B29" s="2408">
        <f>商办车库!F42</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4196</v>
      </c>
      <c r="S29" s="316">
        <f t="shared" ca="1" si="6"/>
        <v>19</v>
      </c>
      <c r="T29" s="720" t="str">
        <f>商办车库!H42</f>
        <v>车位</v>
      </c>
    </row>
    <row r="30" spans="1:45">
      <c r="A30" s="2408" t="str">
        <f>商办车库!E43</f>
        <v>B3006</v>
      </c>
      <c r="B30" s="2408">
        <f>商办车库!F43</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4196</v>
      </c>
      <c r="S30" s="316">
        <f t="shared" ca="1" si="6"/>
        <v>19</v>
      </c>
      <c r="T30" s="720" t="str">
        <f>商办车库!H43</f>
        <v>车位</v>
      </c>
    </row>
    <row r="31" spans="1:45">
      <c r="A31" s="2408" t="str">
        <f>商办车库!E44</f>
        <v>B3007</v>
      </c>
      <c r="B31" s="2408">
        <f>商办车库!F44</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4196</v>
      </c>
      <c r="S31" s="316">
        <f t="shared" ca="1" si="6"/>
        <v>19</v>
      </c>
      <c r="T31" s="720" t="str">
        <f>商办车库!H44</f>
        <v>车位</v>
      </c>
    </row>
    <row r="32" spans="1:45">
      <c r="A32" s="2408" t="str">
        <f>商办车库!E45</f>
        <v>B3008</v>
      </c>
      <c r="B32" s="2408">
        <f>商办车库!F45</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4196</v>
      </c>
      <c r="S32" s="316">
        <f t="shared" ca="1" si="6"/>
        <v>19</v>
      </c>
      <c r="T32" s="720" t="str">
        <f>商办车库!H45</f>
        <v>车位</v>
      </c>
    </row>
    <row r="33" spans="1:21">
      <c r="A33" s="2408" t="str">
        <f>商办车库!E46</f>
        <v>B3009</v>
      </c>
      <c r="B33" s="2408">
        <f>商办车库!F46</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4196</v>
      </c>
      <c r="S33" s="316">
        <f t="shared" ca="1" si="6"/>
        <v>19</v>
      </c>
      <c r="T33" s="720" t="str">
        <f>商办车库!H46</f>
        <v>车位</v>
      </c>
    </row>
    <row r="34" spans="1:21">
      <c r="A34" s="2408" t="str">
        <f>商办车库!E47</f>
        <v>B3010</v>
      </c>
      <c r="B34" s="2408">
        <f>商办车库!F47</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4196</v>
      </c>
      <c r="S34" s="316">
        <f t="shared" ca="1" si="6"/>
        <v>19</v>
      </c>
      <c r="T34" s="720" t="str">
        <f>商办车库!H47</f>
        <v>车位</v>
      </c>
    </row>
    <row r="35" spans="1:21">
      <c r="A35" s="2408" t="str">
        <f>商办车库!E48</f>
        <v>B3011</v>
      </c>
      <c r="B35" s="2408">
        <f>商办车库!F48</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4196</v>
      </c>
      <c r="S35" s="316">
        <f t="shared" ca="1" si="6"/>
        <v>21</v>
      </c>
      <c r="T35" s="720" t="str">
        <f>商办车库!H48</f>
        <v>车位</v>
      </c>
    </row>
    <row r="36" spans="1:21">
      <c r="A36" s="2408" t="str">
        <f>商办车库!E49</f>
        <v>B3012</v>
      </c>
      <c r="B36" s="2408">
        <f>商办车库!F49</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4196</v>
      </c>
      <c r="S36" s="316">
        <f t="shared" ca="1" si="6"/>
        <v>19</v>
      </c>
      <c r="T36" s="720" t="str">
        <f>商办车库!H49</f>
        <v>车位</v>
      </c>
    </row>
    <row r="37" spans="1:21">
      <c r="A37" s="2408" t="str">
        <f>商办车库!E50</f>
        <v>B3013</v>
      </c>
      <c r="B37" s="2408">
        <f>商办车库!F50</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4196</v>
      </c>
      <c r="S37" s="316">
        <f t="shared" ca="1" si="6"/>
        <v>19</v>
      </c>
      <c r="T37" s="720" t="str">
        <f>商办车库!H50</f>
        <v>车位</v>
      </c>
    </row>
    <row r="38" spans="1:21">
      <c r="A38" s="2408" t="str">
        <f>商办车库!E51</f>
        <v>B3014</v>
      </c>
      <c r="B38" s="2408">
        <f>商办车库!F51</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4196</v>
      </c>
      <c r="S38" s="316">
        <f t="shared" ca="1" si="6"/>
        <v>19</v>
      </c>
      <c r="T38" s="720" t="str">
        <f>商办车库!H51</f>
        <v>车位</v>
      </c>
    </row>
    <row r="39" spans="1:21">
      <c r="A39" s="2408" t="str">
        <f>商办车库!E52</f>
        <v>B3015</v>
      </c>
      <c r="B39" s="2408">
        <f>商办车库!F52</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4196</v>
      </c>
      <c r="S39" s="316">
        <f t="shared" ca="1" si="6"/>
        <v>19</v>
      </c>
      <c r="T39" s="720" t="str">
        <f>商办车库!H52</f>
        <v>车位</v>
      </c>
    </row>
    <row r="40" spans="1:21">
      <c r="A40" s="2408" t="str">
        <f>商办车库!E53</f>
        <v>B3016</v>
      </c>
      <c r="B40" s="2408">
        <f>商办车库!F53</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4196</v>
      </c>
      <c r="S40" s="316">
        <f t="shared" ca="1" si="6"/>
        <v>19</v>
      </c>
      <c r="T40" s="720" t="str">
        <f>商办车库!H53</f>
        <v>车位</v>
      </c>
    </row>
    <row r="41" spans="1:21">
      <c r="A41" s="2408" t="str">
        <f>商办车库!E54</f>
        <v>B3017、B3018</v>
      </c>
      <c r="B41" s="2408">
        <f>商办车库!F54</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4196</v>
      </c>
      <c r="S41" s="316">
        <f t="shared" ca="1" si="6"/>
        <v>38</v>
      </c>
      <c r="T41" s="720" t="str">
        <f>商办车库!H54</f>
        <v>车位</v>
      </c>
      <c r="U41" s="720">
        <f>B41/2</f>
        <v>44.95</v>
      </c>
    </row>
    <row r="42" spans="1:21">
      <c r="A42" s="2408" t="str">
        <f>商办车库!E55</f>
        <v>B3019、B3020</v>
      </c>
      <c r="B42" s="2408">
        <f>商办车库!F55</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4196</v>
      </c>
      <c r="S42" s="316">
        <f t="shared" ca="1" si="6"/>
        <v>38</v>
      </c>
      <c r="T42" s="720" t="str">
        <f>商办车库!H55</f>
        <v>车位</v>
      </c>
      <c r="U42" s="720">
        <f>B42/2</f>
        <v>44.95</v>
      </c>
    </row>
    <row r="43" spans="1:21">
      <c r="A43" s="2408" t="str">
        <f>商办车库!E56</f>
        <v>B3021</v>
      </c>
      <c r="B43" s="2408">
        <f>商办车库!F56</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4196</v>
      </c>
      <c r="S43" s="316">
        <f t="shared" ca="1" si="6"/>
        <v>21</v>
      </c>
      <c r="T43" s="720" t="str">
        <f>商办车库!H56</f>
        <v>车位</v>
      </c>
    </row>
    <row r="44" spans="1:21">
      <c r="A44" s="2408" t="str">
        <f>商办车库!E57</f>
        <v>B3022</v>
      </c>
      <c r="B44" s="2408">
        <f>商办车库!F57</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4196</v>
      </c>
      <c r="S44" s="316">
        <f t="shared" ca="1" si="6"/>
        <v>21</v>
      </c>
      <c r="T44" s="720" t="str">
        <f>商办车库!H57</f>
        <v>车位</v>
      </c>
    </row>
    <row r="45" spans="1:21">
      <c r="A45" s="2408" t="str">
        <f>商办车库!E58</f>
        <v>B3023</v>
      </c>
      <c r="B45" s="2408">
        <f>商办车库!F58</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4196</v>
      </c>
      <c r="S45" s="316">
        <f t="shared" ca="1" si="6"/>
        <v>19</v>
      </c>
      <c r="T45" s="720" t="str">
        <f>商办车库!H58</f>
        <v>车位</v>
      </c>
    </row>
    <row r="46" spans="1:21">
      <c r="A46" s="2408" t="str">
        <f>商办车库!E59</f>
        <v>B3024</v>
      </c>
      <c r="B46" s="2408">
        <f>商办车库!F59</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4196</v>
      </c>
      <c r="S46" s="316">
        <f t="shared" ca="1" si="6"/>
        <v>19</v>
      </c>
      <c r="T46" s="720" t="str">
        <f>商办车库!H59</f>
        <v>车位</v>
      </c>
    </row>
    <row r="47" spans="1:21">
      <c r="A47" s="2408" t="str">
        <f>商办车库!E60</f>
        <v>B3025</v>
      </c>
      <c r="B47" s="2408">
        <f>商办车库!F60</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4196</v>
      </c>
      <c r="S47" s="316">
        <f t="shared" ca="1" si="6"/>
        <v>19</v>
      </c>
      <c r="T47" s="720" t="str">
        <f>商办车库!H60</f>
        <v>车位</v>
      </c>
    </row>
    <row r="48" spans="1:21">
      <c r="A48" s="2408" t="str">
        <f>商办车库!E61</f>
        <v>B3026</v>
      </c>
      <c r="B48" s="2408">
        <f>商办车库!F61</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4196</v>
      </c>
      <c r="S48" s="316">
        <f t="shared" ca="1" si="6"/>
        <v>19</v>
      </c>
      <c r="T48" s="720" t="str">
        <f>商办车库!H61</f>
        <v>车位</v>
      </c>
    </row>
    <row r="49" spans="1:20">
      <c r="A49" s="2408" t="str">
        <f>商办车库!E62</f>
        <v>B3027</v>
      </c>
      <c r="B49" s="2408">
        <f>商办车库!F62</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4196</v>
      </c>
      <c r="S49" s="316">
        <f t="shared" ca="1" si="6"/>
        <v>19</v>
      </c>
      <c r="T49" s="720" t="str">
        <f>商办车库!H62</f>
        <v>车位</v>
      </c>
    </row>
    <row r="50" spans="1:20">
      <c r="A50" s="2408" t="str">
        <f>商办车库!E63</f>
        <v>B3028</v>
      </c>
      <c r="B50" s="2408">
        <f>商办车库!F63</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4196</v>
      </c>
      <c r="S50" s="316">
        <f t="shared" ca="1" si="6"/>
        <v>19</v>
      </c>
      <c r="T50" s="720" t="str">
        <f>商办车库!H63</f>
        <v>车位</v>
      </c>
    </row>
    <row r="51" spans="1:20">
      <c r="A51" s="2408" t="str">
        <f>商办车库!E64</f>
        <v>B3029</v>
      </c>
      <c r="B51" s="2408">
        <f>商办车库!F64</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4196</v>
      </c>
      <c r="S51" s="316">
        <f t="shared" ca="1" si="6"/>
        <v>19</v>
      </c>
      <c r="T51" s="720" t="str">
        <f>商办车库!H64</f>
        <v>车位</v>
      </c>
    </row>
    <row r="52" spans="1:20">
      <c r="A52" s="2408" t="str">
        <f>商办车库!E65</f>
        <v>B3030</v>
      </c>
      <c r="B52" s="2408">
        <f>商办车库!F65</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4196</v>
      </c>
      <c r="S52" s="316">
        <f t="shared" ca="1" si="6"/>
        <v>19</v>
      </c>
      <c r="T52" s="720" t="str">
        <f>商办车库!H65</f>
        <v>车位</v>
      </c>
    </row>
    <row r="53" spans="1:20">
      <c r="A53" s="2408" t="str">
        <f>商办车库!E66</f>
        <v>B3031</v>
      </c>
      <c r="B53" s="2408">
        <f>商办车库!F66</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4196</v>
      </c>
      <c r="S53" s="316">
        <f t="shared" ca="1" si="6"/>
        <v>19</v>
      </c>
      <c r="T53" s="720" t="str">
        <f>商办车库!H66</f>
        <v>车位</v>
      </c>
    </row>
    <row r="54" spans="1:20">
      <c r="A54" s="2408" t="str">
        <f>商办车库!E67</f>
        <v>B3032</v>
      </c>
      <c r="B54" s="2408">
        <f>商办车库!F67</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4196</v>
      </c>
      <c r="S54" s="316">
        <f t="shared" ca="1" si="6"/>
        <v>21</v>
      </c>
      <c r="T54" s="720" t="str">
        <f>商办车库!H67</f>
        <v>车位</v>
      </c>
    </row>
    <row r="55" spans="1:20">
      <c r="A55" s="2408" t="str">
        <f>商办车库!E68</f>
        <v>B3033</v>
      </c>
      <c r="B55" s="2408">
        <f>商办车库!F68</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4196</v>
      </c>
      <c r="S55" s="316">
        <f t="shared" ca="1" si="6"/>
        <v>21</v>
      </c>
      <c r="T55" s="720" t="str">
        <f>商办车库!H68</f>
        <v>车位</v>
      </c>
    </row>
    <row r="56" spans="1:20">
      <c r="A56" s="2408" t="str">
        <f>商办车库!E69</f>
        <v>B3034</v>
      </c>
      <c r="B56" s="2408">
        <f>商办车库!F69</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4196</v>
      </c>
      <c r="S56" s="316">
        <f t="shared" ca="1" si="6"/>
        <v>21</v>
      </c>
      <c r="T56" s="720" t="str">
        <f>商办车库!H69</f>
        <v>车位</v>
      </c>
    </row>
    <row r="57" spans="1:20">
      <c r="A57" s="2408" t="str">
        <f>商办车库!E70</f>
        <v>B3035</v>
      </c>
      <c r="B57" s="2408">
        <f>商办车库!F70</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4196</v>
      </c>
      <c r="S57" s="316">
        <f t="shared" ca="1" si="6"/>
        <v>19</v>
      </c>
      <c r="T57" s="720" t="str">
        <f>商办车库!H70</f>
        <v>车位</v>
      </c>
    </row>
    <row r="58" spans="1:20">
      <c r="A58" s="2408" t="str">
        <f>商办车库!E71</f>
        <v>B3036</v>
      </c>
      <c r="B58" s="2408">
        <f>商办车库!F71</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4196</v>
      </c>
      <c r="S58" s="316">
        <f t="shared" ca="1" si="6"/>
        <v>19</v>
      </c>
      <c r="T58" s="720" t="str">
        <f>商办车库!H71</f>
        <v>车位</v>
      </c>
    </row>
    <row r="59" spans="1:20">
      <c r="A59" s="2408" t="str">
        <f>商办车库!E72</f>
        <v>B3037</v>
      </c>
      <c r="B59" s="2408">
        <f>商办车库!F72</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4196</v>
      </c>
      <c r="S59" s="316">
        <f t="shared" ca="1" si="6"/>
        <v>19</v>
      </c>
      <c r="T59" s="720" t="str">
        <f>商办车库!H72</f>
        <v>车位</v>
      </c>
    </row>
    <row r="60" spans="1:20">
      <c r="A60" s="2408" t="str">
        <f>商办车库!E73</f>
        <v>B3038</v>
      </c>
      <c r="B60" s="2408">
        <f>商办车库!F73</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4196</v>
      </c>
      <c r="S60" s="316">
        <f t="shared" ca="1" si="6"/>
        <v>19</v>
      </c>
      <c r="T60" s="720" t="str">
        <f>商办车库!H73</f>
        <v>车位</v>
      </c>
    </row>
    <row r="61" spans="1:20">
      <c r="A61" s="2408" t="str">
        <f>商办车库!E74</f>
        <v>B3039</v>
      </c>
      <c r="B61" s="2408">
        <f>商办车库!F74</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4196</v>
      </c>
      <c r="S61" s="316">
        <f t="shared" ca="1" si="6"/>
        <v>19</v>
      </c>
      <c r="T61" s="720" t="str">
        <f>商办车库!H74</f>
        <v>车位</v>
      </c>
    </row>
    <row r="62" spans="1:20">
      <c r="A62" s="2408" t="str">
        <f>商办车库!E75</f>
        <v>B3040</v>
      </c>
      <c r="B62" s="2408">
        <f>商办车库!F75</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4196</v>
      </c>
      <c r="S62" s="316">
        <f t="shared" ca="1" si="6"/>
        <v>19</v>
      </c>
      <c r="T62" s="720" t="str">
        <f>商办车库!H75</f>
        <v>车位</v>
      </c>
    </row>
    <row r="63" spans="1:20">
      <c r="A63" s="2408" t="str">
        <f>商办车库!E76</f>
        <v>B3041</v>
      </c>
      <c r="B63" s="2408">
        <f>商办车库!F76</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4196</v>
      </c>
      <c r="S63" s="316">
        <f t="shared" ca="1" si="6"/>
        <v>19</v>
      </c>
      <c r="T63" s="720" t="str">
        <f>商办车库!H76</f>
        <v>车位</v>
      </c>
    </row>
    <row r="64" spans="1:20">
      <c r="A64" s="2408" t="str">
        <f>商办车库!E77</f>
        <v>B3042</v>
      </c>
      <c r="B64" s="2408">
        <f>商办车库!F77</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4196</v>
      </c>
      <c r="S64" s="316">
        <f t="shared" ca="1" si="6"/>
        <v>19</v>
      </c>
      <c r="T64" s="720" t="str">
        <f>商办车库!H77</f>
        <v>车位</v>
      </c>
    </row>
    <row r="65" spans="1:20">
      <c r="A65" s="2408" t="str">
        <f>商办车库!E78</f>
        <v>B3043</v>
      </c>
      <c r="B65" s="2408">
        <f>商办车库!F78</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4196</v>
      </c>
      <c r="S65" s="316">
        <f t="shared" ca="1" si="6"/>
        <v>19</v>
      </c>
      <c r="T65" s="720" t="str">
        <f>商办车库!H78</f>
        <v>车位</v>
      </c>
    </row>
    <row r="66" spans="1:20">
      <c r="A66" s="2408" t="str">
        <f>商办车库!E79</f>
        <v>B3044</v>
      </c>
      <c r="B66" s="2408">
        <f>商办车库!F79</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4196</v>
      </c>
      <c r="S66" s="316">
        <f t="shared" ca="1" si="6"/>
        <v>19</v>
      </c>
      <c r="T66" s="720" t="str">
        <f>商办车库!H79</f>
        <v>车位</v>
      </c>
    </row>
    <row r="67" spans="1:20">
      <c r="A67" s="2408" t="str">
        <f>商办车库!E80</f>
        <v>B3045</v>
      </c>
      <c r="B67" s="2408">
        <f>商办车库!F80</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4196</v>
      </c>
      <c r="S67" s="316">
        <f t="shared" ca="1" si="6"/>
        <v>19</v>
      </c>
      <c r="T67" s="720" t="str">
        <f>商办车库!H80</f>
        <v>车位</v>
      </c>
    </row>
    <row r="68" spans="1:20">
      <c r="A68" s="2408" t="str">
        <f>商办车库!E81</f>
        <v>B3046</v>
      </c>
      <c r="B68" s="2408">
        <f>商办车库!F81</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4196</v>
      </c>
      <c r="S68" s="316">
        <f t="shared" ca="1" si="6"/>
        <v>19</v>
      </c>
      <c r="T68" s="720" t="str">
        <f>商办车库!H81</f>
        <v>车位</v>
      </c>
    </row>
    <row r="69" spans="1:20">
      <c r="A69" s="2408" t="str">
        <f>商办车库!E82</f>
        <v>B3047</v>
      </c>
      <c r="B69" s="2408">
        <f>商办车库!F82</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4196</v>
      </c>
      <c r="S69" s="316">
        <f t="shared" ca="1" si="6"/>
        <v>19</v>
      </c>
      <c r="T69" s="720" t="str">
        <f>商办车库!H82</f>
        <v>车位</v>
      </c>
    </row>
    <row r="70" spans="1:20">
      <c r="A70" s="2408" t="str">
        <f>商办车库!E83</f>
        <v>B3048</v>
      </c>
      <c r="B70" s="2408">
        <f>商办车库!F83</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4196</v>
      </c>
      <c r="S70" s="316">
        <f t="shared" ca="1" si="6"/>
        <v>19</v>
      </c>
      <c r="T70" s="720" t="str">
        <f>商办车库!H83</f>
        <v>车位</v>
      </c>
    </row>
    <row r="71" spans="1:20">
      <c r="A71" s="2408" t="str">
        <f>商办车库!E84</f>
        <v>B3049</v>
      </c>
      <c r="B71" s="2408">
        <f>商办车库!F84</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4196</v>
      </c>
      <c r="S71" s="316">
        <f t="shared" ca="1" si="6"/>
        <v>19</v>
      </c>
      <c r="T71" s="720" t="str">
        <f>商办车库!H84</f>
        <v>车位</v>
      </c>
    </row>
    <row r="72" spans="1:20">
      <c r="A72" s="2408" t="str">
        <f>商办车库!E85</f>
        <v>B3050</v>
      </c>
      <c r="B72" s="2408">
        <f>商办车库!F85</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4196</v>
      </c>
      <c r="S72" s="316">
        <f t="shared" ca="1" si="6"/>
        <v>19</v>
      </c>
      <c r="T72" s="720" t="str">
        <f>商办车库!H85</f>
        <v>车位</v>
      </c>
    </row>
    <row r="73" spans="1:20">
      <c r="A73" s="2408" t="str">
        <f>商办车库!E86</f>
        <v>B3051</v>
      </c>
      <c r="B73" s="2408">
        <f>商办车库!F86</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4196</v>
      </c>
      <c r="S73" s="316">
        <f t="shared" ca="1" si="6"/>
        <v>19</v>
      </c>
      <c r="T73" s="720" t="str">
        <f>商办车库!H86</f>
        <v>车位</v>
      </c>
    </row>
    <row r="74" spans="1:20">
      <c r="A74" s="2408" t="str">
        <f>商办车库!E87</f>
        <v>B3052</v>
      </c>
      <c r="B74" s="2408">
        <f>商办车库!F87</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4196</v>
      </c>
      <c r="S74" s="316">
        <f t="shared" ca="1" si="6"/>
        <v>19</v>
      </c>
      <c r="T74" s="720" t="str">
        <f>商办车库!H87</f>
        <v>车位</v>
      </c>
    </row>
    <row r="75" spans="1:20">
      <c r="A75" s="2408" t="str">
        <f>商办车库!E88</f>
        <v>B3053</v>
      </c>
      <c r="B75" s="2408">
        <f>商办车库!F88</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4196</v>
      </c>
      <c r="S75" s="316">
        <f t="shared" ca="1" si="6"/>
        <v>21</v>
      </c>
      <c r="T75" s="720" t="str">
        <f>商办车库!H88</f>
        <v>车位</v>
      </c>
    </row>
    <row r="76" spans="1:20">
      <c r="A76" s="2408" t="str">
        <f>商办车库!E89</f>
        <v>B3054</v>
      </c>
      <c r="B76" s="2408">
        <f>商办车库!F89</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4196</v>
      </c>
      <c r="S76" s="316">
        <f t="shared" ca="1" si="6"/>
        <v>19</v>
      </c>
      <c r="T76" s="720" t="str">
        <f>商办车库!H89</f>
        <v>车位</v>
      </c>
    </row>
    <row r="77" spans="1:20">
      <c r="A77" s="2408" t="str">
        <f>商办车库!E90</f>
        <v>B3055</v>
      </c>
      <c r="B77" s="2408">
        <f>商办车库!F90</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4196</v>
      </c>
      <c r="S77" s="316">
        <f t="shared" ca="1" si="6"/>
        <v>19</v>
      </c>
      <c r="T77" s="720" t="str">
        <f>商办车库!H90</f>
        <v>车位</v>
      </c>
    </row>
    <row r="78" spans="1:20">
      <c r="A78" s="2408" t="str">
        <f>商办车库!E91</f>
        <v>B3056</v>
      </c>
      <c r="B78" s="2408">
        <f>商办车库!F91</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4196</v>
      </c>
      <c r="S78" s="316">
        <f t="shared" ca="1" si="6"/>
        <v>19</v>
      </c>
      <c r="T78" s="720" t="str">
        <f>商办车库!H91</f>
        <v>车位</v>
      </c>
    </row>
    <row r="79" spans="1:20">
      <c r="A79" s="2408" t="str">
        <f>商办车库!E92</f>
        <v>B3057</v>
      </c>
      <c r="B79" s="2408">
        <f>商办车库!F92</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4196</v>
      </c>
      <c r="S79" s="316">
        <f t="shared" ca="1" si="6"/>
        <v>19</v>
      </c>
      <c r="T79" s="720" t="str">
        <f>商办车库!H92</f>
        <v>车位</v>
      </c>
    </row>
    <row r="80" spans="1:20">
      <c r="A80" s="2408" t="str">
        <f>商办车库!E93</f>
        <v>B3058</v>
      </c>
      <c r="B80" s="2408">
        <f>商办车库!F93</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4196</v>
      </c>
      <c r="S80" s="316">
        <f t="shared" ca="1" si="6"/>
        <v>19</v>
      </c>
      <c r="T80" s="720" t="str">
        <f>商办车库!H93</f>
        <v>车位</v>
      </c>
    </row>
    <row r="81" spans="1:20">
      <c r="A81" s="2408" t="str">
        <f>商办车库!E94</f>
        <v>B3059</v>
      </c>
      <c r="B81" s="2408">
        <f>商办车库!F94</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4196</v>
      </c>
      <c r="S81" s="316">
        <f t="shared" ca="1" si="6"/>
        <v>19</v>
      </c>
      <c r="T81" s="720" t="str">
        <f>商办车库!H94</f>
        <v>车位</v>
      </c>
    </row>
    <row r="82" spans="1:20">
      <c r="A82" s="2408" t="str">
        <f>商办车库!E95</f>
        <v>B3060</v>
      </c>
      <c r="B82" s="2408">
        <f>商办车库!F95</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4196</v>
      </c>
      <c r="S82" s="316">
        <f t="shared" ca="1" si="6"/>
        <v>19</v>
      </c>
      <c r="T82" s="720" t="str">
        <f>商办车库!H95</f>
        <v>车位</v>
      </c>
    </row>
    <row r="83" spans="1:20">
      <c r="A83" s="2408" t="str">
        <f>商办车库!E96</f>
        <v>B3061</v>
      </c>
      <c r="B83" s="2408">
        <f>商办车库!F96</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4196</v>
      </c>
      <c r="S83" s="316">
        <f t="shared" ca="1" si="6"/>
        <v>19</v>
      </c>
      <c r="T83" s="720" t="str">
        <f>商办车库!H96</f>
        <v>车位</v>
      </c>
    </row>
    <row r="84" spans="1:20">
      <c r="A84" s="2408" t="str">
        <f>商办车库!E97</f>
        <v>B3062</v>
      </c>
      <c r="B84" s="2408">
        <f>商办车库!F97</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4196</v>
      </c>
      <c r="S84" s="316">
        <f t="shared" ca="1" si="6"/>
        <v>19</v>
      </c>
      <c r="T84" s="720" t="str">
        <f>商办车库!H97</f>
        <v>车位</v>
      </c>
    </row>
    <row r="85" spans="1:20">
      <c r="A85" s="2408" t="str">
        <f>商办车库!E98</f>
        <v>B3063</v>
      </c>
      <c r="B85" s="2408">
        <f>商办车库!F98</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4196</v>
      </c>
      <c r="S85" s="316">
        <f t="shared" ca="1" si="6"/>
        <v>19</v>
      </c>
      <c r="T85" s="720" t="str">
        <f>商办车库!H98</f>
        <v>车位</v>
      </c>
    </row>
    <row r="86" spans="1:20">
      <c r="A86" s="2408" t="str">
        <f>商办车库!E99</f>
        <v>B3064</v>
      </c>
      <c r="B86" s="2408">
        <f>商办车库!F99</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4196</v>
      </c>
      <c r="S86" s="316">
        <f t="shared" ca="1" si="6"/>
        <v>19</v>
      </c>
      <c r="T86" s="720" t="str">
        <f>商办车库!H99</f>
        <v>车位</v>
      </c>
    </row>
    <row r="87" spans="1:20">
      <c r="A87" s="2408" t="str">
        <f>商办车库!E100</f>
        <v>B3065</v>
      </c>
      <c r="B87" s="2408">
        <f>商办车库!F100</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4196</v>
      </c>
      <c r="S87" s="316">
        <f t="shared" ca="1" si="6"/>
        <v>19</v>
      </c>
      <c r="T87" s="720" t="str">
        <f>商办车库!H100</f>
        <v>车位</v>
      </c>
    </row>
    <row r="88" spans="1:20">
      <c r="A88" s="2408" t="str">
        <f>商办车库!E101</f>
        <v>B3066</v>
      </c>
      <c r="B88" s="2408">
        <f>商办车库!F101</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4196</v>
      </c>
      <c r="S88" s="316">
        <f t="shared" ref="S88:S151" ca="1" si="16">ROUND(R88*B88/10000,0)</f>
        <v>19</v>
      </c>
      <c r="T88" s="720" t="str">
        <f>商办车库!H101</f>
        <v>车位</v>
      </c>
    </row>
    <row r="89" spans="1:20">
      <c r="A89" s="2408" t="str">
        <f>商办车库!E102</f>
        <v>B3067</v>
      </c>
      <c r="B89" s="2408">
        <f>商办车库!F102</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4196</v>
      </c>
      <c r="S89" s="316">
        <f t="shared" ca="1" si="16"/>
        <v>19</v>
      </c>
      <c r="T89" s="720" t="str">
        <f>商办车库!H102</f>
        <v>车位</v>
      </c>
    </row>
    <row r="90" spans="1:20">
      <c r="A90" s="2408" t="str">
        <f>商办车库!E103</f>
        <v>B3068</v>
      </c>
      <c r="B90" s="2408">
        <f>商办车库!F103</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4196</v>
      </c>
      <c r="S90" s="316">
        <f t="shared" ca="1" si="16"/>
        <v>19</v>
      </c>
      <c r="T90" s="720" t="str">
        <f>商办车库!H103</f>
        <v>车位</v>
      </c>
    </row>
    <row r="91" spans="1:20">
      <c r="A91" s="2408" t="str">
        <f>商办车库!E104</f>
        <v>B3069</v>
      </c>
      <c r="B91" s="2408">
        <f>商办车库!F104</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4196</v>
      </c>
      <c r="S91" s="316">
        <f t="shared" ca="1" si="16"/>
        <v>19</v>
      </c>
      <c r="T91" s="720" t="str">
        <f>商办车库!H104</f>
        <v>车位</v>
      </c>
    </row>
    <row r="92" spans="1:20">
      <c r="A92" s="2408" t="str">
        <f>商办车库!E105</f>
        <v>B3070</v>
      </c>
      <c r="B92" s="2408">
        <f>商办车库!F105</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4196</v>
      </c>
      <c r="S92" s="316">
        <f t="shared" ca="1" si="16"/>
        <v>19</v>
      </c>
      <c r="T92" s="720" t="str">
        <f>商办车库!H105</f>
        <v>车位</v>
      </c>
    </row>
    <row r="93" spans="1:20">
      <c r="A93" s="2408" t="str">
        <f>商办车库!E106</f>
        <v>B3071</v>
      </c>
      <c r="B93" s="2408">
        <f>商办车库!F106</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4196</v>
      </c>
      <c r="S93" s="316">
        <f t="shared" ca="1" si="16"/>
        <v>19</v>
      </c>
      <c r="T93" s="720" t="str">
        <f>商办车库!H106</f>
        <v>车位</v>
      </c>
    </row>
    <row r="94" spans="1:20">
      <c r="A94" s="2408" t="str">
        <f>商办车库!E107</f>
        <v>B3072</v>
      </c>
      <c r="B94" s="2408">
        <f>商办车库!F107</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4196</v>
      </c>
      <c r="S94" s="316">
        <f t="shared" ca="1" si="16"/>
        <v>21</v>
      </c>
      <c r="T94" s="720" t="str">
        <f>商办车库!H107</f>
        <v>车位</v>
      </c>
    </row>
    <row r="95" spans="1:20">
      <c r="A95" s="2408" t="str">
        <f>商办车库!E108</f>
        <v>B3073</v>
      </c>
      <c r="B95" s="2408">
        <f>商办车库!F108</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4196</v>
      </c>
      <c r="S95" s="316">
        <f t="shared" ca="1" si="16"/>
        <v>19</v>
      </c>
      <c r="T95" s="720" t="str">
        <f>商办车库!H108</f>
        <v>车位</v>
      </c>
    </row>
    <row r="96" spans="1:20">
      <c r="A96" s="2408" t="str">
        <f>商办车库!E109</f>
        <v>B3074</v>
      </c>
      <c r="B96" s="2408">
        <f>商办车库!F109</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4196</v>
      </c>
      <c r="S96" s="316">
        <f t="shared" ca="1" si="16"/>
        <v>19</v>
      </c>
      <c r="T96" s="720" t="str">
        <f>商办车库!H109</f>
        <v>车位</v>
      </c>
    </row>
    <row r="97" spans="1:20">
      <c r="A97" s="2408" t="str">
        <f>商办车库!E110</f>
        <v>B3075</v>
      </c>
      <c r="B97" s="2408">
        <f>商办车库!F110</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4196</v>
      </c>
      <c r="S97" s="316">
        <f t="shared" ca="1" si="16"/>
        <v>19</v>
      </c>
      <c r="T97" s="720" t="str">
        <f>商办车库!H110</f>
        <v>车位</v>
      </c>
    </row>
    <row r="98" spans="1:20">
      <c r="A98" s="2408" t="str">
        <f>商办车库!E111</f>
        <v>B3076</v>
      </c>
      <c r="B98" s="2408">
        <f>商办车库!F111</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4196</v>
      </c>
      <c r="S98" s="316">
        <f t="shared" ca="1" si="16"/>
        <v>19</v>
      </c>
      <c r="T98" s="720" t="str">
        <f>商办车库!H111</f>
        <v>车位</v>
      </c>
    </row>
    <row r="99" spans="1:20">
      <c r="A99" s="2408" t="str">
        <f>商办车库!E112</f>
        <v>B3077</v>
      </c>
      <c r="B99" s="2408">
        <f>商办车库!F112</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4196</v>
      </c>
      <c r="S99" s="316">
        <f t="shared" ca="1" si="16"/>
        <v>19</v>
      </c>
      <c r="T99" s="720" t="str">
        <f>商办车库!H112</f>
        <v>车位</v>
      </c>
    </row>
    <row r="100" spans="1:20">
      <c r="A100" s="2408" t="str">
        <f>商办车库!E113</f>
        <v>B3078</v>
      </c>
      <c r="B100" s="2408">
        <f>商办车库!F113</f>
        <v>73.14</v>
      </c>
      <c r="C100" s="21">
        <f t="shared" si="17"/>
        <v>1.01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4238</v>
      </c>
      <c r="S100" s="316">
        <f t="shared" ca="1" si="16"/>
        <v>31</v>
      </c>
      <c r="T100" s="720" t="str">
        <f>商办车库!H113</f>
        <v>车位</v>
      </c>
    </row>
    <row r="101" spans="1:20">
      <c r="A101" s="2408" t="str">
        <f>商办车库!E114</f>
        <v>B3079</v>
      </c>
      <c r="B101" s="2408">
        <f>商办车库!F114</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4196</v>
      </c>
      <c r="S101" s="316">
        <f t="shared" ca="1" si="16"/>
        <v>19</v>
      </c>
      <c r="T101" s="720" t="str">
        <f>商办车库!H114</f>
        <v>车位</v>
      </c>
    </row>
    <row r="102" spans="1:20">
      <c r="A102" s="2408" t="str">
        <f>商办车库!E115</f>
        <v>B3080</v>
      </c>
      <c r="B102" s="2408">
        <f>商办车库!F115</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4196</v>
      </c>
      <c r="S102" s="316">
        <f t="shared" ca="1" si="16"/>
        <v>19</v>
      </c>
      <c r="T102" s="720" t="str">
        <f>商办车库!H115</f>
        <v>车位</v>
      </c>
    </row>
    <row r="103" spans="1:20">
      <c r="A103" s="2408" t="str">
        <f>商办车库!E116</f>
        <v>B3081</v>
      </c>
      <c r="B103" s="2408">
        <f>商办车库!F116</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4196</v>
      </c>
      <c r="S103" s="316">
        <f t="shared" ca="1" si="16"/>
        <v>19</v>
      </c>
      <c r="T103" s="720" t="str">
        <f>商办车库!H116</f>
        <v>车位</v>
      </c>
    </row>
    <row r="104" spans="1:20">
      <c r="A104" s="2408" t="str">
        <f>商办车库!E117</f>
        <v>B3082</v>
      </c>
      <c r="B104" s="2408">
        <f>商办车库!F117</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4196</v>
      </c>
      <c r="S104" s="316">
        <f t="shared" ca="1" si="16"/>
        <v>19</v>
      </c>
      <c r="T104" s="720" t="str">
        <f>商办车库!H117</f>
        <v>车位</v>
      </c>
    </row>
    <row r="105" spans="1:20">
      <c r="A105" s="2408" t="str">
        <f>商办车库!E118</f>
        <v>B3083</v>
      </c>
      <c r="B105" s="2408">
        <f>商办车库!F118</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4196</v>
      </c>
      <c r="S105" s="316">
        <f t="shared" ca="1" si="16"/>
        <v>19</v>
      </c>
      <c r="T105" s="720" t="str">
        <f>商办车库!H118</f>
        <v>车位</v>
      </c>
    </row>
    <row r="106" spans="1:20">
      <c r="A106" s="2408" t="str">
        <f>商办车库!E119</f>
        <v>B3084</v>
      </c>
      <c r="B106" s="2408">
        <f>商办车库!F119</f>
        <v>73.14</v>
      </c>
      <c r="C106" s="3540">
        <f t="shared" si="17"/>
        <v>1.01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4238</v>
      </c>
      <c r="S106" s="316">
        <f t="shared" ca="1" si="16"/>
        <v>31</v>
      </c>
      <c r="T106" s="720" t="str">
        <f>商办车库!H119</f>
        <v>车位</v>
      </c>
    </row>
    <row r="107" spans="1:20">
      <c r="A107" s="2408" t="str">
        <f>商办车库!E120</f>
        <v>B3085</v>
      </c>
      <c r="B107" s="2408">
        <f>商办车库!F120</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4196</v>
      </c>
      <c r="S107" s="316">
        <f t="shared" ca="1" si="16"/>
        <v>19</v>
      </c>
      <c r="T107" s="720" t="str">
        <f>商办车库!H120</f>
        <v>车位</v>
      </c>
    </row>
    <row r="108" spans="1:20">
      <c r="A108" s="2408" t="str">
        <f>商办车库!E121</f>
        <v>B3086</v>
      </c>
      <c r="B108" s="2408">
        <f>商办车库!F121</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4196</v>
      </c>
      <c r="S108" s="316">
        <f t="shared" ca="1" si="16"/>
        <v>19</v>
      </c>
      <c r="T108" s="720" t="str">
        <f>商办车库!H121</f>
        <v>车位</v>
      </c>
    </row>
    <row r="109" spans="1:20">
      <c r="A109" s="2408" t="str">
        <f>商办车库!E122</f>
        <v>B3087</v>
      </c>
      <c r="B109" s="2408">
        <f>商办车库!F122</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4196</v>
      </c>
      <c r="S109" s="316">
        <f t="shared" ca="1" si="16"/>
        <v>19</v>
      </c>
      <c r="T109" s="720" t="str">
        <f>商办车库!H122</f>
        <v>车位</v>
      </c>
    </row>
    <row r="110" spans="1:20">
      <c r="A110" s="2408" t="str">
        <f>商办车库!E123</f>
        <v>B3088</v>
      </c>
      <c r="B110" s="2408">
        <f>商办车库!F123</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4196</v>
      </c>
      <c r="S110" s="316">
        <f t="shared" ca="1" si="16"/>
        <v>19</v>
      </c>
      <c r="T110" s="720" t="str">
        <f>商办车库!H123</f>
        <v>车位</v>
      </c>
    </row>
    <row r="111" spans="1:20">
      <c r="A111" s="2408" t="str">
        <f>商办车库!E124</f>
        <v>B3089、B3090</v>
      </c>
      <c r="B111" s="2408">
        <f>商办车库!F124</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4196</v>
      </c>
      <c r="S111" s="316">
        <f t="shared" ca="1" si="16"/>
        <v>38</v>
      </c>
      <c r="T111" s="720" t="str">
        <f>商办车库!H124</f>
        <v>车位</v>
      </c>
    </row>
    <row r="112" spans="1:20">
      <c r="A112" s="2408" t="str">
        <f>商办车库!E125</f>
        <v>B3091、B3092</v>
      </c>
      <c r="B112" s="2408">
        <f>商办车库!F125</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4196</v>
      </c>
      <c r="S112" s="316">
        <f t="shared" ca="1" si="16"/>
        <v>38</v>
      </c>
      <c r="T112" s="720" t="str">
        <f>商办车库!H125</f>
        <v>车位</v>
      </c>
    </row>
    <row r="113" spans="1:20">
      <c r="A113" s="2408" t="str">
        <f>商办车库!E126</f>
        <v>B3093、B3094</v>
      </c>
      <c r="B113" s="2408">
        <f>商办车库!F126</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4196</v>
      </c>
      <c r="S113" s="316">
        <f t="shared" ca="1" si="16"/>
        <v>38</v>
      </c>
      <c r="T113" s="720" t="str">
        <f>商办车库!H126</f>
        <v>车位</v>
      </c>
    </row>
    <row r="114" spans="1:20">
      <c r="A114" s="2408" t="str">
        <f>商办车库!E127</f>
        <v>B3095</v>
      </c>
      <c r="B114" s="2408">
        <f>商办车库!F127</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4196</v>
      </c>
      <c r="S114" s="316">
        <f t="shared" ca="1" si="16"/>
        <v>21</v>
      </c>
      <c r="T114" s="720" t="str">
        <f>商办车库!H127</f>
        <v>车位</v>
      </c>
    </row>
    <row r="115" spans="1:20">
      <c r="A115" s="2408" t="str">
        <f>商办车库!E128</f>
        <v>B3096、B3097</v>
      </c>
      <c r="B115" s="2408">
        <f>商办车库!F128</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4196</v>
      </c>
      <c r="S115" s="316">
        <f t="shared" ca="1" si="16"/>
        <v>38</v>
      </c>
      <c r="T115" s="720" t="str">
        <f>商办车库!H128</f>
        <v>车位</v>
      </c>
    </row>
    <row r="116" spans="1:20">
      <c r="A116" s="2408" t="str">
        <f>商办车库!E129</f>
        <v>B3098、B3099</v>
      </c>
      <c r="B116" s="2408">
        <f>商办车库!F129</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4196</v>
      </c>
      <c r="S116" s="316">
        <f t="shared" ca="1" si="16"/>
        <v>38</v>
      </c>
      <c r="T116" s="720" t="str">
        <f>商办车库!H129</f>
        <v>车位</v>
      </c>
    </row>
    <row r="117" spans="1:20">
      <c r="A117" s="2408" t="str">
        <f>商办车库!E130</f>
        <v>B3100、B3101</v>
      </c>
      <c r="B117" s="2408">
        <f>商办车库!F130</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4196</v>
      </c>
      <c r="S117" s="316">
        <f t="shared" ca="1" si="16"/>
        <v>38</v>
      </c>
      <c r="T117" s="720" t="str">
        <f>商办车库!H130</f>
        <v>车位</v>
      </c>
    </row>
    <row r="118" spans="1:20">
      <c r="A118" s="2408" t="str">
        <f>商办车库!E131</f>
        <v>B3102</v>
      </c>
      <c r="B118" s="2408">
        <f>商办车库!F131</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4196</v>
      </c>
      <c r="S118" s="316">
        <f t="shared" ca="1" si="16"/>
        <v>19</v>
      </c>
      <c r="T118" s="720" t="str">
        <f>商办车库!H131</f>
        <v>车位</v>
      </c>
    </row>
    <row r="119" spans="1:20">
      <c r="A119" s="2408" t="str">
        <f>商办车库!E132</f>
        <v>B2001</v>
      </c>
      <c r="B119" s="2408">
        <f>商办车库!F132</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4429</v>
      </c>
      <c r="S119" s="316">
        <f t="shared" ca="1" si="16"/>
        <v>20</v>
      </c>
      <c r="T119" s="720" t="str">
        <f>商办车库!H132</f>
        <v>车位</v>
      </c>
    </row>
    <row r="120" spans="1:20">
      <c r="A120" s="2408" t="str">
        <f>商办车库!E133</f>
        <v>B2002</v>
      </c>
      <c r="B120" s="2408">
        <f>商办车库!F133</f>
        <v>44.95</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4429</v>
      </c>
      <c r="S120" s="316">
        <f t="shared" ca="1" si="16"/>
        <v>20</v>
      </c>
      <c r="T120" s="720" t="str">
        <f>商办车库!H133</f>
        <v>车位</v>
      </c>
    </row>
    <row r="121" spans="1:20">
      <c r="A121" s="2408" t="str">
        <f>商办车库!E134</f>
        <v>B2003</v>
      </c>
      <c r="B121" s="2408">
        <f>商办车库!F134</f>
        <v>44.95</v>
      </c>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4429</v>
      </c>
      <c r="S121" s="316">
        <f t="shared" ca="1" si="16"/>
        <v>20</v>
      </c>
      <c r="T121" s="720" t="str">
        <f>商办车库!H134</f>
        <v>车位</v>
      </c>
    </row>
    <row r="122" spans="1:20">
      <c r="A122" s="2408" t="str">
        <f>商办车库!E135</f>
        <v>B2004</v>
      </c>
      <c r="B122" s="2408">
        <f>商办车库!F135</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4429</v>
      </c>
      <c r="S122" s="316">
        <f t="shared" ca="1" si="16"/>
        <v>20</v>
      </c>
      <c r="T122" s="720" t="str">
        <f>商办车库!H135</f>
        <v>车位</v>
      </c>
    </row>
    <row r="123" spans="1:20">
      <c r="A123" s="2408" t="str">
        <f>商办车库!E136</f>
        <v>B2005</v>
      </c>
      <c r="B123" s="2408">
        <f>商办车库!F136</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4429</v>
      </c>
      <c r="S123" s="316">
        <f t="shared" ca="1" si="16"/>
        <v>20</v>
      </c>
      <c r="T123" s="720" t="str">
        <f>商办车库!H136</f>
        <v>车位</v>
      </c>
    </row>
    <row r="124" spans="1:20">
      <c r="A124" s="2408" t="str">
        <f>商办车库!E137</f>
        <v>B2006</v>
      </c>
      <c r="B124" s="2408">
        <f>商办车库!F137</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4429</v>
      </c>
      <c r="S124" s="316">
        <f t="shared" ca="1" si="16"/>
        <v>20</v>
      </c>
      <c r="T124" s="720" t="str">
        <f>商办车库!H137</f>
        <v>车位</v>
      </c>
    </row>
    <row r="125" spans="1:20">
      <c r="A125" s="2408" t="str">
        <f>商办车库!E138</f>
        <v>B2007</v>
      </c>
      <c r="B125" s="2408">
        <f>商办车库!F138</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4429</v>
      </c>
      <c r="S125" s="316">
        <f t="shared" ca="1" si="16"/>
        <v>20</v>
      </c>
      <c r="T125" s="720" t="str">
        <f>商办车库!H138</f>
        <v>车位</v>
      </c>
    </row>
    <row r="126" spans="1:20">
      <c r="A126" s="2408" t="str">
        <f>商办车库!E139</f>
        <v>B2008</v>
      </c>
      <c r="B126" s="2408">
        <f>商办车库!F139</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4429</v>
      </c>
      <c r="S126" s="316">
        <f t="shared" ca="1" si="16"/>
        <v>20</v>
      </c>
      <c r="T126" s="720" t="str">
        <f>商办车库!H139</f>
        <v>车位</v>
      </c>
    </row>
    <row r="127" spans="1:20">
      <c r="A127" s="2408" t="str">
        <f>商办车库!E140</f>
        <v>B2009</v>
      </c>
      <c r="B127" s="2408">
        <f>商办车库!F140</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4429</v>
      </c>
      <c r="S127" s="316">
        <f t="shared" ca="1" si="16"/>
        <v>20</v>
      </c>
      <c r="T127" s="720" t="str">
        <f>商办车库!H140</f>
        <v>车位</v>
      </c>
    </row>
    <row r="128" spans="1:20">
      <c r="A128" s="2408" t="str">
        <f>商办车库!E141</f>
        <v>B2010</v>
      </c>
      <c r="B128" s="2408">
        <f>商办车库!F141</f>
        <v>49.03</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4429</v>
      </c>
      <c r="S128" s="316">
        <f t="shared" ca="1" si="16"/>
        <v>22</v>
      </c>
      <c r="T128" s="720" t="str">
        <f>商办车库!H141</f>
        <v>车位</v>
      </c>
    </row>
    <row r="129" spans="1:20">
      <c r="A129" s="2408" t="str">
        <f>商办车库!E142</f>
        <v>B2011</v>
      </c>
      <c r="B129" s="2408">
        <f>商办车库!F142</f>
        <v>43.89</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4429</v>
      </c>
      <c r="S129" s="316">
        <f t="shared" ca="1" si="16"/>
        <v>19</v>
      </c>
      <c r="T129" s="720" t="str">
        <f>商办车库!H142</f>
        <v>车位</v>
      </c>
    </row>
    <row r="130" spans="1:20">
      <c r="A130" s="2408" t="str">
        <f>商办车库!E143</f>
        <v>B2012</v>
      </c>
      <c r="B130" s="2408">
        <f>商办车库!F143</f>
        <v>43.89</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4429</v>
      </c>
      <c r="S130" s="316">
        <f t="shared" ca="1" si="16"/>
        <v>19</v>
      </c>
      <c r="T130" s="720" t="str">
        <f>商办车库!H143</f>
        <v>车位</v>
      </c>
    </row>
    <row r="131" spans="1:20">
      <c r="A131" s="2408" t="str">
        <f>商办车库!E144</f>
        <v>B2013</v>
      </c>
      <c r="B131" s="2408">
        <f>商办车库!F144</f>
        <v>43.89</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4429</v>
      </c>
      <c r="S131" s="316">
        <f t="shared" ca="1" si="16"/>
        <v>19</v>
      </c>
      <c r="T131" s="720" t="str">
        <f>商办车库!H144</f>
        <v>车位</v>
      </c>
    </row>
    <row r="132" spans="1:20">
      <c r="A132" s="2408" t="str">
        <f>商办车库!E145</f>
        <v>B2014</v>
      </c>
      <c r="B132" s="2408">
        <f>商办车库!F145</f>
        <v>43.89</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4429</v>
      </c>
      <c r="S132" s="316">
        <f t="shared" ca="1" si="16"/>
        <v>19</v>
      </c>
      <c r="T132" s="720" t="str">
        <f>商办车库!H145</f>
        <v>车位</v>
      </c>
    </row>
    <row r="133" spans="1:20">
      <c r="A133" s="2408" t="str">
        <f>商办车库!E146</f>
        <v>B2015</v>
      </c>
      <c r="B133" s="2408">
        <f>商办车库!F146</f>
        <v>43.89</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4429</v>
      </c>
      <c r="S133" s="316">
        <f t="shared" ca="1" si="16"/>
        <v>19</v>
      </c>
      <c r="T133" s="720" t="str">
        <f>商办车库!H146</f>
        <v>车位</v>
      </c>
    </row>
    <row r="134" spans="1:20">
      <c r="A134" s="2408" t="str">
        <f>商办车库!E147</f>
        <v>B2016、B2017</v>
      </c>
      <c r="B134" s="2408">
        <f>商办车库!F147</f>
        <v>89.9</v>
      </c>
      <c r="C134" s="3438">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4429</v>
      </c>
      <c r="S134" s="316">
        <f t="shared" ca="1" si="16"/>
        <v>40</v>
      </c>
      <c r="T134" s="720" t="str">
        <f>商办车库!H147</f>
        <v>车位</v>
      </c>
    </row>
    <row r="135" spans="1:20">
      <c r="A135" s="2408" t="str">
        <f>商办车库!E148</f>
        <v>B2018、B2019</v>
      </c>
      <c r="B135" s="2408">
        <f>商办车库!F148</f>
        <v>89.9</v>
      </c>
      <c r="C135" s="3438">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4429</v>
      </c>
      <c r="S135" s="316">
        <f t="shared" ca="1" si="16"/>
        <v>40</v>
      </c>
      <c r="T135" s="720" t="str">
        <f>商办车库!H148</f>
        <v>车位</v>
      </c>
    </row>
    <row r="136" spans="1:20">
      <c r="A136" s="2408" t="str">
        <f>商办车库!E149</f>
        <v>B2020</v>
      </c>
      <c r="B136" s="2408">
        <f>商办车库!F149</f>
        <v>49.03</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4429</v>
      </c>
      <c r="S136" s="316">
        <f t="shared" ca="1" si="16"/>
        <v>22</v>
      </c>
      <c r="T136" s="720" t="str">
        <f>商办车库!H149</f>
        <v>车位</v>
      </c>
    </row>
    <row r="137" spans="1:20">
      <c r="A137" s="2408" t="str">
        <f>商办车库!E150</f>
        <v>B2021</v>
      </c>
      <c r="B137" s="2408">
        <f>商办车库!F150</f>
        <v>49.03</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4429</v>
      </c>
      <c r="S137" s="316">
        <f t="shared" ca="1" si="16"/>
        <v>22</v>
      </c>
      <c r="T137" s="720" t="str">
        <f>商办车库!H150</f>
        <v>车位</v>
      </c>
    </row>
    <row r="138" spans="1:20">
      <c r="A138" s="2408" t="str">
        <f>商办车库!E151</f>
        <v>B2022</v>
      </c>
      <c r="B138" s="2408">
        <f>商办车库!F151</f>
        <v>49.03</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4429</v>
      </c>
      <c r="S138" s="316">
        <f t="shared" ca="1" si="16"/>
        <v>22</v>
      </c>
      <c r="T138" s="720" t="str">
        <f>商办车库!H151</f>
        <v>车位</v>
      </c>
    </row>
    <row r="139" spans="1:20">
      <c r="A139" s="2408" t="str">
        <f>商办车库!E152</f>
        <v>B2023</v>
      </c>
      <c r="B139" s="2408">
        <f>商办车库!F152</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4429</v>
      </c>
      <c r="S139" s="316">
        <f t="shared" ca="1" si="16"/>
        <v>20</v>
      </c>
      <c r="T139" s="720" t="str">
        <f>商办车库!H152</f>
        <v>车位</v>
      </c>
    </row>
    <row r="140" spans="1:20">
      <c r="A140" s="2408" t="str">
        <f>商办车库!E153</f>
        <v>B2024</v>
      </c>
      <c r="B140" s="2408">
        <f>商办车库!F153</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4429</v>
      </c>
      <c r="S140" s="316">
        <f t="shared" ca="1" si="16"/>
        <v>20</v>
      </c>
      <c r="T140" s="720" t="str">
        <f>商办车库!H153</f>
        <v>车位</v>
      </c>
    </row>
    <row r="141" spans="1:20">
      <c r="A141" s="2408" t="str">
        <f>商办车库!E154</f>
        <v>B2025</v>
      </c>
      <c r="B141" s="2408">
        <f>商办车库!F154</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4429</v>
      </c>
      <c r="S141" s="316">
        <f t="shared" ca="1" si="16"/>
        <v>20</v>
      </c>
      <c r="T141" s="720" t="str">
        <f>商办车库!H154</f>
        <v>车位</v>
      </c>
    </row>
    <row r="142" spans="1:20">
      <c r="A142" s="2408" t="str">
        <f>商办车库!E155</f>
        <v>B2026</v>
      </c>
      <c r="B142" s="2408">
        <f>商办车库!F155</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4429</v>
      </c>
      <c r="S142" s="316">
        <f t="shared" ca="1" si="16"/>
        <v>20</v>
      </c>
      <c r="T142" s="720" t="str">
        <f>商办车库!H155</f>
        <v>车位</v>
      </c>
    </row>
    <row r="143" spans="1:20">
      <c r="A143" s="2408" t="str">
        <f>商办车库!E156</f>
        <v>B2027</v>
      </c>
      <c r="B143" s="2408">
        <f>商办车库!F156</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4429</v>
      </c>
      <c r="S143" s="316">
        <f t="shared" ca="1" si="16"/>
        <v>20</v>
      </c>
      <c r="T143" s="720" t="str">
        <f>商办车库!H156</f>
        <v>车位</v>
      </c>
    </row>
    <row r="144" spans="1:20">
      <c r="A144" s="2408" t="str">
        <f>商办车库!E157</f>
        <v>B2028</v>
      </c>
      <c r="B144" s="2408">
        <f>商办车库!F157</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4429</v>
      </c>
      <c r="S144" s="316">
        <f t="shared" ca="1" si="16"/>
        <v>20</v>
      </c>
      <c r="T144" s="720" t="str">
        <f>商办车库!H157</f>
        <v>车位</v>
      </c>
    </row>
    <row r="145" spans="1:20">
      <c r="A145" s="2408" t="str">
        <f>商办车库!E158</f>
        <v>B2029</v>
      </c>
      <c r="B145" s="2408">
        <f>商办车库!F158</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4429</v>
      </c>
      <c r="S145" s="316">
        <f t="shared" ca="1" si="16"/>
        <v>20</v>
      </c>
      <c r="T145" s="720" t="str">
        <f>商办车库!H158</f>
        <v>车位</v>
      </c>
    </row>
    <row r="146" spans="1:20">
      <c r="A146" s="2408" t="str">
        <f>商办车库!E159</f>
        <v>B2030</v>
      </c>
      <c r="B146" s="2408">
        <f>商办车库!F159</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4429</v>
      </c>
      <c r="S146" s="316">
        <f t="shared" ca="1" si="16"/>
        <v>20</v>
      </c>
      <c r="T146" s="720" t="str">
        <f>商办车库!H159</f>
        <v>车位</v>
      </c>
    </row>
    <row r="147" spans="1:20">
      <c r="A147" s="2408" t="str">
        <f>商办车库!E160</f>
        <v>B2031</v>
      </c>
      <c r="B147" s="2408">
        <f>商办车库!F160</f>
        <v>44.95</v>
      </c>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-2</v>
      </c>
      <c r="Q147" s="21">
        <f t="shared" si="24"/>
        <v>0.95</v>
      </c>
      <c r="R147" s="659">
        <f t="shared" ca="1" si="25"/>
        <v>4429</v>
      </c>
      <c r="S147" s="316">
        <f t="shared" ca="1" si="16"/>
        <v>20</v>
      </c>
      <c r="T147" s="720" t="str">
        <f>商办车库!H160</f>
        <v>车位</v>
      </c>
    </row>
    <row r="148" spans="1:20">
      <c r="A148" s="2408" t="str">
        <f>商办车库!E161</f>
        <v>B2032</v>
      </c>
      <c r="B148" s="2408">
        <f>商办车库!F161</f>
        <v>49.03</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-2</v>
      </c>
      <c r="Q148" s="21">
        <f t="shared" si="24"/>
        <v>0.95</v>
      </c>
      <c r="R148" s="659">
        <f t="shared" ca="1" si="25"/>
        <v>4429</v>
      </c>
      <c r="S148" s="316">
        <f t="shared" ca="1" si="16"/>
        <v>22</v>
      </c>
      <c r="T148" s="720" t="str">
        <f>商办车库!H161</f>
        <v>车位</v>
      </c>
    </row>
    <row r="149" spans="1:20">
      <c r="A149" s="2408" t="str">
        <f>商办车库!E162</f>
        <v>B2033</v>
      </c>
      <c r="B149" s="2408">
        <f>商办车库!F162</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-2</v>
      </c>
      <c r="Q149" s="21">
        <f t="shared" si="24"/>
        <v>0.95</v>
      </c>
      <c r="R149" s="659">
        <f t="shared" ca="1" si="25"/>
        <v>4429</v>
      </c>
      <c r="S149" s="316">
        <f t="shared" ca="1" si="16"/>
        <v>20</v>
      </c>
      <c r="T149" s="720" t="str">
        <f>商办车库!H162</f>
        <v>车位</v>
      </c>
    </row>
    <row r="150" spans="1:20">
      <c r="A150" s="2408" t="str">
        <f>商办车库!E163</f>
        <v>B2034</v>
      </c>
      <c r="B150" s="2408">
        <f>商办车库!F163</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-2</v>
      </c>
      <c r="Q150" s="21">
        <f t="shared" si="24"/>
        <v>0.95</v>
      </c>
      <c r="R150" s="659">
        <f t="shared" ca="1" si="25"/>
        <v>4429</v>
      </c>
      <c r="S150" s="316">
        <f t="shared" ca="1" si="16"/>
        <v>20</v>
      </c>
      <c r="T150" s="720" t="str">
        <f>商办车库!H163</f>
        <v>车位</v>
      </c>
    </row>
    <row r="151" spans="1:20">
      <c r="A151" s="2408" t="str">
        <f>商办车库!E164</f>
        <v>B2035</v>
      </c>
      <c r="B151" s="2408">
        <f>商办车库!F164</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-2</v>
      </c>
      <c r="Q151" s="21">
        <f t="shared" si="24"/>
        <v>0.95</v>
      </c>
      <c r="R151" s="659">
        <f t="shared" ca="1" si="25"/>
        <v>4429</v>
      </c>
      <c r="S151" s="316">
        <f t="shared" ca="1" si="16"/>
        <v>20</v>
      </c>
      <c r="T151" s="720" t="str">
        <f>商办车库!H164</f>
        <v>车位</v>
      </c>
    </row>
    <row r="152" spans="1:20">
      <c r="A152" s="2408" t="str">
        <f>商办车库!E165</f>
        <v>B2036</v>
      </c>
      <c r="B152" s="2408">
        <f>商办车库!F165</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-2</v>
      </c>
      <c r="Q152" s="21">
        <f t="shared" si="24"/>
        <v>0.95</v>
      </c>
      <c r="R152" s="659">
        <f t="shared" ca="1" si="25"/>
        <v>4429</v>
      </c>
      <c r="S152" s="316">
        <f t="shared" ref="S152:S215" ca="1" si="26">ROUND(R152*B152/10000,0)</f>
        <v>20</v>
      </c>
      <c r="T152" s="720" t="str">
        <f>商办车库!H165</f>
        <v>车位</v>
      </c>
    </row>
    <row r="153" spans="1:20">
      <c r="A153" s="2408" t="str">
        <f>商办车库!E166</f>
        <v>B2037</v>
      </c>
      <c r="B153" s="2408">
        <f>商办车库!F166</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-2</v>
      </c>
      <c r="Q153" s="21">
        <f t="shared" si="24"/>
        <v>0.95</v>
      </c>
      <c r="R153" s="659">
        <f t="shared" ca="1" si="25"/>
        <v>4429</v>
      </c>
      <c r="S153" s="316">
        <f t="shared" ca="1" si="26"/>
        <v>20</v>
      </c>
      <c r="T153" s="720" t="str">
        <f>商办车库!H166</f>
        <v>车位</v>
      </c>
    </row>
    <row r="154" spans="1:20">
      <c r="A154" s="2408" t="str">
        <f>商办车库!E167</f>
        <v>B2038</v>
      </c>
      <c r="B154" s="2408">
        <f>商办车库!F167</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-2</v>
      </c>
      <c r="Q154" s="21">
        <f t="shared" ref="Q154:Q217" si="34">(SUMIF($17:$17,P154,$18:$18)-SUMIF($17:$17,$P$24,$18:$18)+100)/100</f>
        <v>0.95</v>
      </c>
      <c r="R154" s="659">
        <f t="shared" ref="R154:R217" ca="1" si="35">IF(B154="",0,ROUND($R$24*C154*E154*G154*I154*K154*M154*O154*Q154,0))</f>
        <v>4429</v>
      </c>
      <c r="S154" s="316">
        <f t="shared" ca="1" si="26"/>
        <v>20</v>
      </c>
      <c r="T154" s="720" t="str">
        <f>商办车库!H167</f>
        <v>车位</v>
      </c>
    </row>
    <row r="155" spans="1:20">
      <c r="A155" s="2408" t="str">
        <f>商办车库!E168</f>
        <v>B2039</v>
      </c>
      <c r="B155" s="2408">
        <f>商办车库!F168</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-2</v>
      </c>
      <c r="Q155" s="21">
        <f t="shared" si="34"/>
        <v>0.95</v>
      </c>
      <c r="R155" s="659">
        <f t="shared" ca="1" si="35"/>
        <v>4429</v>
      </c>
      <c r="S155" s="316">
        <f t="shared" ca="1" si="26"/>
        <v>20</v>
      </c>
      <c r="T155" s="720" t="str">
        <f>商办车库!H168</f>
        <v>车位</v>
      </c>
    </row>
    <row r="156" spans="1:20">
      <c r="A156" s="2408" t="str">
        <f>商办车库!E169</f>
        <v>B2040</v>
      </c>
      <c r="B156" s="2408">
        <f>商办车库!F169</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-2</v>
      </c>
      <c r="Q156" s="21">
        <f t="shared" si="34"/>
        <v>0.95</v>
      </c>
      <c r="R156" s="659">
        <f t="shared" ca="1" si="35"/>
        <v>4429</v>
      </c>
      <c r="S156" s="316">
        <f t="shared" ca="1" si="26"/>
        <v>20</v>
      </c>
      <c r="T156" s="720" t="str">
        <f>商办车库!H169</f>
        <v>车位</v>
      </c>
    </row>
    <row r="157" spans="1:20">
      <c r="A157" s="2408" t="str">
        <f>商办车库!E170</f>
        <v>B2041</v>
      </c>
      <c r="B157" s="2408">
        <f>商办车库!F170</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-2</v>
      </c>
      <c r="Q157" s="21">
        <f t="shared" si="34"/>
        <v>0.95</v>
      </c>
      <c r="R157" s="659">
        <f t="shared" ca="1" si="35"/>
        <v>4429</v>
      </c>
      <c r="S157" s="316">
        <f t="shared" ca="1" si="26"/>
        <v>20</v>
      </c>
      <c r="T157" s="720" t="str">
        <f>商办车库!H170</f>
        <v>车位</v>
      </c>
    </row>
    <row r="158" spans="1:20">
      <c r="A158" s="2408" t="str">
        <f>商办车库!E171</f>
        <v>B2042</v>
      </c>
      <c r="B158" s="2408">
        <f>商办车库!F171</f>
        <v>44.95</v>
      </c>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-2</v>
      </c>
      <c r="Q158" s="21">
        <f t="shared" si="34"/>
        <v>0.95</v>
      </c>
      <c r="R158" s="659">
        <f t="shared" ca="1" si="35"/>
        <v>4429</v>
      </c>
      <c r="S158" s="316">
        <f t="shared" ca="1" si="26"/>
        <v>20</v>
      </c>
      <c r="T158" s="720" t="str">
        <f>商办车库!H171</f>
        <v>车位</v>
      </c>
    </row>
    <row r="159" spans="1:20">
      <c r="A159" s="2408" t="str">
        <f>商办车库!E172</f>
        <v>B2043</v>
      </c>
      <c r="B159" s="2408">
        <f>商办车库!F172</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-2</v>
      </c>
      <c r="Q159" s="21">
        <f t="shared" si="34"/>
        <v>0.95</v>
      </c>
      <c r="R159" s="659">
        <f t="shared" ca="1" si="35"/>
        <v>4429</v>
      </c>
      <c r="S159" s="316">
        <f t="shared" ca="1" si="26"/>
        <v>22</v>
      </c>
      <c r="T159" s="720" t="str">
        <f>商办车库!H172</f>
        <v>车位</v>
      </c>
    </row>
    <row r="160" spans="1:20">
      <c r="A160" s="2408" t="str">
        <f>商办车库!E173</f>
        <v>B2044</v>
      </c>
      <c r="B160" s="2408">
        <f>商办车库!F173</f>
        <v>49.03</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-2</v>
      </c>
      <c r="Q160" s="21">
        <f t="shared" si="34"/>
        <v>0.95</v>
      </c>
      <c r="R160" s="659">
        <f t="shared" ca="1" si="35"/>
        <v>4429</v>
      </c>
      <c r="S160" s="316">
        <f t="shared" ca="1" si="26"/>
        <v>22</v>
      </c>
      <c r="T160" s="720" t="str">
        <f>商办车库!H173</f>
        <v>车位</v>
      </c>
    </row>
    <row r="161" spans="1:20">
      <c r="A161" s="2408" t="str">
        <f>商办车库!E174</f>
        <v>B2045</v>
      </c>
      <c r="B161" s="2408">
        <f>商办车库!F174</f>
        <v>44.95</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-2</v>
      </c>
      <c r="Q161" s="21">
        <f t="shared" si="34"/>
        <v>0.95</v>
      </c>
      <c r="R161" s="659">
        <f t="shared" ca="1" si="35"/>
        <v>4429</v>
      </c>
      <c r="S161" s="316">
        <f t="shared" ca="1" si="26"/>
        <v>20</v>
      </c>
      <c r="T161" s="720" t="str">
        <f>商办车库!H174</f>
        <v>车位</v>
      </c>
    </row>
    <row r="162" spans="1:20">
      <c r="A162" s="2408" t="str">
        <f>商办车库!E175</f>
        <v>B2046</v>
      </c>
      <c r="B162" s="2408">
        <f>商办车库!F175</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-2</v>
      </c>
      <c r="Q162" s="21">
        <f t="shared" si="34"/>
        <v>0.95</v>
      </c>
      <c r="R162" s="659">
        <f t="shared" ca="1" si="35"/>
        <v>4429</v>
      </c>
      <c r="S162" s="316">
        <f t="shared" ca="1" si="26"/>
        <v>20</v>
      </c>
      <c r="T162" s="720" t="str">
        <f>商办车库!H175</f>
        <v>车位</v>
      </c>
    </row>
    <row r="163" spans="1:20">
      <c r="A163" s="2408" t="str">
        <f>商办车库!E176</f>
        <v>B2047</v>
      </c>
      <c r="B163" s="2408">
        <f>商办车库!F176</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-2</v>
      </c>
      <c r="Q163" s="21">
        <f t="shared" si="34"/>
        <v>0.95</v>
      </c>
      <c r="R163" s="659">
        <f t="shared" ca="1" si="35"/>
        <v>4429</v>
      </c>
      <c r="S163" s="316">
        <f t="shared" ca="1" si="26"/>
        <v>20</v>
      </c>
      <c r="T163" s="720" t="str">
        <f>商办车库!H176</f>
        <v>车位</v>
      </c>
    </row>
    <row r="164" spans="1:20">
      <c r="A164" s="2408" t="str">
        <f>商办车库!E177</f>
        <v>B2048</v>
      </c>
      <c r="B164" s="2408">
        <f>商办车库!F177</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-2</v>
      </c>
      <c r="Q164" s="21">
        <f t="shared" si="34"/>
        <v>0.95</v>
      </c>
      <c r="R164" s="659">
        <f t="shared" ca="1" si="35"/>
        <v>4429</v>
      </c>
      <c r="S164" s="316">
        <f t="shared" ca="1" si="26"/>
        <v>20</v>
      </c>
      <c r="T164" s="720" t="str">
        <f>商办车库!H177</f>
        <v>车位</v>
      </c>
    </row>
    <row r="165" spans="1:20">
      <c r="A165" s="2408" t="str">
        <f>商办车库!E178</f>
        <v>B2049</v>
      </c>
      <c r="B165" s="2408">
        <f>商办车库!F178</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-2</v>
      </c>
      <c r="Q165" s="21">
        <f t="shared" si="34"/>
        <v>0.95</v>
      </c>
      <c r="R165" s="659">
        <f t="shared" ca="1" si="35"/>
        <v>4429</v>
      </c>
      <c r="S165" s="316">
        <f t="shared" ca="1" si="26"/>
        <v>20</v>
      </c>
      <c r="T165" s="720" t="str">
        <f>商办车库!H178</f>
        <v>车位</v>
      </c>
    </row>
    <row r="166" spans="1:20">
      <c r="A166" s="2408" t="str">
        <f>商办车库!E179</f>
        <v>B2050</v>
      </c>
      <c r="B166" s="2408">
        <f>商办车库!F179</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-2</v>
      </c>
      <c r="Q166" s="21">
        <f t="shared" si="34"/>
        <v>0.95</v>
      </c>
      <c r="R166" s="659">
        <f t="shared" ca="1" si="35"/>
        <v>4429</v>
      </c>
      <c r="S166" s="316">
        <f t="shared" ca="1" si="26"/>
        <v>20</v>
      </c>
      <c r="T166" s="720" t="str">
        <f>商办车库!H179</f>
        <v>车位</v>
      </c>
    </row>
    <row r="167" spans="1:20">
      <c r="A167" s="2408" t="str">
        <f>商办车库!E180</f>
        <v>B2051</v>
      </c>
      <c r="B167" s="2408">
        <f>商办车库!F180</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-2</v>
      </c>
      <c r="Q167" s="21">
        <f t="shared" si="34"/>
        <v>0.95</v>
      </c>
      <c r="R167" s="659">
        <f t="shared" ca="1" si="35"/>
        <v>4429</v>
      </c>
      <c r="S167" s="316">
        <f t="shared" ca="1" si="26"/>
        <v>20</v>
      </c>
      <c r="T167" s="720" t="str">
        <f>商办车库!H180</f>
        <v>车位</v>
      </c>
    </row>
    <row r="168" spans="1:20">
      <c r="A168" s="2408" t="str">
        <f>商办车库!E181</f>
        <v>B2052</v>
      </c>
      <c r="B168" s="2408">
        <f>商办车库!F181</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-2</v>
      </c>
      <c r="Q168" s="21">
        <f t="shared" si="34"/>
        <v>0.95</v>
      </c>
      <c r="R168" s="659">
        <f t="shared" ca="1" si="35"/>
        <v>4429</v>
      </c>
      <c r="S168" s="316">
        <f t="shared" ca="1" si="26"/>
        <v>20</v>
      </c>
      <c r="T168" s="720" t="str">
        <f>商办车库!H181</f>
        <v>车位</v>
      </c>
    </row>
    <row r="169" spans="1:20">
      <c r="A169" s="2408" t="str">
        <f>商办车库!E182</f>
        <v>B2053</v>
      </c>
      <c r="B169" s="2408">
        <f>商办车库!F182</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-2</v>
      </c>
      <c r="Q169" s="21">
        <f t="shared" si="34"/>
        <v>0.95</v>
      </c>
      <c r="R169" s="659">
        <f t="shared" ca="1" si="35"/>
        <v>4429</v>
      </c>
      <c r="S169" s="316">
        <f t="shared" ca="1" si="26"/>
        <v>20</v>
      </c>
      <c r="T169" s="720" t="str">
        <f>商办车库!H182</f>
        <v>车位</v>
      </c>
    </row>
    <row r="170" spans="1:20">
      <c r="A170" s="2408" t="str">
        <f>商办车库!E183</f>
        <v>B2054</v>
      </c>
      <c r="B170" s="2408">
        <f>商办车库!F183</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-2</v>
      </c>
      <c r="Q170" s="21">
        <f t="shared" si="34"/>
        <v>0.95</v>
      </c>
      <c r="R170" s="659">
        <f t="shared" ca="1" si="35"/>
        <v>4429</v>
      </c>
      <c r="S170" s="316">
        <f t="shared" ca="1" si="26"/>
        <v>20</v>
      </c>
      <c r="T170" s="720" t="str">
        <f>商办车库!H183</f>
        <v>车位</v>
      </c>
    </row>
    <row r="171" spans="1:20">
      <c r="A171" s="2408" t="str">
        <f>商办车库!E184</f>
        <v>B2055</v>
      </c>
      <c r="B171" s="2408">
        <f>商办车库!F184</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-2</v>
      </c>
      <c r="Q171" s="21">
        <f t="shared" si="34"/>
        <v>0.95</v>
      </c>
      <c r="R171" s="659">
        <f t="shared" ca="1" si="35"/>
        <v>4429</v>
      </c>
      <c r="S171" s="316">
        <f t="shared" ca="1" si="26"/>
        <v>20</v>
      </c>
      <c r="T171" s="720" t="str">
        <f>商办车库!H184</f>
        <v>车位</v>
      </c>
    </row>
    <row r="172" spans="1:20">
      <c r="A172" s="2408" t="str">
        <f>商办车库!E185</f>
        <v>B2056</v>
      </c>
      <c r="B172" s="2408">
        <f>商办车库!F185</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-2</v>
      </c>
      <c r="Q172" s="21">
        <f t="shared" si="34"/>
        <v>0.95</v>
      </c>
      <c r="R172" s="659">
        <f t="shared" ca="1" si="35"/>
        <v>4429</v>
      </c>
      <c r="S172" s="316">
        <f t="shared" ca="1" si="26"/>
        <v>20</v>
      </c>
      <c r="T172" s="720" t="str">
        <f>商办车库!H185</f>
        <v>车位</v>
      </c>
    </row>
    <row r="173" spans="1:20">
      <c r="A173" s="2408" t="str">
        <f>商办车库!E186</f>
        <v>B2057</v>
      </c>
      <c r="B173" s="2408">
        <f>商办车库!F186</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-2</v>
      </c>
      <c r="Q173" s="21">
        <f t="shared" si="34"/>
        <v>0.95</v>
      </c>
      <c r="R173" s="659">
        <f t="shared" ca="1" si="35"/>
        <v>4429</v>
      </c>
      <c r="S173" s="316">
        <f t="shared" ca="1" si="26"/>
        <v>20</v>
      </c>
      <c r="T173" s="720" t="str">
        <f>商办车库!H186</f>
        <v>车位</v>
      </c>
    </row>
    <row r="174" spans="1:20">
      <c r="A174" s="2408" t="str">
        <f>商办车库!E187</f>
        <v>B2058</v>
      </c>
      <c r="B174" s="2408">
        <f>商办车库!F187</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-2</v>
      </c>
      <c r="Q174" s="21">
        <f t="shared" si="34"/>
        <v>0.95</v>
      </c>
      <c r="R174" s="659">
        <f t="shared" ca="1" si="35"/>
        <v>4429</v>
      </c>
      <c r="S174" s="316">
        <f t="shared" ca="1" si="26"/>
        <v>20</v>
      </c>
      <c r="T174" s="720" t="str">
        <f>商办车库!H187</f>
        <v>车位</v>
      </c>
    </row>
    <row r="175" spans="1:20">
      <c r="A175" s="2408" t="str">
        <f>商办车库!E188</f>
        <v>B2059</v>
      </c>
      <c r="B175" s="2408">
        <f>商办车库!F188</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-2</v>
      </c>
      <c r="Q175" s="21">
        <f t="shared" si="34"/>
        <v>0.95</v>
      </c>
      <c r="R175" s="659">
        <f t="shared" ca="1" si="35"/>
        <v>4429</v>
      </c>
      <c r="S175" s="316">
        <f t="shared" ca="1" si="26"/>
        <v>20</v>
      </c>
      <c r="T175" s="720" t="str">
        <f>商办车库!H188</f>
        <v>车位</v>
      </c>
    </row>
    <row r="176" spans="1:20">
      <c r="A176" s="2408" t="str">
        <f>商办车库!E189</f>
        <v>B2060</v>
      </c>
      <c r="B176" s="2408">
        <f>商办车库!F189</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-2</v>
      </c>
      <c r="Q176" s="21">
        <f t="shared" si="34"/>
        <v>0.95</v>
      </c>
      <c r="R176" s="659">
        <f t="shared" ca="1" si="35"/>
        <v>4429</v>
      </c>
      <c r="S176" s="316">
        <f t="shared" ca="1" si="26"/>
        <v>20</v>
      </c>
      <c r="T176" s="720" t="str">
        <f>商办车库!H189</f>
        <v>车位</v>
      </c>
    </row>
    <row r="177" spans="1:20">
      <c r="A177" s="2408" t="str">
        <f>商办车库!E190</f>
        <v>B2061</v>
      </c>
      <c r="B177" s="2408">
        <f>商办车库!F190</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-2</v>
      </c>
      <c r="Q177" s="21">
        <f t="shared" si="34"/>
        <v>0.95</v>
      </c>
      <c r="R177" s="659">
        <f t="shared" ca="1" si="35"/>
        <v>4429</v>
      </c>
      <c r="S177" s="316">
        <f t="shared" ca="1" si="26"/>
        <v>20</v>
      </c>
      <c r="T177" s="720" t="str">
        <f>商办车库!H190</f>
        <v>车位</v>
      </c>
    </row>
    <row r="178" spans="1:20">
      <c r="A178" s="2408" t="str">
        <f>商办车库!E191</f>
        <v>B2062</v>
      </c>
      <c r="B178" s="2408">
        <f>商办车库!F191</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-2</v>
      </c>
      <c r="Q178" s="21">
        <f t="shared" si="34"/>
        <v>0.95</v>
      </c>
      <c r="R178" s="659">
        <f t="shared" ca="1" si="35"/>
        <v>4429</v>
      </c>
      <c r="S178" s="316">
        <f t="shared" ca="1" si="26"/>
        <v>20</v>
      </c>
      <c r="T178" s="720" t="str">
        <f>商办车库!H191</f>
        <v>车位</v>
      </c>
    </row>
    <row r="179" spans="1:20">
      <c r="A179" s="2408" t="str">
        <f>商办车库!E192</f>
        <v>B2063</v>
      </c>
      <c r="B179" s="2408">
        <f>商办车库!F192</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-2</v>
      </c>
      <c r="Q179" s="21">
        <f t="shared" si="34"/>
        <v>0.95</v>
      </c>
      <c r="R179" s="659">
        <f t="shared" ca="1" si="35"/>
        <v>4429</v>
      </c>
      <c r="S179" s="316">
        <f t="shared" ca="1" si="26"/>
        <v>20</v>
      </c>
      <c r="T179" s="720" t="str">
        <f>商办车库!H192</f>
        <v>车位</v>
      </c>
    </row>
    <row r="180" spans="1:20">
      <c r="A180" s="2408" t="str">
        <f>商办车库!E193</f>
        <v>B2064</v>
      </c>
      <c r="B180" s="2408">
        <f>商办车库!F193</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-2</v>
      </c>
      <c r="Q180" s="21">
        <f t="shared" si="34"/>
        <v>0.95</v>
      </c>
      <c r="R180" s="659">
        <f t="shared" ca="1" si="35"/>
        <v>4429</v>
      </c>
      <c r="S180" s="316">
        <f t="shared" ca="1" si="26"/>
        <v>20</v>
      </c>
      <c r="T180" s="720" t="str">
        <f>商办车库!H193</f>
        <v>车位</v>
      </c>
    </row>
    <row r="181" spans="1:20">
      <c r="A181" s="2408" t="str">
        <f>商办车库!E194</f>
        <v>B2065</v>
      </c>
      <c r="B181" s="2408">
        <f>商办车库!F194</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-2</v>
      </c>
      <c r="Q181" s="21">
        <f t="shared" si="34"/>
        <v>0.95</v>
      </c>
      <c r="R181" s="659">
        <f t="shared" ca="1" si="35"/>
        <v>4429</v>
      </c>
      <c r="S181" s="316">
        <f t="shared" ca="1" si="26"/>
        <v>20</v>
      </c>
      <c r="T181" s="720" t="str">
        <f>商办车库!H194</f>
        <v>车位</v>
      </c>
    </row>
    <row r="182" spans="1:20">
      <c r="A182" s="2408" t="str">
        <f>商办车库!E195</f>
        <v>B2066</v>
      </c>
      <c r="B182" s="2408">
        <f>商办车库!F195</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-2</v>
      </c>
      <c r="Q182" s="21">
        <f t="shared" si="34"/>
        <v>0.95</v>
      </c>
      <c r="R182" s="659">
        <f t="shared" ca="1" si="35"/>
        <v>4429</v>
      </c>
      <c r="S182" s="316">
        <f t="shared" ca="1" si="26"/>
        <v>20</v>
      </c>
      <c r="T182" s="720" t="str">
        <f>商办车库!H195</f>
        <v>车位</v>
      </c>
    </row>
    <row r="183" spans="1:20">
      <c r="A183" s="2408" t="str">
        <f>商办车库!E196</f>
        <v>B2067</v>
      </c>
      <c r="B183" s="2408">
        <f>商办车库!F196</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-2</v>
      </c>
      <c r="Q183" s="21">
        <f t="shared" si="34"/>
        <v>0.95</v>
      </c>
      <c r="R183" s="659">
        <f t="shared" ca="1" si="35"/>
        <v>4429</v>
      </c>
      <c r="S183" s="316">
        <f t="shared" ca="1" si="26"/>
        <v>20</v>
      </c>
      <c r="T183" s="720" t="str">
        <f>商办车库!H196</f>
        <v>车位</v>
      </c>
    </row>
    <row r="184" spans="1:20">
      <c r="A184" s="2408" t="str">
        <f>商办车库!E197</f>
        <v>B2068</v>
      </c>
      <c r="B184" s="2408">
        <f>商办车库!F197</f>
        <v>73.14</v>
      </c>
      <c r="C184" s="21">
        <f t="shared" si="27"/>
        <v>1.01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-2</v>
      </c>
      <c r="Q184" s="21">
        <f t="shared" si="34"/>
        <v>0.95</v>
      </c>
      <c r="R184" s="659">
        <f t="shared" ca="1" si="35"/>
        <v>4473</v>
      </c>
      <c r="S184" s="316">
        <f t="shared" ca="1" si="26"/>
        <v>33</v>
      </c>
      <c r="T184" s="720" t="str">
        <f>商办车库!H197</f>
        <v>车位</v>
      </c>
    </row>
    <row r="185" spans="1:20">
      <c r="A185" s="2408" t="str">
        <f>商办车库!E198</f>
        <v>B2069</v>
      </c>
      <c r="B185" s="2408">
        <f>商办车库!F198</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-2</v>
      </c>
      <c r="Q185" s="21">
        <f t="shared" si="34"/>
        <v>0.95</v>
      </c>
      <c r="R185" s="659">
        <f t="shared" ca="1" si="35"/>
        <v>4429</v>
      </c>
      <c r="S185" s="316">
        <f t="shared" ca="1" si="26"/>
        <v>20</v>
      </c>
      <c r="T185" s="720" t="str">
        <f>商办车库!H198</f>
        <v>车位</v>
      </c>
    </row>
    <row r="186" spans="1:20">
      <c r="A186" s="2408" t="str">
        <f>商办车库!E199</f>
        <v>B2070</v>
      </c>
      <c r="B186" s="2408">
        <f>商办车库!F199</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-2</v>
      </c>
      <c r="Q186" s="21">
        <f t="shared" si="34"/>
        <v>0.95</v>
      </c>
      <c r="R186" s="659">
        <f t="shared" ca="1" si="35"/>
        <v>4429</v>
      </c>
      <c r="S186" s="316">
        <f t="shared" ca="1" si="26"/>
        <v>20</v>
      </c>
      <c r="T186" s="720" t="str">
        <f>商办车库!H199</f>
        <v>车位</v>
      </c>
    </row>
    <row r="187" spans="1:20">
      <c r="A187" s="2408" t="str">
        <f>商办车库!E200</f>
        <v>B2071</v>
      </c>
      <c r="B187" s="2408">
        <f>商办车库!F200</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-2</v>
      </c>
      <c r="Q187" s="21">
        <f t="shared" si="34"/>
        <v>0.95</v>
      </c>
      <c r="R187" s="659">
        <f t="shared" ca="1" si="35"/>
        <v>4429</v>
      </c>
      <c r="S187" s="316">
        <f t="shared" ca="1" si="26"/>
        <v>20</v>
      </c>
      <c r="T187" s="720" t="str">
        <f>商办车库!H200</f>
        <v>车位</v>
      </c>
    </row>
    <row r="188" spans="1:20">
      <c r="A188" s="2408" t="str">
        <f>商办车库!E201</f>
        <v>B2072</v>
      </c>
      <c r="B188" s="2408">
        <f>商办车库!F201</f>
        <v>44.95</v>
      </c>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-2</v>
      </c>
      <c r="Q188" s="21">
        <f t="shared" si="34"/>
        <v>0.95</v>
      </c>
      <c r="R188" s="659">
        <f t="shared" ca="1" si="35"/>
        <v>4429</v>
      </c>
      <c r="S188" s="316">
        <f t="shared" ca="1" si="26"/>
        <v>20</v>
      </c>
      <c r="T188" s="720" t="str">
        <f>商办车库!H201</f>
        <v>车位</v>
      </c>
    </row>
    <row r="189" spans="1:20">
      <c r="A189" s="2408" t="str">
        <f>商办车库!E202</f>
        <v>B2073</v>
      </c>
      <c r="B189" s="2408">
        <f>商办车库!F202</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-2</v>
      </c>
      <c r="Q189" s="21">
        <f t="shared" si="34"/>
        <v>0.95</v>
      </c>
      <c r="R189" s="659">
        <f t="shared" ca="1" si="35"/>
        <v>4429</v>
      </c>
      <c r="S189" s="316">
        <f t="shared" ca="1" si="26"/>
        <v>20</v>
      </c>
      <c r="T189" s="720" t="str">
        <f>商办车库!H202</f>
        <v>车位</v>
      </c>
    </row>
    <row r="190" spans="1:20">
      <c r="A190" s="2408" t="str">
        <f>商办车库!E203</f>
        <v>B2074</v>
      </c>
      <c r="B190" s="2408">
        <f>商办车库!F203</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-2</v>
      </c>
      <c r="Q190" s="21">
        <f t="shared" si="34"/>
        <v>0.95</v>
      </c>
      <c r="R190" s="659">
        <f t="shared" ca="1" si="35"/>
        <v>4429</v>
      </c>
      <c r="S190" s="316">
        <f t="shared" ca="1" si="26"/>
        <v>20</v>
      </c>
      <c r="T190" s="720" t="str">
        <f>商办车库!H203</f>
        <v>车位</v>
      </c>
    </row>
    <row r="191" spans="1:20">
      <c r="A191" s="2408" t="str">
        <f>商办车库!E204</f>
        <v>B2075</v>
      </c>
      <c r="B191" s="2408">
        <f>商办车库!F204</f>
        <v>44.95</v>
      </c>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-2</v>
      </c>
      <c r="Q191" s="21">
        <f t="shared" si="34"/>
        <v>0.95</v>
      </c>
      <c r="R191" s="659">
        <f t="shared" ca="1" si="35"/>
        <v>4429</v>
      </c>
      <c r="S191" s="316">
        <f t="shared" ca="1" si="26"/>
        <v>20</v>
      </c>
      <c r="T191" s="720" t="str">
        <f>商办车库!H204</f>
        <v>车位</v>
      </c>
    </row>
    <row r="192" spans="1:20">
      <c r="A192" s="2408" t="str">
        <f>商办车库!E205</f>
        <v>B2076</v>
      </c>
      <c r="B192" s="2408">
        <f>商办车库!F205</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-2</v>
      </c>
      <c r="Q192" s="21">
        <f t="shared" si="34"/>
        <v>0.95</v>
      </c>
      <c r="R192" s="659">
        <f t="shared" ca="1" si="35"/>
        <v>4429</v>
      </c>
      <c r="S192" s="316">
        <f t="shared" ca="1" si="26"/>
        <v>20</v>
      </c>
      <c r="T192" s="720" t="str">
        <f>商办车库!H205</f>
        <v>车位</v>
      </c>
    </row>
    <row r="193" spans="1:20">
      <c r="A193" s="2408" t="str">
        <f>商办车库!E206</f>
        <v>B2077</v>
      </c>
      <c r="B193" s="2408">
        <f>商办车库!F206</f>
        <v>44.95</v>
      </c>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-2</v>
      </c>
      <c r="Q193" s="21">
        <f t="shared" si="34"/>
        <v>0.95</v>
      </c>
      <c r="R193" s="659">
        <f t="shared" ca="1" si="35"/>
        <v>4429</v>
      </c>
      <c r="S193" s="316">
        <f t="shared" ca="1" si="26"/>
        <v>20</v>
      </c>
      <c r="T193" s="720" t="str">
        <f>商办车库!H206</f>
        <v>车位</v>
      </c>
    </row>
    <row r="194" spans="1:20">
      <c r="A194" s="2408" t="str">
        <f>商办车库!E207</f>
        <v>B2078</v>
      </c>
      <c r="B194" s="2408">
        <f>商办车库!F207</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-2</v>
      </c>
      <c r="Q194" s="21">
        <f t="shared" si="34"/>
        <v>0.95</v>
      </c>
      <c r="R194" s="659">
        <f t="shared" ca="1" si="35"/>
        <v>4429</v>
      </c>
      <c r="S194" s="316">
        <f t="shared" ca="1" si="26"/>
        <v>20</v>
      </c>
      <c r="T194" s="720" t="str">
        <f>商办车库!H207</f>
        <v>车位</v>
      </c>
    </row>
    <row r="195" spans="1:20">
      <c r="A195" s="2408" t="str">
        <f>商办车库!E208</f>
        <v>B2079</v>
      </c>
      <c r="B195" s="2408">
        <f>商办车库!F208</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-2</v>
      </c>
      <c r="Q195" s="21">
        <f t="shared" si="34"/>
        <v>0.95</v>
      </c>
      <c r="R195" s="659">
        <f t="shared" ca="1" si="35"/>
        <v>4429</v>
      </c>
      <c r="S195" s="316">
        <f t="shared" ca="1" si="26"/>
        <v>20</v>
      </c>
      <c r="T195" s="720" t="str">
        <f>商办车库!H208</f>
        <v>车位</v>
      </c>
    </row>
    <row r="196" spans="1:20">
      <c r="A196" s="2408" t="str">
        <f>商办车库!E209</f>
        <v>B2080</v>
      </c>
      <c r="B196" s="2408">
        <f>商办车库!F209</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-2</v>
      </c>
      <c r="Q196" s="21">
        <f t="shared" si="34"/>
        <v>0.95</v>
      </c>
      <c r="R196" s="659">
        <f t="shared" ca="1" si="35"/>
        <v>4429</v>
      </c>
      <c r="S196" s="316">
        <f t="shared" ca="1" si="26"/>
        <v>20</v>
      </c>
      <c r="T196" s="720" t="str">
        <f>商办车库!H209</f>
        <v>车位</v>
      </c>
    </row>
    <row r="197" spans="1:20">
      <c r="A197" s="2408" t="str">
        <f>商办车库!E210</f>
        <v>B2081</v>
      </c>
      <c r="B197" s="2408">
        <f>商办车库!F210</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-2</v>
      </c>
      <c r="Q197" s="21">
        <f t="shared" si="34"/>
        <v>0.95</v>
      </c>
      <c r="R197" s="659">
        <f t="shared" ca="1" si="35"/>
        <v>4429</v>
      </c>
      <c r="S197" s="316">
        <f t="shared" ca="1" si="26"/>
        <v>20</v>
      </c>
      <c r="T197" s="720" t="str">
        <f>商办车库!H210</f>
        <v>车位</v>
      </c>
    </row>
    <row r="198" spans="1:20">
      <c r="A198" s="2408" t="str">
        <f>商办车库!E211</f>
        <v>B2082</v>
      </c>
      <c r="B198" s="2408">
        <f>商办车库!F211</f>
        <v>44.95</v>
      </c>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v>-2</v>
      </c>
      <c r="Q198" s="21">
        <f t="shared" si="34"/>
        <v>0.95</v>
      </c>
      <c r="R198" s="659">
        <f t="shared" ca="1" si="35"/>
        <v>4429</v>
      </c>
      <c r="S198" s="316">
        <f t="shared" ca="1" si="26"/>
        <v>20</v>
      </c>
      <c r="T198" s="720" t="str">
        <f>商办车库!H211</f>
        <v>车位</v>
      </c>
    </row>
    <row r="199" spans="1:20">
      <c r="A199" s="2408" t="str">
        <f>商办车库!E212</f>
        <v>B2083</v>
      </c>
      <c r="B199" s="2408">
        <f>商办车库!F212</f>
        <v>73.14</v>
      </c>
      <c r="C199" s="21">
        <f t="shared" si="27"/>
        <v>1.01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v>-2</v>
      </c>
      <c r="Q199" s="21">
        <f t="shared" si="34"/>
        <v>0.95</v>
      </c>
      <c r="R199" s="659">
        <f t="shared" ca="1" si="35"/>
        <v>4473</v>
      </c>
      <c r="S199" s="316">
        <f t="shared" ca="1" si="26"/>
        <v>33</v>
      </c>
      <c r="T199" s="720" t="str">
        <f>商办车库!H212</f>
        <v>车位</v>
      </c>
    </row>
    <row r="200" spans="1:20">
      <c r="A200" s="2408" t="str">
        <f>商办车库!E213</f>
        <v>B2084</v>
      </c>
      <c r="B200" s="2408">
        <f>商办车库!F213</f>
        <v>44.95</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-2</v>
      </c>
      <c r="Q200" s="21">
        <f t="shared" si="34"/>
        <v>0.95</v>
      </c>
      <c r="R200" s="659">
        <f t="shared" ca="1" si="35"/>
        <v>4429</v>
      </c>
      <c r="S200" s="316">
        <f t="shared" ca="1" si="26"/>
        <v>20</v>
      </c>
      <c r="T200" s="720" t="str">
        <f>商办车库!H213</f>
        <v>车位</v>
      </c>
    </row>
    <row r="201" spans="1:20">
      <c r="A201" s="2408" t="str">
        <f>商办车库!E214</f>
        <v>B2085</v>
      </c>
      <c r="B201" s="2408">
        <f>商办车库!F214</f>
        <v>44.95</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-2</v>
      </c>
      <c r="Q201" s="21">
        <f t="shared" si="34"/>
        <v>0.95</v>
      </c>
      <c r="R201" s="659">
        <f t="shared" ca="1" si="35"/>
        <v>4429</v>
      </c>
      <c r="S201" s="316">
        <f t="shared" ca="1" si="26"/>
        <v>20</v>
      </c>
      <c r="T201" s="720" t="str">
        <f>商办车库!H214</f>
        <v>车位</v>
      </c>
    </row>
    <row r="202" spans="1:20">
      <c r="A202" s="2408" t="str">
        <f>商办车库!E215</f>
        <v>B2086</v>
      </c>
      <c r="B202" s="2408">
        <f>商办车库!F215</f>
        <v>44.95</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-2</v>
      </c>
      <c r="Q202" s="21">
        <f t="shared" si="34"/>
        <v>0.95</v>
      </c>
      <c r="R202" s="659">
        <f t="shared" ca="1" si="35"/>
        <v>4429</v>
      </c>
      <c r="S202" s="316">
        <f t="shared" ca="1" si="26"/>
        <v>20</v>
      </c>
      <c r="T202" s="720" t="str">
        <f>商办车库!H215</f>
        <v>车位</v>
      </c>
    </row>
    <row r="203" spans="1:20">
      <c r="A203" s="2408" t="str">
        <f>商办车库!E216</f>
        <v>B2087</v>
      </c>
      <c r="B203" s="2408">
        <f>商办车库!F216</f>
        <v>44.95</v>
      </c>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-2</v>
      </c>
      <c r="Q203" s="21">
        <f t="shared" si="34"/>
        <v>0.95</v>
      </c>
      <c r="R203" s="659">
        <f t="shared" ca="1" si="35"/>
        <v>4429</v>
      </c>
      <c r="S203" s="316">
        <f t="shared" ca="1" si="26"/>
        <v>20</v>
      </c>
      <c r="T203" s="720" t="str">
        <f>商办车库!H216</f>
        <v>车位</v>
      </c>
    </row>
    <row r="204" spans="1:20">
      <c r="A204" s="2408" t="str">
        <f>商办车库!E217</f>
        <v>B2088、B2089</v>
      </c>
      <c r="B204" s="2408">
        <f>商办车库!F217</f>
        <v>89.9</v>
      </c>
      <c r="C204" s="3438">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-2</v>
      </c>
      <c r="Q204" s="21">
        <f t="shared" si="34"/>
        <v>0.95</v>
      </c>
      <c r="R204" s="659">
        <f t="shared" ca="1" si="35"/>
        <v>4429</v>
      </c>
      <c r="S204" s="316">
        <f t="shared" ca="1" si="26"/>
        <v>40</v>
      </c>
      <c r="T204" s="720" t="str">
        <f>商办车库!H217</f>
        <v>车位</v>
      </c>
    </row>
    <row r="205" spans="1:20">
      <c r="A205" s="2408" t="str">
        <f>商办车库!E218</f>
        <v>B2090、B2091</v>
      </c>
      <c r="B205" s="2408">
        <f>商办车库!F218</f>
        <v>89.9</v>
      </c>
      <c r="C205" s="3438">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-2</v>
      </c>
      <c r="Q205" s="21">
        <f t="shared" si="34"/>
        <v>0.95</v>
      </c>
      <c r="R205" s="659">
        <f t="shared" ca="1" si="35"/>
        <v>4429</v>
      </c>
      <c r="S205" s="316">
        <f t="shared" ca="1" si="26"/>
        <v>40</v>
      </c>
      <c r="T205" s="720" t="str">
        <f>商办车库!H218</f>
        <v>车位</v>
      </c>
    </row>
    <row r="206" spans="1:20">
      <c r="A206" s="2408" t="str">
        <f>商办车库!E219</f>
        <v>B2092、B2093</v>
      </c>
      <c r="B206" s="2408">
        <f>商办车库!F219</f>
        <v>89.9</v>
      </c>
      <c r="C206" s="3438">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-2</v>
      </c>
      <c r="Q206" s="21">
        <f t="shared" si="34"/>
        <v>0.95</v>
      </c>
      <c r="R206" s="659">
        <f t="shared" ca="1" si="35"/>
        <v>4429</v>
      </c>
      <c r="S206" s="316">
        <f t="shared" ca="1" si="26"/>
        <v>40</v>
      </c>
      <c r="T206" s="720" t="str">
        <f>商办车库!H219</f>
        <v>车位</v>
      </c>
    </row>
    <row r="207" spans="1:20">
      <c r="A207" s="2408" t="str">
        <f>商办车库!E220</f>
        <v>B2094</v>
      </c>
      <c r="B207" s="2408">
        <f>商办车库!F220</f>
        <v>49.03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-2</v>
      </c>
      <c r="Q207" s="21">
        <f t="shared" si="34"/>
        <v>0.95</v>
      </c>
      <c r="R207" s="659">
        <f t="shared" ca="1" si="35"/>
        <v>4429</v>
      </c>
      <c r="S207" s="316">
        <f t="shared" ca="1" si="26"/>
        <v>22</v>
      </c>
      <c r="T207" s="720" t="str">
        <f>商办车库!H220</f>
        <v>车位</v>
      </c>
    </row>
    <row r="208" spans="1:20">
      <c r="A208" s="2408" t="str">
        <f>商办车库!E221</f>
        <v>B2095、B2096</v>
      </c>
      <c r="B208" s="2408">
        <f>商办车库!F221</f>
        <v>89.9</v>
      </c>
      <c r="C208" s="3438">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-2</v>
      </c>
      <c r="Q208" s="21">
        <f t="shared" si="34"/>
        <v>0.95</v>
      </c>
      <c r="R208" s="659">
        <f t="shared" ca="1" si="35"/>
        <v>4429</v>
      </c>
      <c r="S208" s="316">
        <f t="shared" ca="1" si="26"/>
        <v>40</v>
      </c>
      <c r="T208" s="720" t="str">
        <f>商办车库!H221</f>
        <v>车位</v>
      </c>
    </row>
    <row r="209" spans="1:21">
      <c r="A209" s="2408" t="str">
        <f>商办车库!E222</f>
        <v>B2097、B2098</v>
      </c>
      <c r="B209" s="2408">
        <f>商办车库!F222</f>
        <v>89.9</v>
      </c>
      <c r="C209" s="3438">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-2</v>
      </c>
      <c r="Q209" s="21">
        <f t="shared" si="34"/>
        <v>0.95</v>
      </c>
      <c r="R209" s="659">
        <f t="shared" ca="1" si="35"/>
        <v>4429</v>
      </c>
      <c r="S209" s="316">
        <f t="shared" ca="1" si="26"/>
        <v>40</v>
      </c>
      <c r="T209" s="720" t="str">
        <f>商办车库!H222</f>
        <v>车位</v>
      </c>
    </row>
    <row r="210" spans="1:21">
      <c r="A210" s="2408" t="str">
        <f>商办车库!E223</f>
        <v>B2099、B2100</v>
      </c>
      <c r="B210" s="2408">
        <f>商办车库!F223</f>
        <v>89.9</v>
      </c>
      <c r="C210" s="3438">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-2</v>
      </c>
      <c r="Q210" s="21">
        <f t="shared" si="34"/>
        <v>0.95</v>
      </c>
      <c r="R210" s="659">
        <f t="shared" ca="1" si="35"/>
        <v>4429</v>
      </c>
      <c r="S210" s="316">
        <f t="shared" ca="1" si="26"/>
        <v>40</v>
      </c>
      <c r="T210" s="720" t="str">
        <f>商办车库!H223</f>
        <v>车位</v>
      </c>
    </row>
    <row r="211" spans="1:21">
      <c r="A211" s="2408" t="str">
        <f>商办车库!E224</f>
        <v>B2101、B2102</v>
      </c>
      <c r="B211" s="2408">
        <f>商办车库!F224</f>
        <v>89.9</v>
      </c>
      <c r="C211" s="3438">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-2</v>
      </c>
      <c r="Q211" s="21">
        <f t="shared" si="34"/>
        <v>0.95</v>
      </c>
      <c r="R211" s="659">
        <f t="shared" ca="1" si="35"/>
        <v>4429</v>
      </c>
      <c r="S211" s="316">
        <f t="shared" ca="1" si="26"/>
        <v>40</v>
      </c>
      <c r="T211" s="720" t="str">
        <f>商办车库!H224</f>
        <v>车位</v>
      </c>
    </row>
    <row r="212" spans="1:21">
      <c r="A212" s="2408"/>
      <c r="B212" s="2408"/>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v>
      </c>
      <c r="R212" s="659">
        <f t="shared" si="35"/>
        <v>0</v>
      </c>
      <c r="S212" s="316">
        <f t="shared" si="26"/>
        <v>0</v>
      </c>
      <c r="T212" s="720" t="str">
        <f>商办车库!H225</f>
        <v>地下商业</v>
      </c>
    </row>
    <row r="213" spans="1:21">
      <c r="A213" s="2408"/>
      <c r="B213" s="2408"/>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v>
      </c>
      <c r="R213" s="659">
        <f t="shared" si="35"/>
        <v>0</v>
      </c>
      <c r="S213" s="316">
        <f t="shared" si="26"/>
        <v>0</v>
      </c>
      <c r="T213" s="720" t="str">
        <f>商办车库!H226</f>
        <v>地下商业</v>
      </c>
    </row>
    <row r="214" spans="1:21">
      <c r="A214" s="2408"/>
      <c r="B214" s="2408"/>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v>
      </c>
      <c r="R214" s="659">
        <f t="shared" si="35"/>
        <v>0</v>
      </c>
      <c r="S214" s="316">
        <f t="shared" si="26"/>
        <v>0</v>
      </c>
      <c r="T214" s="720" t="str">
        <f>商办车库!H227</f>
        <v>地下商业</v>
      </c>
    </row>
    <row r="215" spans="1:21">
      <c r="A215" s="2408"/>
      <c r="B215" s="2408"/>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v>
      </c>
      <c r="R215" s="659">
        <f t="shared" si="35"/>
        <v>0</v>
      </c>
      <c r="S215" s="316">
        <f t="shared" si="26"/>
        <v>0</v>
      </c>
      <c r="T215" s="720" t="str">
        <f>商办车库!H228</f>
        <v>地下商业</v>
      </c>
    </row>
    <row r="216" spans="1:21">
      <c r="A216" s="2408"/>
      <c r="B216" s="2408"/>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v>
      </c>
      <c r="R216" s="659">
        <f t="shared" si="35"/>
        <v>0</v>
      </c>
      <c r="S216" s="316">
        <f t="shared" ref="S216:S279" si="36">ROUND(R216*B216/10000,0)</f>
        <v>0</v>
      </c>
      <c r="T216" s="720" t="str">
        <f>商办车库!H229</f>
        <v>地下商业</v>
      </c>
    </row>
    <row r="217" spans="1:21">
      <c r="A217" s="2408"/>
      <c r="B217" s="2408"/>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v>
      </c>
      <c r="R217" s="659">
        <f t="shared" si="35"/>
        <v>0</v>
      </c>
      <c r="S217" s="316">
        <f t="shared" si="36"/>
        <v>0</v>
      </c>
      <c r="T217" s="720" t="str">
        <f>商办车库!H230</f>
        <v>地下商业</v>
      </c>
    </row>
    <row r="218" spans="1:21">
      <c r="A218" s="3476" t="str">
        <f>商办车库!E231</f>
        <v>B101</v>
      </c>
      <c r="B218" s="3476"/>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v>
      </c>
      <c r="R218" s="659">
        <f t="shared" ref="R218:R281" si="45">IF(B218="",0,ROUND($R$24*C218*E218*G218*I218*K218*M218*O218*Q218,0))</f>
        <v>0</v>
      </c>
      <c r="S218" s="316">
        <f t="shared" si="36"/>
        <v>0</v>
      </c>
      <c r="T218" s="720" t="str">
        <f>商办车库!H231</f>
        <v>车位</v>
      </c>
      <c r="U218" s="3538" t="s">
        <v>4332</v>
      </c>
    </row>
    <row r="219" spans="1:21">
      <c r="A219" s="2408" t="str">
        <f>商办车库!E232</f>
        <v>B102</v>
      </c>
      <c r="B219" s="2408">
        <f>商办车库!F232</f>
        <v>44.95</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4662</v>
      </c>
      <c r="S219" s="316">
        <f t="shared" ca="1" si="36"/>
        <v>21</v>
      </c>
      <c r="T219" s="720" t="str">
        <f>商办车库!H232</f>
        <v>车位</v>
      </c>
    </row>
    <row r="220" spans="1:21">
      <c r="A220" s="2408" t="str">
        <f>商办车库!E233</f>
        <v>B103</v>
      </c>
      <c r="B220" s="2408">
        <f>商办车库!F233</f>
        <v>44.95</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4662</v>
      </c>
      <c r="S220" s="316">
        <f t="shared" ca="1" si="36"/>
        <v>21</v>
      </c>
      <c r="T220" s="720" t="str">
        <f>商办车库!H233</f>
        <v>车位</v>
      </c>
    </row>
    <row r="221" spans="1:21">
      <c r="A221" s="2408" t="str">
        <f>商办车库!E234</f>
        <v>B104</v>
      </c>
      <c r="B221" s="2408">
        <f>商办车库!F234</f>
        <v>44.95</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4662</v>
      </c>
      <c r="S221" s="316">
        <f t="shared" ca="1" si="36"/>
        <v>21</v>
      </c>
      <c r="T221" s="720" t="str">
        <f>商办车库!H234</f>
        <v>车位</v>
      </c>
    </row>
    <row r="222" spans="1:21">
      <c r="A222" s="2408" t="str">
        <f>商办车库!E235</f>
        <v>B105</v>
      </c>
      <c r="B222" s="2408">
        <f>商办车库!F235</f>
        <v>44.95</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4662</v>
      </c>
      <c r="S222" s="316">
        <f t="shared" ca="1" si="36"/>
        <v>21</v>
      </c>
      <c r="T222" s="720" t="str">
        <f>商办车库!H235</f>
        <v>车位</v>
      </c>
    </row>
    <row r="223" spans="1:21">
      <c r="A223" s="2408" t="str">
        <f>商办车库!E236</f>
        <v>B106</v>
      </c>
      <c r="B223" s="2408">
        <f>商办车库!F236</f>
        <v>44.95</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4662</v>
      </c>
      <c r="S223" s="316">
        <f t="shared" ca="1" si="36"/>
        <v>21</v>
      </c>
      <c r="T223" s="720" t="str">
        <f>商办车库!H236</f>
        <v>车位</v>
      </c>
    </row>
    <row r="224" spans="1:21">
      <c r="A224" s="2408" t="str">
        <f>商办车库!E237</f>
        <v>B107</v>
      </c>
      <c r="B224" s="2408">
        <f>商办车库!F237</f>
        <v>44.95</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4662</v>
      </c>
      <c r="S224" s="316">
        <f t="shared" ca="1" si="36"/>
        <v>21</v>
      </c>
      <c r="T224" s="720" t="str">
        <f>商办车库!H237</f>
        <v>车位</v>
      </c>
    </row>
    <row r="225" spans="1:20">
      <c r="A225" s="2408" t="str">
        <f>商办车库!E238</f>
        <v>B108</v>
      </c>
      <c r="B225" s="2408">
        <f>商办车库!F238</f>
        <v>44.95</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4662</v>
      </c>
      <c r="S225" s="316">
        <f t="shared" ca="1" si="36"/>
        <v>21</v>
      </c>
      <c r="T225" s="720" t="str">
        <f>商办车库!H238</f>
        <v>车位</v>
      </c>
    </row>
    <row r="226" spans="1:20">
      <c r="A226" s="2408" t="str">
        <f>商办车库!E239</f>
        <v>B109</v>
      </c>
      <c r="B226" s="2408">
        <f>商办车库!F239</f>
        <v>44.95</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4662</v>
      </c>
      <c r="S226" s="316">
        <f t="shared" ca="1" si="36"/>
        <v>21</v>
      </c>
      <c r="T226" s="720" t="str">
        <f>商办车库!H239</f>
        <v>车位</v>
      </c>
    </row>
    <row r="227" spans="1:20">
      <c r="A227" s="2408" t="str">
        <f>商办车库!E240</f>
        <v>B110</v>
      </c>
      <c r="B227" s="2408">
        <f>商办车库!F240</f>
        <v>44.95</v>
      </c>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4662</v>
      </c>
      <c r="S227" s="316">
        <f t="shared" ca="1" si="36"/>
        <v>21</v>
      </c>
      <c r="T227" s="720" t="str">
        <f>商办车库!H240</f>
        <v>车位</v>
      </c>
    </row>
    <row r="228" spans="1:20">
      <c r="A228" s="2408" t="str">
        <f>商办车库!E241</f>
        <v>B111</v>
      </c>
      <c r="B228" s="2408">
        <f>商办车库!F241</f>
        <v>44.95</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4662</v>
      </c>
      <c r="S228" s="316">
        <f t="shared" ca="1" si="36"/>
        <v>21</v>
      </c>
      <c r="T228" s="720" t="str">
        <f>商办车库!H241</f>
        <v>车位</v>
      </c>
    </row>
    <row r="229" spans="1:20">
      <c r="A229" s="2408" t="str">
        <f>商办车库!E242</f>
        <v>B112</v>
      </c>
      <c r="B229" s="2408">
        <f>商办车库!F242</f>
        <v>67.42</v>
      </c>
      <c r="C229" s="21">
        <f t="shared" si="37"/>
        <v>1.01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4709</v>
      </c>
      <c r="S229" s="316">
        <f t="shared" ca="1" si="36"/>
        <v>32</v>
      </c>
      <c r="T229" s="720" t="str">
        <f>商办车库!H242</f>
        <v>车位</v>
      </c>
    </row>
    <row r="230" spans="1:20">
      <c r="A230" s="2408" t="str">
        <f>商办车库!E243</f>
        <v>B113</v>
      </c>
      <c r="B230" s="2408">
        <f>商办车库!F243</f>
        <v>49.03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4662</v>
      </c>
      <c r="S230" s="316">
        <f t="shared" ca="1" si="36"/>
        <v>23</v>
      </c>
      <c r="T230" s="720" t="str">
        <f>商办车库!H243</f>
        <v>车位</v>
      </c>
    </row>
    <row r="231" spans="1:20">
      <c r="A231" s="2408" t="str">
        <f>商办车库!E244</f>
        <v>B114</v>
      </c>
      <c r="B231" s="2408">
        <f>商办车库!F244</f>
        <v>49</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4662</v>
      </c>
      <c r="S231" s="316">
        <f t="shared" ca="1" si="36"/>
        <v>23</v>
      </c>
      <c r="T231" s="720" t="str">
        <f>商办车库!H244</f>
        <v>车位</v>
      </c>
    </row>
    <row r="232" spans="1:20">
      <c r="A232" s="2408" t="str">
        <f>商办车库!E245</f>
        <v>B115</v>
      </c>
      <c r="B232" s="2408">
        <f>商办车库!F245</f>
        <v>49.03</v>
      </c>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4662</v>
      </c>
      <c r="S232" s="316">
        <f t="shared" ca="1" si="36"/>
        <v>23</v>
      </c>
      <c r="T232" s="720" t="str">
        <f>商办车库!H245</f>
        <v>车位</v>
      </c>
    </row>
    <row r="233" spans="1:20">
      <c r="A233" s="2408" t="str">
        <f>商办车库!E246</f>
        <v>B117</v>
      </c>
      <c r="B233" s="2408">
        <f>商办车库!F246</f>
        <v>44.95</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4662</v>
      </c>
      <c r="S233" s="316">
        <f t="shared" ca="1" si="36"/>
        <v>21</v>
      </c>
      <c r="T233" s="720" t="str">
        <f>商办车库!H246</f>
        <v>车位</v>
      </c>
    </row>
    <row r="234" spans="1:20">
      <c r="A234" s="2408" t="str">
        <f>商办车库!E247</f>
        <v>B118</v>
      </c>
      <c r="B234" s="2408">
        <f>商办车库!F247</f>
        <v>44.95</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4662</v>
      </c>
      <c r="S234" s="316">
        <f t="shared" ca="1" si="36"/>
        <v>21</v>
      </c>
      <c r="T234" s="720" t="str">
        <f>商办车库!H247</f>
        <v>车位</v>
      </c>
    </row>
    <row r="235" spans="1:20">
      <c r="A235" s="2408" t="str">
        <f>商办车库!E248</f>
        <v>B119</v>
      </c>
      <c r="B235" s="2408">
        <f>商办车库!F248</f>
        <v>44.95</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4662</v>
      </c>
      <c r="S235" s="316">
        <f t="shared" ca="1" si="36"/>
        <v>21</v>
      </c>
      <c r="T235" s="720" t="str">
        <f>商办车库!H248</f>
        <v>车位</v>
      </c>
    </row>
    <row r="236" spans="1:20">
      <c r="A236" s="2408" t="str">
        <f>商办车库!E249</f>
        <v>B120</v>
      </c>
      <c r="B236" s="2408">
        <f>商办车库!F249</f>
        <v>44.95</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4662</v>
      </c>
      <c r="S236" s="316">
        <f t="shared" ca="1" si="36"/>
        <v>21</v>
      </c>
      <c r="T236" s="720" t="str">
        <f>商办车库!H249</f>
        <v>车位</v>
      </c>
    </row>
    <row r="237" spans="1:20">
      <c r="A237" s="2408" t="str">
        <f>商办车库!E250</f>
        <v>B121</v>
      </c>
      <c r="B237" s="2408">
        <f>商办车库!F250</f>
        <v>44.95</v>
      </c>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4662</v>
      </c>
      <c r="S237" s="316">
        <f t="shared" ca="1" si="36"/>
        <v>21</v>
      </c>
      <c r="T237" s="720" t="str">
        <f>商办车库!H250</f>
        <v>车位</v>
      </c>
    </row>
    <row r="238" spans="1:20">
      <c r="A238" s="2408" t="str">
        <f>商办车库!E251</f>
        <v>B122</v>
      </c>
      <c r="B238" s="2408">
        <f>商办车库!F251</f>
        <v>44.95</v>
      </c>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4662</v>
      </c>
      <c r="S238" s="316">
        <f t="shared" ca="1" si="36"/>
        <v>21</v>
      </c>
      <c r="T238" s="720" t="str">
        <f>商办车库!H251</f>
        <v>车位</v>
      </c>
    </row>
    <row r="239" spans="1:20">
      <c r="A239" s="2408" t="str">
        <f>商办车库!E252</f>
        <v>B123</v>
      </c>
      <c r="B239" s="2408">
        <f>商办车库!F252</f>
        <v>44.95</v>
      </c>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4662</v>
      </c>
      <c r="S239" s="316">
        <f t="shared" ca="1" si="36"/>
        <v>21</v>
      </c>
      <c r="T239" s="720" t="str">
        <f>商办车库!H252</f>
        <v>车位</v>
      </c>
    </row>
    <row r="240" spans="1:20">
      <c r="A240" s="2408" t="str">
        <f>商办车库!E253</f>
        <v>B124</v>
      </c>
      <c r="B240" s="2408">
        <f>商办车库!F253</f>
        <v>44.95</v>
      </c>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4662</v>
      </c>
      <c r="S240" s="316">
        <f t="shared" ca="1" si="36"/>
        <v>21</v>
      </c>
      <c r="T240" s="720" t="str">
        <f>商办车库!H253</f>
        <v>车位</v>
      </c>
    </row>
    <row r="241" spans="1:20">
      <c r="A241" s="2408" t="str">
        <f>商办车库!E254</f>
        <v>B125</v>
      </c>
      <c r="B241" s="2408">
        <f>商办车库!F254</f>
        <v>44.95</v>
      </c>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4662</v>
      </c>
      <c r="S241" s="316">
        <f t="shared" ca="1" si="36"/>
        <v>21</v>
      </c>
      <c r="T241" s="720" t="str">
        <f>商办车库!H254</f>
        <v>车位</v>
      </c>
    </row>
    <row r="242" spans="1:20">
      <c r="A242" s="2408" t="str">
        <f>商办车库!E255</f>
        <v>B126</v>
      </c>
      <c r="B242" s="2408">
        <f>商办车库!F255</f>
        <v>44.95</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4662</v>
      </c>
      <c r="S242" s="316">
        <f t="shared" ca="1" si="36"/>
        <v>21</v>
      </c>
      <c r="T242" s="720" t="str">
        <f>商办车库!H255</f>
        <v>车位</v>
      </c>
    </row>
    <row r="243" spans="1:20">
      <c r="A243" s="2408" t="str">
        <f>商办车库!E256</f>
        <v>B127</v>
      </c>
      <c r="B243" s="2408">
        <f>商办车库!F256</f>
        <v>44.95</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4662</v>
      </c>
      <c r="S243" s="316">
        <f t="shared" ca="1" si="36"/>
        <v>21</v>
      </c>
      <c r="T243" s="720" t="str">
        <f>商办车库!H256</f>
        <v>车位</v>
      </c>
    </row>
    <row r="244" spans="1:20">
      <c r="A244" s="2408" t="str">
        <f>商办车库!E257</f>
        <v>B128</v>
      </c>
      <c r="B244" s="2408">
        <f>商办车库!F257</f>
        <v>44.95</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4662</v>
      </c>
      <c r="S244" s="316">
        <f t="shared" ca="1" si="36"/>
        <v>21</v>
      </c>
      <c r="T244" s="720" t="str">
        <f>商办车库!H257</f>
        <v>车位</v>
      </c>
    </row>
    <row r="245" spans="1:20">
      <c r="A245" s="2408" t="str">
        <f>商办车库!E258</f>
        <v>B129</v>
      </c>
      <c r="B245" s="2408">
        <f>商办车库!F258</f>
        <v>44.95</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4662</v>
      </c>
      <c r="S245" s="316">
        <f t="shared" ca="1" si="36"/>
        <v>21</v>
      </c>
      <c r="T245" s="720" t="str">
        <f>商办车库!H258</f>
        <v>车位</v>
      </c>
    </row>
    <row r="246" spans="1:20">
      <c r="A246" s="2408" t="str">
        <f>商办车库!E259</f>
        <v>B130</v>
      </c>
      <c r="B246" s="2408">
        <f>商办车库!F259</f>
        <v>44.95</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4662</v>
      </c>
      <c r="S246" s="316">
        <f t="shared" ca="1" si="36"/>
        <v>21</v>
      </c>
      <c r="T246" s="720" t="str">
        <f>商办车库!H259</f>
        <v>车位</v>
      </c>
    </row>
    <row r="247" spans="1:20">
      <c r="A247" s="2408" t="str">
        <f>商办车库!E260</f>
        <v>B131</v>
      </c>
      <c r="B247" s="2408">
        <f>商办车库!F260</f>
        <v>44.95</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4662</v>
      </c>
      <c r="S247" s="316">
        <f t="shared" ca="1" si="36"/>
        <v>21</v>
      </c>
      <c r="T247" s="720" t="str">
        <f>商办车库!H260</f>
        <v>车位</v>
      </c>
    </row>
    <row r="248" spans="1:20">
      <c r="A248" s="2408" t="str">
        <f>商办车库!E261</f>
        <v>B132</v>
      </c>
      <c r="B248" s="2408">
        <f>商办车库!F261</f>
        <v>44.95</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4662</v>
      </c>
      <c r="S248" s="316">
        <f t="shared" ca="1" si="36"/>
        <v>21</v>
      </c>
      <c r="T248" s="720" t="str">
        <f>商办车库!H261</f>
        <v>车位</v>
      </c>
    </row>
    <row r="249" spans="1:20">
      <c r="A249" s="2408" t="str">
        <f>商办车库!E262</f>
        <v>B133</v>
      </c>
      <c r="B249" s="2408">
        <f>商办车库!F262</f>
        <v>44.95</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4662</v>
      </c>
      <c r="S249" s="316">
        <f t="shared" ca="1" si="36"/>
        <v>21</v>
      </c>
      <c r="T249" s="720" t="str">
        <f>商办车库!H262</f>
        <v>车位</v>
      </c>
    </row>
    <row r="250" spans="1:20">
      <c r="A250" s="2408" t="str">
        <f>商办车库!E263</f>
        <v>B134</v>
      </c>
      <c r="B250" s="2408">
        <f>商办车库!F263</f>
        <v>44.95</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4662</v>
      </c>
      <c r="S250" s="316">
        <f t="shared" ca="1" si="36"/>
        <v>21</v>
      </c>
      <c r="T250" s="720" t="str">
        <f>商办车库!H263</f>
        <v>车位</v>
      </c>
    </row>
    <row r="251" spans="1:20">
      <c r="A251" s="2408" t="str">
        <f>商办车库!E264</f>
        <v>B135</v>
      </c>
      <c r="B251" s="2408">
        <f>商办车库!F264</f>
        <v>44.95</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4662</v>
      </c>
      <c r="S251" s="316">
        <f t="shared" ca="1" si="36"/>
        <v>21</v>
      </c>
      <c r="T251" s="720" t="str">
        <f>商办车库!H264</f>
        <v>车位</v>
      </c>
    </row>
    <row r="252" spans="1:20">
      <c r="A252" s="2408" t="str">
        <f>商办车库!E265</f>
        <v>B136</v>
      </c>
      <c r="B252" s="2408">
        <f>商办车库!F265</f>
        <v>44.95</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4662</v>
      </c>
      <c r="S252" s="316">
        <f t="shared" ca="1" si="36"/>
        <v>21</v>
      </c>
      <c r="T252" s="720" t="str">
        <f>商办车库!H265</f>
        <v>车位</v>
      </c>
    </row>
    <row r="253" spans="1:20">
      <c r="A253" s="2408" t="str">
        <f>商办车库!E266</f>
        <v>B137</v>
      </c>
      <c r="B253" s="2408">
        <f>商办车库!F266</f>
        <v>44.95</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4662</v>
      </c>
      <c r="S253" s="316">
        <f t="shared" ca="1" si="36"/>
        <v>21</v>
      </c>
      <c r="T253" s="720" t="str">
        <f>商办车库!H266</f>
        <v>车位</v>
      </c>
    </row>
    <row r="254" spans="1:20">
      <c r="A254" s="2408" t="str">
        <f>商办车库!E267</f>
        <v>B138</v>
      </c>
      <c r="B254" s="2408">
        <f>商办车库!F267</f>
        <v>44.95</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4662</v>
      </c>
      <c r="S254" s="316">
        <f t="shared" ca="1" si="36"/>
        <v>21</v>
      </c>
      <c r="T254" s="720" t="str">
        <f>商办车库!H267</f>
        <v>车位</v>
      </c>
    </row>
    <row r="255" spans="1:20">
      <c r="A255" s="2408" t="str">
        <f>商办车库!E268</f>
        <v>B139</v>
      </c>
      <c r="B255" s="2408">
        <f>商办车库!F268</f>
        <v>44.95</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4662</v>
      </c>
      <c r="S255" s="316">
        <f t="shared" ca="1" si="36"/>
        <v>21</v>
      </c>
      <c r="T255" s="720" t="str">
        <f>商办车库!H268</f>
        <v>车位</v>
      </c>
    </row>
    <row r="256" spans="1:20">
      <c r="A256" s="2408" t="str">
        <f>商办车库!E269</f>
        <v>B140</v>
      </c>
      <c r="B256" s="2408">
        <f>商办车库!F269</f>
        <v>44.95</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4662</v>
      </c>
      <c r="S256" s="316">
        <f t="shared" ca="1" si="36"/>
        <v>21</v>
      </c>
      <c r="T256" s="720" t="str">
        <f>商办车库!H269</f>
        <v>车位</v>
      </c>
    </row>
    <row r="257" spans="1:20">
      <c r="A257" s="2408" t="str">
        <f>商办车库!E270</f>
        <v>B141</v>
      </c>
      <c r="B257" s="2408">
        <f>商办车库!F270</f>
        <v>44.95</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4662</v>
      </c>
      <c r="S257" s="316">
        <f t="shared" ca="1" si="36"/>
        <v>21</v>
      </c>
      <c r="T257" s="720" t="str">
        <f>商办车库!H270</f>
        <v>车位</v>
      </c>
    </row>
    <row r="258" spans="1:20">
      <c r="A258" s="2408" t="str">
        <f>商办车库!E271</f>
        <v>B142</v>
      </c>
      <c r="B258" s="2408">
        <f>商办车库!F271</f>
        <v>44.95</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4662</v>
      </c>
      <c r="S258" s="316">
        <f t="shared" ca="1" si="36"/>
        <v>21</v>
      </c>
      <c r="T258" s="720" t="str">
        <f>商办车库!H271</f>
        <v>车位</v>
      </c>
    </row>
    <row r="259" spans="1:20">
      <c r="A259" s="2408" t="str">
        <f>商办车库!E272</f>
        <v>B143</v>
      </c>
      <c r="B259" s="2408">
        <f>商办车库!F272</f>
        <v>67.42</v>
      </c>
      <c r="C259" s="21">
        <f t="shared" si="37"/>
        <v>1.01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4709</v>
      </c>
      <c r="S259" s="316">
        <f t="shared" ca="1" si="36"/>
        <v>32</v>
      </c>
      <c r="T259" s="720" t="str">
        <f>商办车库!H272</f>
        <v>车位</v>
      </c>
    </row>
    <row r="260" spans="1:20">
      <c r="A260" s="2408" t="str">
        <f>商办车库!E273</f>
        <v>B144</v>
      </c>
      <c r="B260" s="2408">
        <f>商办车库!F273</f>
        <v>44.95</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4662</v>
      </c>
      <c r="S260" s="316">
        <f t="shared" ca="1" si="36"/>
        <v>21</v>
      </c>
      <c r="T260" s="720" t="str">
        <f>商办车库!H273</f>
        <v>车位</v>
      </c>
    </row>
    <row r="261" spans="1:20">
      <c r="A261" s="2408" t="str">
        <f>商办车库!E274</f>
        <v>B145</v>
      </c>
      <c r="B261" s="2408">
        <f>商办车库!F274</f>
        <v>44.95</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4662</v>
      </c>
      <c r="S261" s="316">
        <f t="shared" ca="1" si="36"/>
        <v>21</v>
      </c>
      <c r="T261" s="720" t="str">
        <f>商办车库!H274</f>
        <v>车位</v>
      </c>
    </row>
    <row r="262" spans="1:20">
      <c r="A262" s="2408" t="str">
        <f>商办车库!E275</f>
        <v>B146</v>
      </c>
      <c r="B262" s="2408">
        <f>商办车库!F275</f>
        <v>67.42</v>
      </c>
      <c r="C262" s="21">
        <f t="shared" si="37"/>
        <v>1.01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4709</v>
      </c>
      <c r="S262" s="316">
        <f t="shared" ca="1" si="36"/>
        <v>32</v>
      </c>
      <c r="T262" s="720" t="str">
        <f>商办车库!H275</f>
        <v>车位</v>
      </c>
    </row>
    <row r="263" spans="1:20">
      <c r="A263" s="2408" t="str">
        <f>商办车库!E276</f>
        <v>B147</v>
      </c>
      <c r="B263" s="2408">
        <f>商办车库!F276</f>
        <v>44.95</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4662</v>
      </c>
      <c r="S263" s="316">
        <f t="shared" ca="1" si="36"/>
        <v>21</v>
      </c>
      <c r="T263" s="720" t="str">
        <f>商办车库!H276</f>
        <v>车位</v>
      </c>
    </row>
    <row r="264" spans="1:20">
      <c r="A264" s="2408" t="str">
        <f>商办车库!E277</f>
        <v>B148</v>
      </c>
      <c r="B264" s="2408">
        <f>商办车库!F277</f>
        <v>67.42</v>
      </c>
      <c r="C264" s="21">
        <f t="shared" si="37"/>
        <v>1.01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4709</v>
      </c>
      <c r="S264" s="316">
        <f t="shared" ca="1" si="36"/>
        <v>32</v>
      </c>
      <c r="T264" s="720" t="str">
        <f>商办车库!H277</f>
        <v>车位</v>
      </c>
    </row>
    <row r="265" spans="1:20">
      <c r="A265" s="2408" t="str">
        <f>商办车库!E278</f>
        <v>B149</v>
      </c>
      <c r="B265" s="2408">
        <f>商办车库!F278</f>
        <v>44.95</v>
      </c>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4662</v>
      </c>
      <c r="S265" s="316">
        <f t="shared" ca="1" si="36"/>
        <v>21</v>
      </c>
      <c r="T265" s="720" t="str">
        <f>商办车库!H278</f>
        <v>车位</v>
      </c>
    </row>
    <row r="266" spans="1:20">
      <c r="A266" s="2408" t="str">
        <f>商办车库!E279</f>
        <v>B150</v>
      </c>
      <c r="B266" s="2408">
        <f>商办车库!F279</f>
        <v>44.95</v>
      </c>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4662</v>
      </c>
      <c r="S266" s="316">
        <f t="shared" ca="1" si="36"/>
        <v>21</v>
      </c>
      <c r="T266" s="720" t="str">
        <f>商办车库!H279</f>
        <v>车位</v>
      </c>
    </row>
    <row r="267" spans="1:20">
      <c r="A267" s="2408" t="str">
        <f>商办车库!E280</f>
        <v>B151</v>
      </c>
      <c r="B267" s="2408">
        <f>商办车库!F280</f>
        <v>44.95</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4662</v>
      </c>
      <c r="S267" s="316">
        <f t="shared" ca="1" si="36"/>
        <v>21</v>
      </c>
      <c r="T267" s="720" t="str">
        <f>商办车库!H280</f>
        <v>车位</v>
      </c>
    </row>
    <row r="268" spans="1:20">
      <c r="A268" s="2408" t="str">
        <f>商办车库!E281</f>
        <v>B152</v>
      </c>
      <c r="B268" s="2408">
        <f>商办车库!F281</f>
        <v>44.95</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4662</v>
      </c>
      <c r="S268" s="316">
        <f t="shared" ca="1" si="36"/>
        <v>21</v>
      </c>
      <c r="T268" s="720" t="str">
        <f>商办车库!H281</f>
        <v>车位</v>
      </c>
    </row>
    <row r="269" spans="1:20" s="3547" customFormat="1">
      <c r="A269" s="3541" t="s">
        <v>4333</v>
      </c>
      <c r="B269" s="3542"/>
      <c r="C269" s="3543">
        <f t="shared" si="37"/>
        <v>1</v>
      </c>
      <c r="D269" s="3544"/>
      <c r="E269" s="3543">
        <f t="shared" si="38"/>
        <v>1</v>
      </c>
      <c r="F269" s="3544"/>
      <c r="G269" s="3543">
        <f t="shared" si="39"/>
        <v>1</v>
      </c>
      <c r="H269" s="3544"/>
      <c r="I269" s="3543">
        <f t="shared" si="40"/>
        <v>1</v>
      </c>
      <c r="J269" s="3544"/>
      <c r="K269" s="3543">
        <f t="shared" si="41"/>
        <v>1</v>
      </c>
      <c r="L269" s="3544"/>
      <c r="M269" s="3543">
        <f t="shared" si="42"/>
        <v>1</v>
      </c>
      <c r="N269" s="3544"/>
      <c r="O269" s="3543">
        <f t="shared" si="43"/>
        <v>1</v>
      </c>
      <c r="P269" s="3544"/>
      <c r="Q269" s="3543">
        <f t="shared" si="44"/>
        <v>0</v>
      </c>
      <c r="R269" s="3545">
        <f t="shared" si="45"/>
        <v>0</v>
      </c>
      <c r="S269" s="3546">
        <f t="shared" si="36"/>
        <v>0</v>
      </c>
    </row>
    <row r="270" spans="1:20">
      <c r="A270" s="3539" t="str">
        <f>商办车库!E379</f>
        <v>B1001</v>
      </c>
      <c r="B270" s="54">
        <f>商办车库!F379</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4662</v>
      </c>
      <c r="S270" s="316">
        <f t="shared" ca="1" si="36"/>
        <v>19</v>
      </c>
      <c r="T270" s="720" t="str">
        <f>商办车库!H379</f>
        <v>车位</v>
      </c>
    </row>
    <row r="271" spans="1:20">
      <c r="A271" s="3539" t="str">
        <f>商办车库!E380</f>
        <v>B1002</v>
      </c>
      <c r="B271" s="54">
        <f>商办车库!F380</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4662</v>
      </c>
      <c r="S271" s="316">
        <f t="shared" ca="1" si="36"/>
        <v>19</v>
      </c>
      <c r="T271" s="720" t="str">
        <f>商办车库!H380</f>
        <v>车位</v>
      </c>
    </row>
    <row r="272" spans="1:20">
      <c r="A272" s="3539" t="str">
        <f>商办车库!E381</f>
        <v>B1003</v>
      </c>
      <c r="B272" s="54">
        <f>商办车库!F381</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4662</v>
      </c>
      <c r="S272" s="316">
        <f t="shared" ca="1" si="36"/>
        <v>19</v>
      </c>
      <c r="T272" s="720" t="str">
        <f>商办车库!H381</f>
        <v>车位</v>
      </c>
    </row>
    <row r="273" spans="1:20">
      <c r="A273" s="3539" t="str">
        <f>商办车库!E382</f>
        <v>B1004</v>
      </c>
      <c r="B273" s="54">
        <f>商办车库!F382</f>
        <v>68.27</v>
      </c>
      <c r="C273" s="21">
        <f t="shared" si="37"/>
        <v>1.01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4709</v>
      </c>
      <c r="S273" s="316">
        <f t="shared" ca="1" si="36"/>
        <v>32</v>
      </c>
      <c r="T273" s="720" t="str">
        <f>商办车库!H382</f>
        <v>车位</v>
      </c>
    </row>
    <row r="274" spans="1:20">
      <c r="A274" s="3539" t="str">
        <f>商办车库!E383</f>
        <v>B1005</v>
      </c>
      <c r="B274" s="54">
        <f>商办车库!F383</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4662</v>
      </c>
      <c r="S274" s="316">
        <f t="shared" ca="1" si="36"/>
        <v>19</v>
      </c>
      <c r="T274" s="720" t="str">
        <f>商办车库!H383</f>
        <v>车位</v>
      </c>
    </row>
    <row r="275" spans="1:20">
      <c r="A275" s="3539" t="str">
        <f>商办车库!E384</f>
        <v>B1006</v>
      </c>
      <c r="B275" s="54">
        <f>商办车库!F384</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4662</v>
      </c>
      <c r="S275" s="316">
        <f t="shared" ca="1" si="36"/>
        <v>19</v>
      </c>
      <c r="T275" s="720" t="str">
        <f>商办车库!H384</f>
        <v>车位</v>
      </c>
    </row>
    <row r="276" spans="1:20">
      <c r="A276" s="3539" t="str">
        <f>商办车库!E385</f>
        <v>B1007</v>
      </c>
      <c r="B276" s="54">
        <f>商办车库!F385</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4662</v>
      </c>
      <c r="S276" s="316">
        <f t="shared" ca="1" si="36"/>
        <v>19</v>
      </c>
      <c r="T276" s="720" t="str">
        <f>商办车库!H385</f>
        <v>车位</v>
      </c>
    </row>
    <row r="277" spans="1:20">
      <c r="A277" s="3539" t="str">
        <f>商办车库!E386</f>
        <v>B1008</v>
      </c>
      <c r="B277" s="54">
        <f>商办车库!F386</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4662</v>
      </c>
      <c r="S277" s="316">
        <f t="shared" ca="1" si="36"/>
        <v>19</v>
      </c>
      <c r="T277" s="720" t="str">
        <f>商办车库!H386</f>
        <v>车位</v>
      </c>
    </row>
    <row r="278" spans="1:20">
      <c r="A278" s="3539" t="str">
        <f>商办车库!E387</f>
        <v>B1009</v>
      </c>
      <c r="B278" s="54">
        <f>商办车库!F387</f>
        <v>40.43</v>
      </c>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4662</v>
      </c>
      <c r="S278" s="316">
        <f t="shared" ca="1" si="36"/>
        <v>19</v>
      </c>
      <c r="T278" s="720" t="str">
        <f>商办车库!H387</f>
        <v>车位</v>
      </c>
    </row>
    <row r="279" spans="1:20">
      <c r="A279" s="3539" t="str">
        <f>商办车库!E388</f>
        <v>B1010</v>
      </c>
      <c r="B279" s="54">
        <f>商办车库!F388</f>
        <v>40.43</v>
      </c>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4662</v>
      </c>
      <c r="S279" s="316">
        <f t="shared" ca="1" si="36"/>
        <v>19</v>
      </c>
      <c r="T279" s="720" t="str">
        <f>商办车库!H388</f>
        <v>车位</v>
      </c>
    </row>
    <row r="280" spans="1:20">
      <c r="A280" s="3539" t="str">
        <f>商办车库!E389</f>
        <v>B1011</v>
      </c>
      <c r="B280" s="54">
        <f>商办车库!F389</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4662</v>
      </c>
      <c r="S280" s="316">
        <f t="shared" ref="S280:S343" ca="1" si="46">ROUND(R280*B280/10000,0)</f>
        <v>19</v>
      </c>
      <c r="T280" s="720" t="str">
        <f>商办车库!H389</f>
        <v>车位</v>
      </c>
    </row>
    <row r="281" spans="1:20">
      <c r="A281" s="3539" t="str">
        <f>商办车库!E390</f>
        <v>B1012</v>
      </c>
      <c r="B281" s="54">
        <f>商办车库!F390</f>
        <v>40.43</v>
      </c>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4662</v>
      </c>
      <c r="S281" s="316">
        <f t="shared" ca="1" si="46"/>
        <v>19</v>
      </c>
      <c r="T281" s="720" t="str">
        <f>商办车库!H390</f>
        <v>车位</v>
      </c>
    </row>
    <row r="282" spans="1:20">
      <c r="A282" s="3539" t="str">
        <f>商办车库!E391</f>
        <v>B1013</v>
      </c>
      <c r="B282" s="54">
        <f>商办车库!F391</f>
        <v>40.43</v>
      </c>
      <c r="C282" s="21">
        <f t="shared" ref="C282:C306"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v>-1</v>
      </c>
      <c r="Q282" s="21">
        <f t="shared" ref="Q282:Q345" si="54">(SUMIF($17:$17,P282,$18:$18)-SUMIF($17:$17,$P$24,$18:$18)+100)/100</f>
        <v>1</v>
      </c>
      <c r="R282" s="659">
        <f t="shared" ref="R282:R345" ca="1" si="55">IF(B282="",0,ROUND($R$24*C282*E282*G282*I282*K282*M282*O282*Q282,0))</f>
        <v>4662</v>
      </c>
      <c r="S282" s="316">
        <f t="shared" ca="1" si="46"/>
        <v>19</v>
      </c>
      <c r="T282" s="720" t="str">
        <f>商办车库!H391</f>
        <v>车位</v>
      </c>
    </row>
    <row r="283" spans="1:20">
      <c r="A283" s="3539" t="str">
        <f>商办车库!E392</f>
        <v>B1014</v>
      </c>
      <c r="B283" s="54">
        <f>商办车库!F392</f>
        <v>40.43</v>
      </c>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v>-1</v>
      </c>
      <c r="Q283" s="21">
        <f t="shared" si="54"/>
        <v>1</v>
      </c>
      <c r="R283" s="659">
        <f t="shared" ca="1" si="55"/>
        <v>4662</v>
      </c>
      <c r="S283" s="316">
        <f t="shared" ca="1" si="46"/>
        <v>19</v>
      </c>
      <c r="T283" s="720" t="str">
        <f>商办车库!H392</f>
        <v>车位</v>
      </c>
    </row>
    <row r="284" spans="1:20">
      <c r="A284" s="3539" t="str">
        <f>商办车库!E393</f>
        <v>B1015</v>
      </c>
      <c r="B284" s="54">
        <f>商办车库!F393</f>
        <v>40.43</v>
      </c>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v>-1</v>
      </c>
      <c r="Q284" s="21">
        <f t="shared" si="54"/>
        <v>1</v>
      </c>
      <c r="R284" s="659">
        <f t="shared" ca="1" si="55"/>
        <v>4662</v>
      </c>
      <c r="S284" s="316">
        <f t="shared" ca="1" si="46"/>
        <v>19</v>
      </c>
      <c r="T284" s="720" t="str">
        <f>商办车库!H393</f>
        <v>车位</v>
      </c>
    </row>
    <row r="285" spans="1:20">
      <c r="A285" s="3539" t="str">
        <f>商办车库!E394</f>
        <v>B1016</v>
      </c>
      <c r="B285" s="54">
        <f>商办车库!F394</f>
        <v>40.43</v>
      </c>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v>-1</v>
      </c>
      <c r="Q285" s="21">
        <f t="shared" si="54"/>
        <v>1</v>
      </c>
      <c r="R285" s="659">
        <f t="shared" ca="1" si="55"/>
        <v>4662</v>
      </c>
      <c r="S285" s="316">
        <f t="shared" ca="1" si="46"/>
        <v>19</v>
      </c>
      <c r="T285" s="720" t="str">
        <f>商办车库!H394</f>
        <v>车位</v>
      </c>
    </row>
    <row r="286" spans="1:20">
      <c r="A286" s="3539" t="str">
        <f>商办车库!E395</f>
        <v>B1017</v>
      </c>
      <c r="B286" s="54">
        <f>商办车库!F395</f>
        <v>40.43</v>
      </c>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v>-1</v>
      </c>
      <c r="Q286" s="21">
        <f t="shared" si="54"/>
        <v>1</v>
      </c>
      <c r="R286" s="659">
        <f t="shared" ca="1" si="55"/>
        <v>4662</v>
      </c>
      <c r="S286" s="316">
        <f t="shared" ca="1" si="46"/>
        <v>19</v>
      </c>
      <c r="T286" s="720" t="str">
        <f>商办车库!H395</f>
        <v>车位</v>
      </c>
    </row>
    <row r="287" spans="1:20">
      <c r="A287" s="3539" t="str">
        <f>商办车库!E396</f>
        <v>B1018</v>
      </c>
      <c r="B287" s="54">
        <f>商办车库!F396</f>
        <v>40.43</v>
      </c>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v>-1</v>
      </c>
      <c r="Q287" s="21">
        <f t="shared" si="54"/>
        <v>1</v>
      </c>
      <c r="R287" s="659">
        <f t="shared" ca="1" si="55"/>
        <v>4662</v>
      </c>
      <c r="S287" s="316">
        <f t="shared" ca="1" si="46"/>
        <v>19</v>
      </c>
      <c r="T287" s="720" t="str">
        <f>商办车库!H396</f>
        <v>车位</v>
      </c>
    </row>
    <row r="288" spans="1:20">
      <c r="A288" s="3539" t="str">
        <f>商办车库!E397</f>
        <v>B1019</v>
      </c>
      <c r="B288" s="54">
        <f>商办车库!F397</f>
        <v>40.43</v>
      </c>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v>-1</v>
      </c>
      <c r="Q288" s="21">
        <f t="shared" si="54"/>
        <v>1</v>
      </c>
      <c r="R288" s="659">
        <f t="shared" ca="1" si="55"/>
        <v>4662</v>
      </c>
      <c r="S288" s="316">
        <f t="shared" ca="1" si="46"/>
        <v>19</v>
      </c>
      <c r="T288" s="720" t="str">
        <f>商办车库!H397</f>
        <v>车位</v>
      </c>
    </row>
    <row r="289" spans="1:20">
      <c r="A289" s="3539" t="str">
        <f>商办车库!E398</f>
        <v>B1020</v>
      </c>
      <c r="B289" s="54">
        <f>商办车库!F398</f>
        <v>40.43</v>
      </c>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v>-1</v>
      </c>
      <c r="Q289" s="21">
        <f t="shared" si="54"/>
        <v>1</v>
      </c>
      <c r="R289" s="659">
        <f t="shared" ca="1" si="55"/>
        <v>4662</v>
      </c>
      <c r="S289" s="316">
        <f t="shared" ca="1" si="46"/>
        <v>19</v>
      </c>
      <c r="T289" s="720" t="str">
        <f>商办车库!H398</f>
        <v>车位</v>
      </c>
    </row>
    <row r="290" spans="1:20">
      <c r="A290" s="3539" t="str">
        <f>商办车库!E399</f>
        <v>B1021</v>
      </c>
      <c r="B290" s="54">
        <f>商办车库!F399</f>
        <v>40.43</v>
      </c>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v>-1</v>
      </c>
      <c r="Q290" s="21">
        <f t="shared" si="54"/>
        <v>1</v>
      </c>
      <c r="R290" s="659">
        <f t="shared" ca="1" si="55"/>
        <v>4662</v>
      </c>
      <c r="S290" s="316">
        <f t="shared" ca="1" si="46"/>
        <v>19</v>
      </c>
      <c r="T290" s="720" t="str">
        <f>商办车库!H399</f>
        <v>车位</v>
      </c>
    </row>
    <row r="291" spans="1:20">
      <c r="A291" s="3539" t="str">
        <f>商办车库!E400</f>
        <v>B1022</v>
      </c>
      <c r="B291" s="54">
        <f>商办车库!F400</f>
        <v>40.43</v>
      </c>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v>-1</v>
      </c>
      <c r="Q291" s="21">
        <f t="shared" si="54"/>
        <v>1</v>
      </c>
      <c r="R291" s="659">
        <f t="shared" ca="1" si="55"/>
        <v>4662</v>
      </c>
      <c r="S291" s="316">
        <f t="shared" ca="1" si="46"/>
        <v>19</v>
      </c>
      <c r="T291" s="720" t="str">
        <f>商办车库!H400</f>
        <v>车位</v>
      </c>
    </row>
    <row r="292" spans="1:20">
      <c r="A292" s="3539" t="str">
        <f>商办车库!E401</f>
        <v>B1023</v>
      </c>
      <c r="B292" s="54">
        <f>商办车库!F401</f>
        <v>40.43</v>
      </c>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v>-1</v>
      </c>
      <c r="Q292" s="21">
        <f t="shared" si="54"/>
        <v>1</v>
      </c>
      <c r="R292" s="659">
        <f t="shared" ca="1" si="55"/>
        <v>4662</v>
      </c>
      <c r="S292" s="316">
        <f t="shared" ca="1" si="46"/>
        <v>19</v>
      </c>
      <c r="T292" s="720" t="str">
        <f>商办车库!H401</f>
        <v>车位</v>
      </c>
    </row>
    <row r="293" spans="1:20">
      <c r="A293" s="3539" t="str">
        <f>商办车库!E402</f>
        <v>B1024</v>
      </c>
      <c r="B293" s="54">
        <f>商办车库!F402</f>
        <v>40.43</v>
      </c>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v>-1</v>
      </c>
      <c r="Q293" s="21">
        <f t="shared" si="54"/>
        <v>1</v>
      </c>
      <c r="R293" s="659">
        <f t="shared" ca="1" si="55"/>
        <v>4662</v>
      </c>
      <c r="S293" s="316">
        <f t="shared" ca="1" si="46"/>
        <v>19</v>
      </c>
      <c r="T293" s="720" t="str">
        <f>商办车库!H402</f>
        <v>车位</v>
      </c>
    </row>
    <row r="294" spans="1:20">
      <c r="A294" s="3539" t="str">
        <f>商办车库!E403</f>
        <v>B1025</v>
      </c>
      <c r="B294" s="54">
        <f>商办车库!F403</f>
        <v>40.43</v>
      </c>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v>-1</v>
      </c>
      <c r="Q294" s="21">
        <f t="shared" si="54"/>
        <v>1</v>
      </c>
      <c r="R294" s="659">
        <f t="shared" ca="1" si="55"/>
        <v>4662</v>
      </c>
      <c r="S294" s="316">
        <f t="shared" ca="1" si="46"/>
        <v>19</v>
      </c>
      <c r="T294" s="720" t="str">
        <f>商办车库!H403</f>
        <v>车位</v>
      </c>
    </row>
    <row r="295" spans="1:20">
      <c r="A295" s="3539" t="str">
        <f>商办车库!E404</f>
        <v>B1026</v>
      </c>
      <c r="B295" s="54">
        <f>商办车库!F404</f>
        <v>40.43</v>
      </c>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v>-1</v>
      </c>
      <c r="Q295" s="21">
        <f t="shared" si="54"/>
        <v>1</v>
      </c>
      <c r="R295" s="659">
        <f t="shared" ca="1" si="55"/>
        <v>4662</v>
      </c>
      <c r="S295" s="316">
        <f t="shared" ca="1" si="46"/>
        <v>19</v>
      </c>
      <c r="T295" s="720" t="str">
        <f>商办车库!H404</f>
        <v>车位</v>
      </c>
    </row>
    <row r="296" spans="1:20">
      <c r="A296" s="3539" t="str">
        <f>商办车库!E405</f>
        <v>B1027</v>
      </c>
      <c r="B296" s="54">
        <f>商办车库!F405</f>
        <v>40.43</v>
      </c>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v>-1</v>
      </c>
      <c r="Q296" s="21">
        <f t="shared" si="54"/>
        <v>1</v>
      </c>
      <c r="R296" s="659">
        <f t="shared" ca="1" si="55"/>
        <v>4662</v>
      </c>
      <c r="S296" s="316">
        <f t="shared" ca="1" si="46"/>
        <v>19</v>
      </c>
      <c r="T296" s="720" t="str">
        <f>商办车库!H405</f>
        <v>车位</v>
      </c>
    </row>
    <row r="297" spans="1:20">
      <c r="A297" s="3539" t="str">
        <f>商办车库!E406</f>
        <v>B1028、B1029</v>
      </c>
      <c r="B297" s="54">
        <f>商办车库!F406</f>
        <v>80.86</v>
      </c>
      <c r="C297" s="3438">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v>-1</v>
      </c>
      <c r="Q297" s="21">
        <f t="shared" si="54"/>
        <v>1</v>
      </c>
      <c r="R297" s="659">
        <f t="shared" ca="1" si="55"/>
        <v>4662</v>
      </c>
      <c r="S297" s="316">
        <f t="shared" ca="1" si="46"/>
        <v>38</v>
      </c>
      <c r="T297" s="720" t="str">
        <f>商办车库!H406</f>
        <v>车位</v>
      </c>
    </row>
    <row r="298" spans="1:20">
      <c r="A298" s="3539" t="str">
        <f>商办车库!E407</f>
        <v>B1030</v>
      </c>
      <c r="B298" s="54">
        <f>商办车库!F407</f>
        <v>40.43</v>
      </c>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v>-1</v>
      </c>
      <c r="Q298" s="21">
        <f t="shared" si="54"/>
        <v>1</v>
      </c>
      <c r="R298" s="659">
        <f t="shared" ca="1" si="55"/>
        <v>4662</v>
      </c>
      <c r="S298" s="316">
        <f t="shared" ca="1" si="46"/>
        <v>19</v>
      </c>
      <c r="T298" s="720" t="str">
        <f>商办车库!H407</f>
        <v>车位</v>
      </c>
    </row>
    <row r="299" spans="1:20">
      <c r="A299" s="3539" t="str">
        <f>商办车库!E408</f>
        <v>B1031</v>
      </c>
      <c r="B299" s="54">
        <f>商办车库!F408</f>
        <v>40.43</v>
      </c>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v>-1</v>
      </c>
      <c r="Q299" s="21">
        <f t="shared" si="54"/>
        <v>1</v>
      </c>
      <c r="R299" s="659">
        <f t="shared" ca="1" si="55"/>
        <v>4662</v>
      </c>
      <c r="S299" s="316">
        <f t="shared" ca="1" si="46"/>
        <v>19</v>
      </c>
      <c r="T299" s="720" t="str">
        <f>商办车库!H408</f>
        <v>车位</v>
      </c>
    </row>
    <row r="300" spans="1:20">
      <c r="A300" s="3539" t="str">
        <f>商办车库!E409</f>
        <v>B1032</v>
      </c>
      <c r="B300" s="54">
        <f>商办车库!F409</f>
        <v>40.43</v>
      </c>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v>-1</v>
      </c>
      <c r="Q300" s="21">
        <f t="shared" si="54"/>
        <v>1</v>
      </c>
      <c r="R300" s="659">
        <f t="shared" ca="1" si="55"/>
        <v>4662</v>
      </c>
      <c r="S300" s="316">
        <f t="shared" ca="1" si="46"/>
        <v>19</v>
      </c>
      <c r="T300" s="720" t="str">
        <f>商办车库!H409</f>
        <v>车位</v>
      </c>
    </row>
    <row r="301" spans="1:20">
      <c r="A301" s="3539" t="str">
        <f>商办车库!E410</f>
        <v>B1033</v>
      </c>
      <c r="B301" s="54">
        <f>商办车库!F410</f>
        <v>40.43</v>
      </c>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v>-1</v>
      </c>
      <c r="Q301" s="21">
        <f t="shared" si="54"/>
        <v>1</v>
      </c>
      <c r="R301" s="659">
        <f t="shared" ca="1" si="55"/>
        <v>4662</v>
      </c>
      <c r="S301" s="316">
        <f t="shared" ca="1" si="46"/>
        <v>19</v>
      </c>
      <c r="T301" s="720" t="str">
        <f>商办车库!H410</f>
        <v>车位</v>
      </c>
    </row>
    <row r="302" spans="1:20">
      <c r="A302" s="3539" t="str">
        <f>商办车库!E411</f>
        <v>B1034</v>
      </c>
      <c r="B302" s="54">
        <f>商办车库!F411</f>
        <v>68.27</v>
      </c>
      <c r="C302" s="21">
        <f t="shared" si="47"/>
        <v>1.01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v>-1</v>
      </c>
      <c r="Q302" s="21">
        <f t="shared" si="54"/>
        <v>1</v>
      </c>
      <c r="R302" s="659">
        <f t="shared" ca="1" si="55"/>
        <v>4709</v>
      </c>
      <c r="S302" s="316">
        <f t="shared" ca="1" si="46"/>
        <v>32</v>
      </c>
      <c r="T302" s="720" t="str">
        <f>商办车库!H411</f>
        <v>车位</v>
      </c>
    </row>
    <row r="303" spans="1:20">
      <c r="A303" s="3539" t="str">
        <f>商办车库!E412</f>
        <v>B1035</v>
      </c>
      <c r="B303" s="54">
        <f>商办车库!F412</f>
        <v>40.43</v>
      </c>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v>-1</v>
      </c>
      <c r="Q303" s="21">
        <f t="shared" si="54"/>
        <v>1</v>
      </c>
      <c r="R303" s="659">
        <f t="shared" ca="1" si="55"/>
        <v>4662</v>
      </c>
      <c r="S303" s="316">
        <f t="shared" ca="1" si="46"/>
        <v>19</v>
      </c>
      <c r="T303" s="720" t="str">
        <f>商办车库!H412</f>
        <v>车位</v>
      </c>
    </row>
    <row r="304" spans="1:20">
      <c r="A304" s="3539" t="str">
        <f>商办车库!E413</f>
        <v>B1036</v>
      </c>
      <c r="B304" s="54">
        <f>商办车库!F413</f>
        <v>40.43</v>
      </c>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v>-1</v>
      </c>
      <c r="Q304" s="21">
        <f t="shared" si="54"/>
        <v>1</v>
      </c>
      <c r="R304" s="659">
        <f t="shared" ca="1" si="55"/>
        <v>4662</v>
      </c>
      <c r="S304" s="316">
        <f t="shared" ca="1" si="46"/>
        <v>19</v>
      </c>
      <c r="T304" s="720" t="str">
        <f>商办车库!H413</f>
        <v>车位</v>
      </c>
    </row>
    <row r="305" spans="1:20">
      <c r="A305" s="3539" t="str">
        <f>商办车库!E414</f>
        <v>B1037</v>
      </c>
      <c r="B305" s="54">
        <f>商办车库!F414</f>
        <v>40.43</v>
      </c>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v>-1</v>
      </c>
      <c r="Q305" s="21">
        <f t="shared" si="54"/>
        <v>1</v>
      </c>
      <c r="R305" s="659">
        <f t="shared" ca="1" si="55"/>
        <v>4662</v>
      </c>
      <c r="S305" s="316">
        <f t="shared" ca="1" si="46"/>
        <v>19</v>
      </c>
      <c r="T305" s="720" t="str">
        <f>商办车库!H414</f>
        <v>车位</v>
      </c>
    </row>
    <row r="306" spans="1:20">
      <c r="A306" s="3539" t="str">
        <f>商办车库!E415</f>
        <v>B1038</v>
      </c>
      <c r="B306" s="54">
        <f>商办车库!F415</f>
        <v>40.43</v>
      </c>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v>-1</v>
      </c>
      <c r="Q306" s="21">
        <f t="shared" si="54"/>
        <v>1</v>
      </c>
      <c r="R306" s="659">
        <f t="shared" ca="1" si="55"/>
        <v>4662</v>
      </c>
      <c r="S306" s="316">
        <f t="shared" ca="1" si="46"/>
        <v>19</v>
      </c>
      <c r="T306" s="720" t="str">
        <f>商办车库!H415</f>
        <v>车位</v>
      </c>
    </row>
    <row r="307" spans="1:20">
      <c r="A307" s="3539" t="str">
        <f>商办车库!E416</f>
        <v>B1039、B1040</v>
      </c>
      <c r="B307" s="54">
        <f>商办车库!F416</f>
        <v>80.86</v>
      </c>
      <c r="C307" s="3438">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v>-1</v>
      </c>
      <c r="Q307" s="21">
        <f t="shared" si="54"/>
        <v>1</v>
      </c>
      <c r="R307" s="659">
        <f t="shared" ca="1" si="55"/>
        <v>4662</v>
      </c>
      <c r="S307" s="316">
        <f t="shared" ca="1" si="46"/>
        <v>38</v>
      </c>
      <c r="T307" s="720" t="str">
        <f>商办车库!H416</f>
        <v>车位</v>
      </c>
    </row>
    <row r="308" spans="1:20">
      <c r="A308" s="3539" t="str">
        <f>商办车库!E417</f>
        <v>B1041、B1042</v>
      </c>
      <c r="B308" s="54">
        <f>商办车库!F417</f>
        <v>80.86</v>
      </c>
      <c r="C308" s="3438">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v>-1</v>
      </c>
      <c r="Q308" s="21">
        <f t="shared" si="54"/>
        <v>1</v>
      </c>
      <c r="R308" s="659">
        <f t="shared" ca="1" si="55"/>
        <v>4662</v>
      </c>
      <c r="S308" s="316">
        <f t="shared" ca="1" si="46"/>
        <v>38</v>
      </c>
      <c r="T308" s="720" t="str">
        <f>商办车库!H417</f>
        <v>车位</v>
      </c>
    </row>
    <row r="309" spans="1:20">
      <c r="A309" s="3539" t="str">
        <f>商办车库!E418</f>
        <v>B1043、B1044</v>
      </c>
      <c r="B309" s="54">
        <f>商办车库!F418</f>
        <v>80.86</v>
      </c>
      <c r="C309" s="3438">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v>-1</v>
      </c>
      <c r="Q309" s="21">
        <f t="shared" si="54"/>
        <v>1</v>
      </c>
      <c r="R309" s="659">
        <f t="shared" ca="1" si="55"/>
        <v>4662</v>
      </c>
      <c r="S309" s="316">
        <f t="shared" ca="1" si="46"/>
        <v>38</v>
      </c>
      <c r="T309" s="720" t="str">
        <f>商办车库!H418</f>
        <v>车位</v>
      </c>
    </row>
    <row r="310" spans="1:20">
      <c r="A310" s="3539" t="str">
        <f>商办车库!E419</f>
        <v>B1045、B1046</v>
      </c>
      <c r="B310" s="54">
        <f>商办车库!F419</f>
        <v>80.86</v>
      </c>
      <c r="C310" s="3438">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v>-1</v>
      </c>
      <c r="Q310" s="21">
        <f t="shared" si="54"/>
        <v>1</v>
      </c>
      <c r="R310" s="659">
        <f t="shared" ca="1" si="55"/>
        <v>4662</v>
      </c>
      <c r="S310" s="316">
        <f t="shared" ca="1" si="46"/>
        <v>38</v>
      </c>
      <c r="T310" s="720" t="str">
        <f>商办车库!H419</f>
        <v>车位</v>
      </c>
    </row>
    <row r="311" spans="1:20">
      <c r="A311" s="3539" t="str">
        <f>商办车库!E420</f>
        <v>B1047、B1048</v>
      </c>
      <c r="B311" s="54">
        <f>商办车库!F420</f>
        <v>80.86</v>
      </c>
      <c r="C311" s="3438">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v>-1</v>
      </c>
      <c r="Q311" s="21">
        <f t="shared" si="54"/>
        <v>1</v>
      </c>
      <c r="R311" s="659">
        <f t="shared" ca="1" si="55"/>
        <v>4662</v>
      </c>
      <c r="S311" s="316">
        <f t="shared" ca="1" si="46"/>
        <v>38</v>
      </c>
      <c r="T311" s="720" t="str">
        <f>商办车库!H420</f>
        <v>车位</v>
      </c>
    </row>
    <row r="312" spans="1:20">
      <c r="A312" s="3539" t="str">
        <f>商办车库!E421</f>
        <v>B1049</v>
      </c>
      <c r="B312" s="54">
        <f>商办车库!F421</f>
        <v>40.43</v>
      </c>
      <c r="C312" s="21">
        <f t="shared" ref="C312:C345" si="56">IF(B312="",1,(LOOKUP(B312,$3:$3,$4:$4)-LOOKUP($B$24,$3:$3,$4:$4)+100)/100)</f>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v>-1</v>
      </c>
      <c r="Q312" s="21">
        <f t="shared" si="54"/>
        <v>1</v>
      </c>
      <c r="R312" s="659">
        <f t="shared" ca="1" si="55"/>
        <v>4662</v>
      </c>
      <c r="S312" s="316">
        <f t="shared" ca="1" si="46"/>
        <v>19</v>
      </c>
      <c r="T312" s="720" t="str">
        <f>商办车库!H421</f>
        <v>车位</v>
      </c>
    </row>
    <row r="313" spans="1:20">
      <c r="A313" s="3539" t="str">
        <f>商办车库!E422</f>
        <v>B1050</v>
      </c>
      <c r="B313" s="54">
        <f>商办车库!F422</f>
        <v>40.43</v>
      </c>
      <c r="C313" s="21">
        <f t="shared" si="56"/>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v>-1</v>
      </c>
      <c r="Q313" s="21">
        <f t="shared" si="54"/>
        <v>1</v>
      </c>
      <c r="R313" s="659">
        <f t="shared" ca="1" si="55"/>
        <v>4662</v>
      </c>
      <c r="S313" s="316">
        <f t="shared" ca="1" si="46"/>
        <v>19</v>
      </c>
      <c r="T313" s="720" t="str">
        <f>商办车库!H422</f>
        <v>车位</v>
      </c>
    </row>
    <row r="314" spans="1:20">
      <c r="A314" s="3539" t="str">
        <f>商办车库!E423</f>
        <v>B1051</v>
      </c>
      <c r="B314" s="54">
        <f>商办车库!F423</f>
        <v>40.43</v>
      </c>
      <c r="C314" s="21">
        <f t="shared" si="56"/>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v>-1</v>
      </c>
      <c r="Q314" s="21">
        <f t="shared" si="54"/>
        <v>1</v>
      </c>
      <c r="R314" s="659">
        <f t="shared" ca="1" si="55"/>
        <v>4662</v>
      </c>
      <c r="S314" s="316">
        <f t="shared" ca="1" si="46"/>
        <v>19</v>
      </c>
      <c r="T314" s="720" t="str">
        <f>商办车库!H423</f>
        <v>车位</v>
      </c>
    </row>
    <row r="315" spans="1:20">
      <c r="A315" s="3539" t="str">
        <f>商办车库!E424</f>
        <v>B1052</v>
      </c>
      <c r="B315" s="54">
        <f>商办车库!F424</f>
        <v>40.43</v>
      </c>
      <c r="C315" s="21">
        <f t="shared" si="56"/>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v>-1</v>
      </c>
      <c r="Q315" s="21">
        <f t="shared" si="54"/>
        <v>1</v>
      </c>
      <c r="R315" s="659">
        <f t="shared" ca="1" si="55"/>
        <v>4662</v>
      </c>
      <c r="S315" s="316">
        <f t="shared" ca="1" si="46"/>
        <v>19</v>
      </c>
      <c r="T315" s="720" t="str">
        <f>商办车库!H424</f>
        <v>车位</v>
      </c>
    </row>
    <row r="316" spans="1:20">
      <c r="A316" s="3539" t="str">
        <f>商办车库!E425</f>
        <v>B1053</v>
      </c>
      <c r="B316" s="54">
        <f>商办车库!F425</f>
        <v>40.43</v>
      </c>
      <c r="C316" s="21">
        <f t="shared" si="56"/>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v>-1</v>
      </c>
      <c r="Q316" s="21">
        <f t="shared" si="54"/>
        <v>1</v>
      </c>
      <c r="R316" s="659">
        <f t="shared" ca="1" si="55"/>
        <v>4662</v>
      </c>
      <c r="S316" s="316">
        <f t="shared" ca="1" si="46"/>
        <v>19</v>
      </c>
      <c r="T316" s="720" t="str">
        <f>商办车库!H425</f>
        <v>车位</v>
      </c>
    </row>
    <row r="317" spans="1:20">
      <c r="A317" s="3539" t="str">
        <f>商办车库!E426</f>
        <v>B1054</v>
      </c>
      <c r="B317" s="54">
        <f>商办车库!F426</f>
        <v>40.43</v>
      </c>
      <c r="C317" s="21">
        <f t="shared" si="56"/>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v>-1</v>
      </c>
      <c r="Q317" s="21">
        <f t="shared" si="54"/>
        <v>1</v>
      </c>
      <c r="R317" s="659">
        <f t="shared" ca="1" si="55"/>
        <v>4662</v>
      </c>
      <c r="S317" s="316">
        <f t="shared" ca="1" si="46"/>
        <v>19</v>
      </c>
      <c r="T317" s="720" t="str">
        <f>商办车库!H426</f>
        <v>车位</v>
      </c>
    </row>
    <row r="318" spans="1:20">
      <c r="A318" s="3539" t="str">
        <f>商办车库!E427</f>
        <v>B1055</v>
      </c>
      <c r="B318" s="54">
        <f>商办车库!F427</f>
        <v>40.43</v>
      </c>
      <c r="C318" s="21">
        <f t="shared" si="56"/>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v>-1</v>
      </c>
      <c r="Q318" s="21">
        <f t="shared" si="54"/>
        <v>1</v>
      </c>
      <c r="R318" s="659">
        <f t="shared" ca="1" si="55"/>
        <v>4662</v>
      </c>
      <c r="S318" s="316">
        <f t="shared" ca="1" si="46"/>
        <v>19</v>
      </c>
      <c r="T318" s="720" t="str">
        <f>商办车库!H427</f>
        <v>车位</v>
      </c>
    </row>
    <row r="319" spans="1:20">
      <c r="A319" s="3539" t="str">
        <f>商办车库!E428</f>
        <v>B1056</v>
      </c>
      <c r="B319" s="54">
        <f>商办车库!F428</f>
        <v>40.43</v>
      </c>
      <c r="C319" s="21">
        <f t="shared" si="56"/>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v>-1</v>
      </c>
      <c r="Q319" s="21">
        <f t="shared" si="54"/>
        <v>1</v>
      </c>
      <c r="R319" s="659">
        <f t="shared" ca="1" si="55"/>
        <v>4662</v>
      </c>
      <c r="S319" s="316">
        <f t="shared" ca="1" si="46"/>
        <v>19</v>
      </c>
      <c r="T319" s="720" t="str">
        <f>商办车库!H428</f>
        <v>车位</v>
      </c>
    </row>
    <row r="320" spans="1:20">
      <c r="A320" s="3539" t="str">
        <f>商办车库!E429</f>
        <v>B1057</v>
      </c>
      <c r="B320" s="54">
        <f>商办车库!F429</f>
        <v>40.43</v>
      </c>
      <c r="C320" s="21">
        <f t="shared" si="56"/>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v>-1</v>
      </c>
      <c r="Q320" s="21">
        <f t="shared" si="54"/>
        <v>1</v>
      </c>
      <c r="R320" s="659">
        <f t="shared" ca="1" si="55"/>
        <v>4662</v>
      </c>
      <c r="S320" s="316">
        <f t="shared" ca="1" si="46"/>
        <v>19</v>
      </c>
      <c r="T320" s="720" t="str">
        <f>商办车库!H429</f>
        <v>车位</v>
      </c>
    </row>
    <row r="321" spans="1:20">
      <c r="A321" s="3539" t="str">
        <f>商办车库!E430</f>
        <v>B1058</v>
      </c>
      <c r="B321" s="54">
        <f>商办车库!F430</f>
        <v>40.43</v>
      </c>
      <c r="C321" s="21">
        <f t="shared" si="56"/>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v>-1</v>
      </c>
      <c r="Q321" s="21">
        <f t="shared" si="54"/>
        <v>1</v>
      </c>
      <c r="R321" s="659">
        <f t="shared" ca="1" si="55"/>
        <v>4662</v>
      </c>
      <c r="S321" s="316">
        <f t="shared" ca="1" si="46"/>
        <v>19</v>
      </c>
      <c r="T321" s="720" t="str">
        <f>商办车库!H430</f>
        <v>车位</v>
      </c>
    </row>
    <row r="322" spans="1:20">
      <c r="A322" s="3539" t="str">
        <f>商办车库!E431</f>
        <v>B1059</v>
      </c>
      <c r="B322" s="54">
        <f>商办车库!F431</f>
        <v>40.43</v>
      </c>
      <c r="C322" s="21">
        <f t="shared" si="56"/>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v>-1</v>
      </c>
      <c r="Q322" s="21">
        <f t="shared" si="54"/>
        <v>1</v>
      </c>
      <c r="R322" s="659">
        <f t="shared" ca="1" si="55"/>
        <v>4662</v>
      </c>
      <c r="S322" s="316">
        <f t="shared" ca="1" si="46"/>
        <v>19</v>
      </c>
      <c r="T322" s="720" t="str">
        <f>商办车库!H431</f>
        <v>车位</v>
      </c>
    </row>
    <row r="323" spans="1:20">
      <c r="A323" s="3539" t="str">
        <f>商办车库!E432</f>
        <v>B1060</v>
      </c>
      <c r="B323" s="54">
        <f>商办车库!F432</f>
        <v>40.43</v>
      </c>
      <c r="C323" s="21">
        <f t="shared" si="56"/>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v>-1</v>
      </c>
      <c r="Q323" s="21">
        <f t="shared" si="54"/>
        <v>1</v>
      </c>
      <c r="R323" s="659">
        <f t="shared" ca="1" si="55"/>
        <v>4662</v>
      </c>
      <c r="S323" s="316">
        <f t="shared" ca="1" si="46"/>
        <v>19</v>
      </c>
      <c r="T323" s="720" t="str">
        <f>商办车库!H432</f>
        <v>车位</v>
      </c>
    </row>
    <row r="324" spans="1:20">
      <c r="A324" s="3539" t="str">
        <f>商办车库!E433</f>
        <v>B1061</v>
      </c>
      <c r="B324" s="54">
        <f>商办车库!F433</f>
        <v>40.43</v>
      </c>
      <c r="C324" s="21">
        <f t="shared" si="56"/>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v>-1</v>
      </c>
      <c r="Q324" s="21">
        <f t="shared" si="54"/>
        <v>1</v>
      </c>
      <c r="R324" s="659">
        <f t="shared" ca="1" si="55"/>
        <v>4662</v>
      </c>
      <c r="S324" s="316">
        <f t="shared" ca="1" si="46"/>
        <v>19</v>
      </c>
      <c r="T324" s="720" t="str">
        <f>商办车库!H433</f>
        <v>车位</v>
      </c>
    </row>
    <row r="325" spans="1:20">
      <c r="A325" s="3539" t="str">
        <f>商办车库!E434</f>
        <v>B1062</v>
      </c>
      <c r="B325" s="54">
        <f>商办车库!F434</f>
        <v>40.43</v>
      </c>
      <c r="C325" s="21">
        <f t="shared" si="56"/>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v>-1</v>
      </c>
      <c r="Q325" s="21">
        <f t="shared" si="54"/>
        <v>1</v>
      </c>
      <c r="R325" s="659">
        <f t="shared" ca="1" si="55"/>
        <v>4662</v>
      </c>
      <c r="S325" s="316">
        <f t="shared" ca="1" si="46"/>
        <v>19</v>
      </c>
      <c r="T325" s="720" t="str">
        <f>商办车库!H434</f>
        <v>车位</v>
      </c>
    </row>
    <row r="326" spans="1:20">
      <c r="A326" s="3539" t="str">
        <f>商办车库!E435</f>
        <v>B1063</v>
      </c>
      <c r="B326" s="54">
        <f>商办车库!F435</f>
        <v>40.43</v>
      </c>
      <c r="C326" s="21">
        <f t="shared" si="56"/>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v>-1</v>
      </c>
      <c r="Q326" s="21">
        <f t="shared" si="54"/>
        <v>1</v>
      </c>
      <c r="R326" s="659">
        <f t="shared" ca="1" si="55"/>
        <v>4662</v>
      </c>
      <c r="S326" s="316">
        <f t="shared" ca="1" si="46"/>
        <v>19</v>
      </c>
      <c r="T326" s="720" t="str">
        <f>商办车库!H435</f>
        <v>车位</v>
      </c>
    </row>
    <row r="327" spans="1:20">
      <c r="A327" s="3539" t="str">
        <f>商办车库!E436</f>
        <v>B1064</v>
      </c>
      <c r="B327" s="54">
        <f>商办车库!F436</f>
        <v>40.43</v>
      </c>
      <c r="C327" s="21">
        <f t="shared" si="56"/>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v>-1</v>
      </c>
      <c r="Q327" s="21">
        <f t="shared" si="54"/>
        <v>1</v>
      </c>
      <c r="R327" s="659">
        <f t="shared" ca="1" si="55"/>
        <v>4662</v>
      </c>
      <c r="S327" s="316">
        <f t="shared" ca="1" si="46"/>
        <v>19</v>
      </c>
      <c r="T327" s="720" t="str">
        <f>商办车库!H436</f>
        <v>车位</v>
      </c>
    </row>
    <row r="328" spans="1:20">
      <c r="A328" s="3539" t="str">
        <f>商办车库!E437</f>
        <v>B1065</v>
      </c>
      <c r="B328" s="54">
        <f>商办车库!F437</f>
        <v>40.43</v>
      </c>
      <c r="C328" s="21">
        <f t="shared" si="56"/>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v>-1</v>
      </c>
      <c r="Q328" s="21">
        <f t="shared" si="54"/>
        <v>1</v>
      </c>
      <c r="R328" s="659">
        <f t="shared" ca="1" si="55"/>
        <v>4662</v>
      </c>
      <c r="S328" s="316">
        <f t="shared" ca="1" si="46"/>
        <v>19</v>
      </c>
      <c r="T328" s="720" t="str">
        <f>商办车库!H437</f>
        <v>车位</v>
      </c>
    </row>
    <row r="329" spans="1:20">
      <c r="A329" s="3539" t="str">
        <f>商办车库!E438</f>
        <v>B1066</v>
      </c>
      <c r="B329" s="54">
        <f>商办车库!F438</f>
        <v>40.43</v>
      </c>
      <c r="C329" s="21">
        <f t="shared" si="56"/>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v>-1</v>
      </c>
      <c r="Q329" s="21">
        <f t="shared" si="54"/>
        <v>1</v>
      </c>
      <c r="R329" s="659">
        <f t="shared" ca="1" si="55"/>
        <v>4662</v>
      </c>
      <c r="S329" s="316">
        <f t="shared" ca="1" si="46"/>
        <v>19</v>
      </c>
      <c r="T329" s="720" t="str">
        <f>商办车库!H438</f>
        <v>车位</v>
      </c>
    </row>
    <row r="330" spans="1:20">
      <c r="A330" s="3539" t="str">
        <f>商办车库!E439</f>
        <v>B1067</v>
      </c>
      <c r="B330" s="54">
        <f>商办车库!F439</f>
        <v>40.43</v>
      </c>
      <c r="C330" s="21">
        <f t="shared" si="56"/>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v>-1</v>
      </c>
      <c r="Q330" s="21">
        <f t="shared" si="54"/>
        <v>1</v>
      </c>
      <c r="R330" s="659">
        <f t="shared" ca="1" si="55"/>
        <v>4662</v>
      </c>
      <c r="S330" s="316">
        <f t="shared" ca="1" si="46"/>
        <v>19</v>
      </c>
      <c r="T330" s="720" t="str">
        <f>商办车库!H439</f>
        <v>车位</v>
      </c>
    </row>
    <row r="331" spans="1:20">
      <c r="A331" s="3539" t="str">
        <f>商办车库!E440</f>
        <v>B1068</v>
      </c>
      <c r="B331" s="54">
        <f>商办车库!F440</f>
        <v>40.43</v>
      </c>
      <c r="C331" s="21">
        <f t="shared" si="56"/>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v>-1</v>
      </c>
      <c r="Q331" s="21">
        <f t="shared" si="54"/>
        <v>1</v>
      </c>
      <c r="R331" s="659">
        <f t="shared" ca="1" si="55"/>
        <v>4662</v>
      </c>
      <c r="S331" s="316">
        <f t="shared" ca="1" si="46"/>
        <v>19</v>
      </c>
      <c r="T331" s="720" t="str">
        <f>商办车库!H440</f>
        <v>车位</v>
      </c>
    </row>
    <row r="332" spans="1:20">
      <c r="A332" s="3539" t="str">
        <f>商办车库!E441</f>
        <v>B1069</v>
      </c>
      <c r="B332" s="54">
        <f>商办车库!F441</f>
        <v>40.43</v>
      </c>
      <c r="C332" s="21">
        <f t="shared" si="56"/>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v>-1</v>
      </c>
      <c r="Q332" s="21">
        <f t="shared" si="54"/>
        <v>1</v>
      </c>
      <c r="R332" s="659">
        <f t="shared" ca="1" si="55"/>
        <v>4662</v>
      </c>
      <c r="S332" s="316">
        <f t="shared" ca="1" si="46"/>
        <v>19</v>
      </c>
      <c r="T332" s="720" t="str">
        <f>商办车库!H441</f>
        <v>车位</v>
      </c>
    </row>
    <row r="333" spans="1:20">
      <c r="A333" s="3539" t="str">
        <f>商办车库!E442</f>
        <v>B1070</v>
      </c>
      <c r="B333" s="54">
        <f>商办车库!F442</f>
        <v>40.43</v>
      </c>
      <c r="C333" s="21">
        <f t="shared" si="56"/>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v>-1</v>
      </c>
      <c r="Q333" s="21">
        <f t="shared" si="54"/>
        <v>1</v>
      </c>
      <c r="R333" s="659">
        <f t="shared" ca="1" si="55"/>
        <v>4662</v>
      </c>
      <c r="S333" s="316">
        <f t="shared" ca="1" si="46"/>
        <v>19</v>
      </c>
      <c r="T333" s="720" t="str">
        <f>商办车库!H442</f>
        <v>车位</v>
      </c>
    </row>
    <row r="334" spans="1:20">
      <c r="A334" s="3539" t="str">
        <f>商办车库!E443</f>
        <v>B1071</v>
      </c>
      <c r="B334" s="54">
        <f>商办车库!F443</f>
        <v>40.43</v>
      </c>
      <c r="C334" s="21">
        <f t="shared" si="56"/>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v>-1</v>
      </c>
      <c r="Q334" s="21">
        <f t="shared" si="54"/>
        <v>1</v>
      </c>
      <c r="R334" s="659">
        <f t="shared" ca="1" si="55"/>
        <v>4662</v>
      </c>
      <c r="S334" s="316">
        <f t="shared" ca="1" si="46"/>
        <v>19</v>
      </c>
      <c r="T334" s="720" t="str">
        <f>商办车库!H443</f>
        <v>车位</v>
      </c>
    </row>
    <row r="335" spans="1:20">
      <c r="A335" s="3539" t="str">
        <f>商办车库!E444</f>
        <v>B1072</v>
      </c>
      <c r="B335" s="54">
        <f>商办车库!F444</f>
        <v>68.27</v>
      </c>
      <c r="C335" s="21">
        <f t="shared" si="56"/>
        <v>1.01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v>-1</v>
      </c>
      <c r="Q335" s="21">
        <f t="shared" si="54"/>
        <v>1</v>
      </c>
      <c r="R335" s="659">
        <f t="shared" ca="1" si="55"/>
        <v>4709</v>
      </c>
      <c r="S335" s="316">
        <f t="shared" ca="1" si="46"/>
        <v>32</v>
      </c>
      <c r="T335" s="720" t="str">
        <f>商办车库!H444</f>
        <v>车位</v>
      </c>
    </row>
    <row r="336" spans="1:20">
      <c r="A336" s="3539" t="str">
        <f>商办车库!E445</f>
        <v>B1073</v>
      </c>
      <c r="B336" s="54">
        <f>商办车库!F445</f>
        <v>68.27</v>
      </c>
      <c r="C336" s="21">
        <f t="shared" si="56"/>
        <v>1.01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v>-1</v>
      </c>
      <c r="Q336" s="21">
        <f t="shared" si="54"/>
        <v>1</v>
      </c>
      <c r="R336" s="659">
        <f t="shared" ca="1" si="55"/>
        <v>4709</v>
      </c>
      <c r="S336" s="316">
        <f t="shared" ca="1" si="46"/>
        <v>32</v>
      </c>
      <c r="T336" s="720" t="str">
        <f>商办车库!H445</f>
        <v>车位</v>
      </c>
    </row>
    <row r="337" spans="1:20">
      <c r="A337" s="3539" t="str">
        <f>商办车库!E446</f>
        <v>B1074</v>
      </c>
      <c r="B337" s="54">
        <f>商办车库!F446</f>
        <v>40.43</v>
      </c>
      <c r="C337" s="21">
        <f t="shared" si="56"/>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v>-1</v>
      </c>
      <c r="Q337" s="21">
        <f t="shared" si="54"/>
        <v>1</v>
      </c>
      <c r="R337" s="659">
        <f t="shared" ca="1" si="55"/>
        <v>4662</v>
      </c>
      <c r="S337" s="316">
        <f t="shared" ca="1" si="46"/>
        <v>19</v>
      </c>
      <c r="T337" s="720" t="str">
        <f>商办车库!H446</f>
        <v>车位</v>
      </c>
    </row>
    <row r="338" spans="1:20">
      <c r="A338" s="3539" t="str">
        <f>商办车库!E447</f>
        <v>B1075</v>
      </c>
      <c r="B338" s="54">
        <f>商办车库!F447</f>
        <v>40.43</v>
      </c>
      <c r="C338" s="21">
        <f t="shared" si="56"/>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v>-1</v>
      </c>
      <c r="Q338" s="21">
        <f t="shared" si="54"/>
        <v>1</v>
      </c>
      <c r="R338" s="659">
        <f t="shared" ca="1" si="55"/>
        <v>4662</v>
      </c>
      <c r="S338" s="316">
        <f t="shared" ca="1" si="46"/>
        <v>19</v>
      </c>
      <c r="T338" s="720" t="str">
        <f>商办车库!H447</f>
        <v>车位</v>
      </c>
    </row>
    <row r="339" spans="1:20">
      <c r="A339" s="3539" t="str">
        <f>商办车库!E448</f>
        <v>B1076</v>
      </c>
      <c r="B339" s="54">
        <f>商办车库!F448</f>
        <v>40.43</v>
      </c>
      <c r="C339" s="21">
        <f t="shared" si="56"/>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v>-1</v>
      </c>
      <c r="Q339" s="21">
        <f t="shared" si="54"/>
        <v>1</v>
      </c>
      <c r="R339" s="659">
        <f t="shared" ca="1" si="55"/>
        <v>4662</v>
      </c>
      <c r="S339" s="316">
        <f t="shared" ca="1" si="46"/>
        <v>19</v>
      </c>
      <c r="T339" s="720" t="str">
        <f>商办车库!H448</f>
        <v>车位</v>
      </c>
    </row>
    <row r="340" spans="1:20">
      <c r="A340" s="3539" t="str">
        <f>商办车库!E449</f>
        <v>B1077</v>
      </c>
      <c r="B340" s="54">
        <f>商办车库!F449</f>
        <v>40.43</v>
      </c>
      <c r="C340" s="21">
        <f t="shared" si="56"/>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v>-1</v>
      </c>
      <c r="Q340" s="21">
        <f t="shared" si="54"/>
        <v>1</v>
      </c>
      <c r="R340" s="659">
        <f t="shared" ca="1" si="55"/>
        <v>4662</v>
      </c>
      <c r="S340" s="316">
        <f t="shared" ca="1" si="46"/>
        <v>19</v>
      </c>
      <c r="T340" s="720" t="str">
        <f>商办车库!H449</f>
        <v>车位</v>
      </c>
    </row>
    <row r="341" spans="1:20">
      <c r="A341" s="3539" t="str">
        <f>商办车库!E450</f>
        <v>B1078</v>
      </c>
      <c r="B341" s="54">
        <f>商办车库!F450</f>
        <v>40.43</v>
      </c>
      <c r="C341" s="21">
        <f t="shared" si="56"/>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v>-1</v>
      </c>
      <c r="Q341" s="21">
        <f t="shared" si="54"/>
        <v>1</v>
      </c>
      <c r="R341" s="659">
        <f t="shared" ca="1" si="55"/>
        <v>4662</v>
      </c>
      <c r="S341" s="316">
        <f t="shared" ca="1" si="46"/>
        <v>19</v>
      </c>
      <c r="T341" s="720" t="str">
        <f>商办车库!H450</f>
        <v>车位</v>
      </c>
    </row>
    <row r="342" spans="1:20">
      <c r="A342" s="3539" t="str">
        <f>商办车库!E451</f>
        <v>B1079</v>
      </c>
      <c r="B342" s="54">
        <f>商办车库!F451</f>
        <v>40.43</v>
      </c>
      <c r="C342" s="21">
        <f t="shared" si="56"/>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v>-1</v>
      </c>
      <c r="Q342" s="21">
        <f t="shared" si="54"/>
        <v>1</v>
      </c>
      <c r="R342" s="659">
        <f t="shared" ca="1" si="55"/>
        <v>4662</v>
      </c>
      <c r="S342" s="316">
        <f t="shared" ca="1" si="46"/>
        <v>19</v>
      </c>
      <c r="T342" s="720" t="str">
        <f>商办车库!H451</f>
        <v>车位</v>
      </c>
    </row>
    <row r="343" spans="1:20">
      <c r="A343" s="3539" t="str">
        <f>商办车库!E452</f>
        <v>B1080</v>
      </c>
      <c r="B343" s="54">
        <f>商办车库!F452</f>
        <v>40.43</v>
      </c>
      <c r="C343" s="21">
        <f t="shared" si="56"/>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v>-1</v>
      </c>
      <c r="Q343" s="21">
        <f t="shared" si="54"/>
        <v>1</v>
      </c>
      <c r="R343" s="659">
        <f t="shared" ca="1" si="55"/>
        <v>4662</v>
      </c>
      <c r="S343" s="316">
        <f t="shared" ca="1" si="46"/>
        <v>19</v>
      </c>
      <c r="T343" s="720" t="str">
        <f>商办车库!H452</f>
        <v>车位</v>
      </c>
    </row>
    <row r="344" spans="1:20">
      <c r="A344" s="3539" t="str">
        <f>商办车库!E453</f>
        <v>B1081</v>
      </c>
      <c r="B344" s="54">
        <f>商办车库!F453</f>
        <v>40.43</v>
      </c>
      <c r="C344" s="21">
        <f t="shared" si="56"/>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v>-1</v>
      </c>
      <c r="Q344" s="21">
        <f t="shared" si="54"/>
        <v>1</v>
      </c>
      <c r="R344" s="659">
        <f t="shared" ca="1" si="55"/>
        <v>4662</v>
      </c>
      <c r="S344" s="316">
        <f t="shared" ref="S344:S407" ca="1" si="57">ROUND(R344*B344/10000,0)</f>
        <v>19</v>
      </c>
      <c r="T344" s="720" t="str">
        <f>商办车库!H453</f>
        <v>车位</v>
      </c>
    </row>
    <row r="345" spans="1:20">
      <c r="A345" s="3539" t="str">
        <f>商办车库!E454</f>
        <v>B1082</v>
      </c>
      <c r="B345" s="54">
        <f>商办车库!F454</f>
        <v>40.43</v>
      </c>
      <c r="C345" s="21">
        <f t="shared" si="56"/>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v>-1</v>
      </c>
      <c r="Q345" s="21">
        <f t="shared" si="54"/>
        <v>1</v>
      </c>
      <c r="R345" s="659">
        <f t="shared" ca="1" si="55"/>
        <v>4662</v>
      </c>
      <c r="S345" s="316">
        <f t="shared" ca="1" si="57"/>
        <v>19</v>
      </c>
      <c r="T345" s="720" t="str">
        <f>商办车库!H454</f>
        <v>车位</v>
      </c>
    </row>
    <row r="346" spans="1:20">
      <c r="A346" s="3539" t="str">
        <f>商办车库!E455</f>
        <v>B1083</v>
      </c>
      <c r="B346" s="54">
        <f>商办车库!F455</f>
        <v>40.43</v>
      </c>
      <c r="C346" s="21">
        <f t="shared" ref="C346:C409" si="58">IF(B346="",1,(LOOKUP(B346,$3:$3,$4:$4)-LOOKUP($B$24,$3:$3,$4:$4)+100)/100)</f>
        <v>1</v>
      </c>
      <c r="D346" s="662"/>
      <c r="E346" s="21">
        <f t="shared" ref="E346:E409" si="59">(SUMIF($5:$5,D346,$6:$6)-SUMIF($5:$5,$D$24,$6:$6)+100)/100</f>
        <v>1</v>
      </c>
      <c r="F346" s="662"/>
      <c r="G346" s="21">
        <f t="shared" ref="G346:G409" si="60">(SUMIF($7:$7,F346,$8:$8)-SUMIF($7:$7,$F$24,$8:$8)+100)/100</f>
        <v>1</v>
      </c>
      <c r="H346" s="662"/>
      <c r="I346" s="21">
        <f t="shared" ref="I346:I409" si="61">(SUMIF($9:$9,H346,$10:$10)-SUMIF($9:$9,$H$24,$10:$10)+100)/100</f>
        <v>1</v>
      </c>
      <c r="J346" s="662"/>
      <c r="K346" s="21">
        <f t="shared" ref="K346:K409" si="62">(SUMIF($11:$11,J346,$12:$12)-SUMIF($11:$11,$J$24,$12:$12)+100)/100</f>
        <v>1</v>
      </c>
      <c r="L346" s="662"/>
      <c r="M346" s="21">
        <f t="shared" ref="M346:M409" si="63">(SUMIF($13:$13,L346,$14:$14)-SUMIF($13:$13,$L$24,$14:$14)+100)/100</f>
        <v>1</v>
      </c>
      <c r="N346" s="662"/>
      <c r="O346" s="21">
        <f t="shared" ref="O346:O409" si="64">(SUMIF($15:$15,N346,$16:$16)-SUMIF($15:$15,$N$24,$16:$16)+100)/100</f>
        <v>1</v>
      </c>
      <c r="P346" s="662">
        <v>-1</v>
      </c>
      <c r="Q346" s="21">
        <f t="shared" ref="Q346:Q409" si="65">(SUMIF($17:$17,P346,$18:$18)-SUMIF($17:$17,$P$24,$18:$18)+100)/100</f>
        <v>1</v>
      </c>
      <c r="R346" s="659">
        <f t="shared" ref="R346:R409" ca="1" si="66">IF(B346="",0,ROUND($R$24*C346*E346*G346*I346*K346*M346*O346*Q346,0))</f>
        <v>4662</v>
      </c>
      <c r="S346" s="316">
        <f t="shared" ca="1" si="57"/>
        <v>19</v>
      </c>
      <c r="T346" s="720" t="str">
        <f>商办车库!H455</f>
        <v>车位</v>
      </c>
    </row>
    <row r="347" spans="1:20">
      <c r="A347" s="3539" t="str">
        <f>商办车库!E456</f>
        <v>B1084</v>
      </c>
      <c r="B347" s="54">
        <f>商办车库!F456</f>
        <v>40.43</v>
      </c>
      <c r="C347" s="21">
        <f t="shared" si="58"/>
        <v>1</v>
      </c>
      <c r="D347" s="662"/>
      <c r="E347" s="21">
        <f t="shared" si="59"/>
        <v>1</v>
      </c>
      <c r="F347" s="662"/>
      <c r="G347" s="21">
        <f t="shared" si="60"/>
        <v>1</v>
      </c>
      <c r="H347" s="662"/>
      <c r="I347" s="21">
        <f t="shared" si="61"/>
        <v>1</v>
      </c>
      <c r="J347" s="662"/>
      <c r="K347" s="21">
        <f t="shared" si="62"/>
        <v>1</v>
      </c>
      <c r="L347" s="662"/>
      <c r="M347" s="21">
        <f t="shared" si="63"/>
        <v>1</v>
      </c>
      <c r="N347" s="662"/>
      <c r="O347" s="21">
        <f t="shared" si="64"/>
        <v>1</v>
      </c>
      <c r="P347" s="662">
        <v>-1</v>
      </c>
      <c r="Q347" s="21">
        <f t="shared" si="65"/>
        <v>1</v>
      </c>
      <c r="R347" s="659">
        <f t="shared" ca="1" si="66"/>
        <v>4662</v>
      </c>
      <c r="S347" s="316">
        <f t="shared" ca="1" si="57"/>
        <v>19</v>
      </c>
      <c r="T347" s="720" t="str">
        <f>商办车库!H456</f>
        <v>车位</v>
      </c>
    </row>
    <row r="348" spans="1:20">
      <c r="A348" s="3539" t="str">
        <f>商办车库!E457</f>
        <v>B1085、B1086</v>
      </c>
      <c r="B348" s="54">
        <f>商办车库!F457</f>
        <v>80.86</v>
      </c>
      <c r="C348" s="3438">
        <v>1</v>
      </c>
      <c r="D348" s="662"/>
      <c r="E348" s="21">
        <f t="shared" si="59"/>
        <v>1</v>
      </c>
      <c r="F348" s="662"/>
      <c r="G348" s="21">
        <f t="shared" si="60"/>
        <v>1</v>
      </c>
      <c r="H348" s="662"/>
      <c r="I348" s="21">
        <f t="shared" si="61"/>
        <v>1</v>
      </c>
      <c r="J348" s="662"/>
      <c r="K348" s="21">
        <f t="shared" si="62"/>
        <v>1</v>
      </c>
      <c r="L348" s="662"/>
      <c r="M348" s="21">
        <f t="shared" si="63"/>
        <v>1</v>
      </c>
      <c r="N348" s="662"/>
      <c r="O348" s="21">
        <f t="shared" si="64"/>
        <v>1</v>
      </c>
      <c r="P348" s="662">
        <v>-1</v>
      </c>
      <c r="Q348" s="21">
        <f t="shared" si="65"/>
        <v>1</v>
      </c>
      <c r="R348" s="659">
        <f t="shared" ca="1" si="66"/>
        <v>4662</v>
      </c>
      <c r="S348" s="316">
        <f t="shared" ca="1" si="57"/>
        <v>38</v>
      </c>
      <c r="T348" s="720" t="str">
        <f>商办车库!H457</f>
        <v>车位</v>
      </c>
    </row>
    <row r="349" spans="1:20">
      <c r="A349" s="3539" t="str">
        <f>商办车库!E458</f>
        <v>B1087、B1088</v>
      </c>
      <c r="B349" s="54">
        <f>商办车库!F458</f>
        <v>80.86</v>
      </c>
      <c r="C349" s="3438">
        <v>1</v>
      </c>
      <c r="D349" s="662"/>
      <c r="E349" s="21">
        <f t="shared" si="59"/>
        <v>1</v>
      </c>
      <c r="F349" s="662"/>
      <c r="G349" s="21">
        <f t="shared" si="60"/>
        <v>1</v>
      </c>
      <c r="H349" s="662"/>
      <c r="I349" s="21">
        <f t="shared" si="61"/>
        <v>1</v>
      </c>
      <c r="J349" s="662"/>
      <c r="K349" s="21">
        <f t="shared" si="62"/>
        <v>1</v>
      </c>
      <c r="L349" s="662"/>
      <c r="M349" s="21">
        <f t="shared" si="63"/>
        <v>1</v>
      </c>
      <c r="N349" s="662"/>
      <c r="O349" s="21">
        <f t="shared" si="64"/>
        <v>1</v>
      </c>
      <c r="P349" s="662">
        <v>-1</v>
      </c>
      <c r="Q349" s="21">
        <f t="shared" si="65"/>
        <v>1</v>
      </c>
      <c r="R349" s="659">
        <f t="shared" ca="1" si="66"/>
        <v>4662</v>
      </c>
      <c r="S349" s="316">
        <f t="shared" ca="1" si="57"/>
        <v>38</v>
      </c>
      <c r="T349" s="720" t="str">
        <f>商办车库!H458</f>
        <v>车位</v>
      </c>
    </row>
    <row r="350" spans="1:20">
      <c r="A350" s="3539" t="str">
        <f>商办车库!E459</f>
        <v>B1089</v>
      </c>
      <c r="B350" s="54">
        <f>商办车库!F459</f>
        <v>40.43</v>
      </c>
      <c r="C350" s="21">
        <f t="shared" si="58"/>
        <v>1</v>
      </c>
      <c r="D350" s="662"/>
      <c r="E350" s="21">
        <f t="shared" si="59"/>
        <v>1</v>
      </c>
      <c r="F350" s="662"/>
      <c r="G350" s="21">
        <f t="shared" si="60"/>
        <v>1</v>
      </c>
      <c r="H350" s="662"/>
      <c r="I350" s="21">
        <f t="shared" si="61"/>
        <v>1</v>
      </c>
      <c r="J350" s="662"/>
      <c r="K350" s="21">
        <f t="shared" si="62"/>
        <v>1</v>
      </c>
      <c r="L350" s="662"/>
      <c r="M350" s="21">
        <f t="shared" si="63"/>
        <v>1</v>
      </c>
      <c r="N350" s="662"/>
      <c r="O350" s="21">
        <f t="shared" si="64"/>
        <v>1</v>
      </c>
      <c r="P350" s="662">
        <v>-1</v>
      </c>
      <c r="Q350" s="21">
        <f t="shared" si="65"/>
        <v>1</v>
      </c>
      <c r="R350" s="659">
        <f t="shared" ca="1" si="66"/>
        <v>4662</v>
      </c>
      <c r="S350" s="316">
        <f t="shared" ca="1" si="57"/>
        <v>19</v>
      </c>
      <c r="T350" s="720" t="str">
        <f>商办车库!H459</f>
        <v>车位</v>
      </c>
    </row>
    <row r="351" spans="1:20">
      <c r="A351" s="3539" t="str">
        <f>商办车库!E460</f>
        <v>B1090、B1091</v>
      </c>
      <c r="B351" s="54">
        <f>商办车库!F460</f>
        <v>80.86</v>
      </c>
      <c r="C351" s="3438">
        <v>1</v>
      </c>
      <c r="D351" s="662"/>
      <c r="E351" s="21">
        <f t="shared" si="59"/>
        <v>1</v>
      </c>
      <c r="F351" s="662"/>
      <c r="G351" s="21">
        <f t="shared" si="60"/>
        <v>1</v>
      </c>
      <c r="H351" s="662"/>
      <c r="I351" s="21">
        <f t="shared" si="61"/>
        <v>1</v>
      </c>
      <c r="J351" s="662"/>
      <c r="K351" s="21">
        <f t="shared" si="62"/>
        <v>1</v>
      </c>
      <c r="L351" s="662"/>
      <c r="M351" s="21">
        <f t="shared" si="63"/>
        <v>1</v>
      </c>
      <c r="N351" s="662"/>
      <c r="O351" s="21">
        <f t="shared" si="64"/>
        <v>1</v>
      </c>
      <c r="P351" s="662">
        <v>-1</v>
      </c>
      <c r="Q351" s="21">
        <f t="shared" si="65"/>
        <v>1</v>
      </c>
      <c r="R351" s="659">
        <f t="shared" ca="1" si="66"/>
        <v>4662</v>
      </c>
      <c r="S351" s="316">
        <f t="shared" ca="1" si="57"/>
        <v>38</v>
      </c>
      <c r="T351" s="720" t="str">
        <f>商办车库!H460</f>
        <v>车位</v>
      </c>
    </row>
    <row r="352" spans="1:20">
      <c r="A352" s="3539" t="str">
        <f>商办车库!E461</f>
        <v>B1092、B1093</v>
      </c>
      <c r="B352" s="54">
        <f>商办车库!F461</f>
        <v>80.86</v>
      </c>
      <c r="C352" s="3438">
        <v>1</v>
      </c>
      <c r="D352" s="662"/>
      <c r="E352" s="21">
        <f t="shared" si="59"/>
        <v>1</v>
      </c>
      <c r="F352" s="662"/>
      <c r="G352" s="21">
        <f t="shared" si="60"/>
        <v>1</v>
      </c>
      <c r="H352" s="662"/>
      <c r="I352" s="21">
        <f t="shared" si="61"/>
        <v>1</v>
      </c>
      <c r="J352" s="662"/>
      <c r="K352" s="21">
        <f t="shared" si="62"/>
        <v>1</v>
      </c>
      <c r="L352" s="662"/>
      <c r="M352" s="21">
        <f t="shared" si="63"/>
        <v>1</v>
      </c>
      <c r="N352" s="662"/>
      <c r="O352" s="21">
        <f t="shared" si="64"/>
        <v>1</v>
      </c>
      <c r="P352" s="662">
        <v>-1</v>
      </c>
      <c r="Q352" s="21">
        <f t="shared" si="65"/>
        <v>1</v>
      </c>
      <c r="R352" s="659">
        <f t="shared" ca="1" si="66"/>
        <v>4662</v>
      </c>
      <c r="S352" s="316">
        <f t="shared" ca="1" si="57"/>
        <v>38</v>
      </c>
      <c r="T352" s="720" t="str">
        <f>商办车库!H461</f>
        <v>车位</v>
      </c>
    </row>
    <row r="353" spans="1:20">
      <c r="A353" s="3539" t="str">
        <f>商办车库!E462</f>
        <v>B1094、B1095</v>
      </c>
      <c r="B353" s="54">
        <f>商办车库!F462</f>
        <v>80.86</v>
      </c>
      <c r="C353" s="3438">
        <v>1</v>
      </c>
      <c r="D353" s="662"/>
      <c r="E353" s="21">
        <f t="shared" si="59"/>
        <v>1</v>
      </c>
      <c r="F353" s="662"/>
      <c r="G353" s="21">
        <f t="shared" si="60"/>
        <v>1</v>
      </c>
      <c r="H353" s="662"/>
      <c r="I353" s="21">
        <f t="shared" si="61"/>
        <v>1</v>
      </c>
      <c r="J353" s="662"/>
      <c r="K353" s="21">
        <f t="shared" si="62"/>
        <v>1</v>
      </c>
      <c r="L353" s="662"/>
      <c r="M353" s="21">
        <f t="shared" si="63"/>
        <v>1</v>
      </c>
      <c r="N353" s="662"/>
      <c r="O353" s="21">
        <f t="shared" si="64"/>
        <v>1</v>
      </c>
      <c r="P353" s="662">
        <v>-1</v>
      </c>
      <c r="Q353" s="21">
        <f t="shared" si="65"/>
        <v>1</v>
      </c>
      <c r="R353" s="659">
        <f t="shared" ca="1" si="66"/>
        <v>4662</v>
      </c>
      <c r="S353" s="316">
        <f t="shared" ca="1" si="57"/>
        <v>38</v>
      </c>
      <c r="T353" s="720" t="str">
        <f>商办车库!H462</f>
        <v>车位</v>
      </c>
    </row>
    <row r="354" spans="1:20">
      <c r="A354" s="3539" t="str">
        <f>商办车库!E463</f>
        <v>B1096、B1097</v>
      </c>
      <c r="B354" s="54">
        <f>商办车库!F463</f>
        <v>80.86</v>
      </c>
      <c r="C354" s="3438">
        <v>1</v>
      </c>
      <c r="D354" s="662"/>
      <c r="E354" s="21">
        <f t="shared" si="59"/>
        <v>1</v>
      </c>
      <c r="F354" s="662"/>
      <c r="G354" s="21">
        <f t="shared" si="60"/>
        <v>1</v>
      </c>
      <c r="H354" s="662"/>
      <c r="I354" s="21">
        <f t="shared" si="61"/>
        <v>1</v>
      </c>
      <c r="J354" s="662"/>
      <c r="K354" s="21">
        <f t="shared" si="62"/>
        <v>1</v>
      </c>
      <c r="L354" s="662"/>
      <c r="M354" s="21">
        <f t="shared" si="63"/>
        <v>1</v>
      </c>
      <c r="N354" s="662"/>
      <c r="O354" s="21">
        <f t="shared" si="64"/>
        <v>1</v>
      </c>
      <c r="P354" s="662">
        <v>-1</v>
      </c>
      <c r="Q354" s="21">
        <f t="shared" si="65"/>
        <v>1</v>
      </c>
      <c r="R354" s="659">
        <f t="shared" ca="1" si="66"/>
        <v>4662</v>
      </c>
      <c r="S354" s="316">
        <f t="shared" ca="1" si="57"/>
        <v>38</v>
      </c>
      <c r="T354" s="720" t="str">
        <f>商办车库!H463</f>
        <v>车位</v>
      </c>
    </row>
    <row r="355" spans="1:20">
      <c r="A355" s="3539" t="str">
        <f>商办车库!E464</f>
        <v>B1098</v>
      </c>
      <c r="B355" s="54">
        <f>商办车库!F464</f>
        <v>40.43</v>
      </c>
      <c r="C355" s="21">
        <f t="shared" si="58"/>
        <v>1</v>
      </c>
      <c r="D355" s="662"/>
      <c r="E355" s="21">
        <f t="shared" si="59"/>
        <v>1</v>
      </c>
      <c r="F355" s="662"/>
      <c r="G355" s="21">
        <f t="shared" si="60"/>
        <v>1</v>
      </c>
      <c r="H355" s="662"/>
      <c r="I355" s="21">
        <f t="shared" si="61"/>
        <v>1</v>
      </c>
      <c r="J355" s="662"/>
      <c r="K355" s="21">
        <f t="shared" si="62"/>
        <v>1</v>
      </c>
      <c r="L355" s="662"/>
      <c r="M355" s="21">
        <f t="shared" si="63"/>
        <v>1</v>
      </c>
      <c r="N355" s="662"/>
      <c r="O355" s="21">
        <f t="shared" si="64"/>
        <v>1</v>
      </c>
      <c r="P355" s="662">
        <v>-1</v>
      </c>
      <c r="Q355" s="21">
        <f t="shared" si="65"/>
        <v>1</v>
      </c>
      <c r="R355" s="659">
        <f t="shared" ca="1" si="66"/>
        <v>4662</v>
      </c>
      <c r="S355" s="316">
        <f t="shared" ca="1" si="57"/>
        <v>19</v>
      </c>
      <c r="T355" s="720" t="str">
        <f>商办车库!H464</f>
        <v>车位</v>
      </c>
    </row>
    <row r="356" spans="1:20">
      <c r="A356" s="3539" t="str">
        <f>商办车库!E465</f>
        <v>B1099</v>
      </c>
      <c r="B356" s="54">
        <f>商办车库!F465</f>
        <v>40.43</v>
      </c>
      <c r="C356" s="21">
        <f t="shared" si="58"/>
        <v>1</v>
      </c>
      <c r="D356" s="662"/>
      <c r="E356" s="21">
        <f t="shared" si="59"/>
        <v>1</v>
      </c>
      <c r="F356" s="662"/>
      <c r="G356" s="21">
        <f t="shared" si="60"/>
        <v>1</v>
      </c>
      <c r="H356" s="662"/>
      <c r="I356" s="21">
        <f t="shared" si="61"/>
        <v>1</v>
      </c>
      <c r="J356" s="662"/>
      <c r="K356" s="21">
        <f t="shared" si="62"/>
        <v>1</v>
      </c>
      <c r="L356" s="662"/>
      <c r="M356" s="21">
        <f t="shared" si="63"/>
        <v>1</v>
      </c>
      <c r="N356" s="662"/>
      <c r="O356" s="21">
        <f t="shared" si="64"/>
        <v>1</v>
      </c>
      <c r="P356" s="662">
        <v>-1</v>
      </c>
      <c r="Q356" s="21">
        <f t="shared" si="65"/>
        <v>1</v>
      </c>
      <c r="R356" s="659">
        <f t="shared" ca="1" si="66"/>
        <v>4662</v>
      </c>
      <c r="S356" s="316">
        <f t="shared" ca="1" si="57"/>
        <v>19</v>
      </c>
      <c r="T356" s="720" t="str">
        <f>商办车库!H465</f>
        <v>车位</v>
      </c>
    </row>
    <row r="357" spans="1:20">
      <c r="A357" s="3539" t="str">
        <f>商办车库!E466</f>
        <v>B1100</v>
      </c>
      <c r="B357" s="54">
        <f>商办车库!F466</f>
        <v>68.27</v>
      </c>
      <c r="C357" s="21">
        <f t="shared" si="58"/>
        <v>1.01</v>
      </c>
      <c r="D357" s="662"/>
      <c r="E357" s="21">
        <f t="shared" si="59"/>
        <v>1</v>
      </c>
      <c r="F357" s="662"/>
      <c r="G357" s="21">
        <f t="shared" si="60"/>
        <v>1</v>
      </c>
      <c r="H357" s="662"/>
      <c r="I357" s="21">
        <f t="shared" si="61"/>
        <v>1</v>
      </c>
      <c r="J357" s="662"/>
      <c r="K357" s="21">
        <f t="shared" si="62"/>
        <v>1</v>
      </c>
      <c r="L357" s="662"/>
      <c r="M357" s="21">
        <f t="shared" si="63"/>
        <v>1</v>
      </c>
      <c r="N357" s="662"/>
      <c r="O357" s="21">
        <f t="shared" si="64"/>
        <v>1</v>
      </c>
      <c r="P357" s="662">
        <v>-1</v>
      </c>
      <c r="Q357" s="21">
        <f t="shared" si="65"/>
        <v>1</v>
      </c>
      <c r="R357" s="659">
        <f t="shared" ca="1" si="66"/>
        <v>4709</v>
      </c>
      <c r="S357" s="316">
        <f t="shared" ca="1" si="57"/>
        <v>32</v>
      </c>
      <c r="T357" s="720" t="str">
        <f>商办车库!H466</f>
        <v>车位</v>
      </c>
    </row>
    <row r="358" spans="1:20">
      <c r="A358" s="3539" t="str">
        <f>商办车库!E467</f>
        <v>B1101</v>
      </c>
      <c r="B358" s="54">
        <f>商办车库!F467</f>
        <v>40.43</v>
      </c>
      <c r="C358" s="21">
        <f t="shared" si="58"/>
        <v>1</v>
      </c>
      <c r="D358" s="662"/>
      <c r="E358" s="21">
        <f t="shared" si="59"/>
        <v>1</v>
      </c>
      <c r="F358" s="662"/>
      <c r="G358" s="21">
        <f t="shared" si="60"/>
        <v>1</v>
      </c>
      <c r="H358" s="662"/>
      <c r="I358" s="21">
        <f t="shared" si="61"/>
        <v>1</v>
      </c>
      <c r="J358" s="662"/>
      <c r="K358" s="21">
        <f t="shared" si="62"/>
        <v>1</v>
      </c>
      <c r="L358" s="662"/>
      <c r="M358" s="21">
        <f t="shared" si="63"/>
        <v>1</v>
      </c>
      <c r="N358" s="662"/>
      <c r="O358" s="21">
        <f t="shared" si="64"/>
        <v>1</v>
      </c>
      <c r="P358" s="662">
        <v>-1</v>
      </c>
      <c r="Q358" s="21">
        <f t="shared" si="65"/>
        <v>1</v>
      </c>
      <c r="R358" s="659">
        <f t="shared" ca="1" si="66"/>
        <v>4662</v>
      </c>
      <c r="S358" s="316">
        <f t="shared" ca="1" si="57"/>
        <v>19</v>
      </c>
      <c r="T358" s="720" t="str">
        <f>商办车库!H467</f>
        <v>车位</v>
      </c>
    </row>
    <row r="359" spans="1:20">
      <c r="A359" s="3539" t="str">
        <f>商办车库!E468</f>
        <v>B1102</v>
      </c>
      <c r="B359" s="54">
        <f>商办车库!F468</f>
        <v>40.43</v>
      </c>
      <c r="C359" s="21">
        <f t="shared" si="58"/>
        <v>1</v>
      </c>
      <c r="D359" s="662"/>
      <c r="E359" s="21">
        <f t="shared" si="59"/>
        <v>1</v>
      </c>
      <c r="F359" s="662"/>
      <c r="G359" s="21">
        <f t="shared" si="60"/>
        <v>1</v>
      </c>
      <c r="H359" s="662"/>
      <c r="I359" s="21">
        <f t="shared" si="61"/>
        <v>1</v>
      </c>
      <c r="J359" s="662"/>
      <c r="K359" s="21">
        <f t="shared" si="62"/>
        <v>1</v>
      </c>
      <c r="L359" s="662"/>
      <c r="M359" s="21">
        <f t="shared" si="63"/>
        <v>1</v>
      </c>
      <c r="N359" s="662"/>
      <c r="O359" s="21">
        <f t="shared" si="64"/>
        <v>1</v>
      </c>
      <c r="P359" s="662">
        <v>-1</v>
      </c>
      <c r="Q359" s="21">
        <f t="shared" si="65"/>
        <v>1</v>
      </c>
      <c r="R359" s="659">
        <f t="shared" ca="1" si="66"/>
        <v>4662</v>
      </c>
      <c r="S359" s="316">
        <f t="shared" ca="1" si="57"/>
        <v>19</v>
      </c>
      <c r="T359" s="720" t="str">
        <f>商办车库!H468</f>
        <v>车位</v>
      </c>
    </row>
    <row r="360" spans="1:20">
      <c r="A360" s="3539" t="str">
        <f>商办车库!E469</f>
        <v>B1103</v>
      </c>
      <c r="B360" s="54">
        <f>商办车库!F469</f>
        <v>40.43</v>
      </c>
      <c r="C360" s="21">
        <f t="shared" si="58"/>
        <v>1</v>
      </c>
      <c r="D360" s="662"/>
      <c r="E360" s="21">
        <f t="shared" si="59"/>
        <v>1</v>
      </c>
      <c r="F360" s="662"/>
      <c r="G360" s="21">
        <f t="shared" si="60"/>
        <v>1</v>
      </c>
      <c r="H360" s="662"/>
      <c r="I360" s="21">
        <f t="shared" si="61"/>
        <v>1</v>
      </c>
      <c r="J360" s="662"/>
      <c r="K360" s="21">
        <f t="shared" si="62"/>
        <v>1</v>
      </c>
      <c r="L360" s="662"/>
      <c r="M360" s="21">
        <f t="shared" si="63"/>
        <v>1</v>
      </c>
      <c r="N360" s="662"/>
      <c r="O360" s="21">
        <f t="shared" si="64"/>
        <v>1</v>
      </c>
      <c r="P360" s="662">
        <v>-1</v>
      </c>
      <c r="Q360" s="21">
        <f t="shared" si="65"/>
        <v>1</v>
      </c>
      <c r="R360" s="659">
        <f t="shared" ca="1" si="66"/>
        <v>4662</v>
      </c>
      <c r="S360" s="316">
        <f t="shared" ca="1" si="57"/>
        <v>19</v>
      </c>
      <c r="T360" s="720" t="str">
        <f>商办车库!H469</f>
        <v>车位</v>
      </c>
    </row>
    <row r="361" spans="1:20">
      <c r="A361" s="3539" t="str">
        <f>商办车库!E470</f>
        <v>B1104</v>
      </c>
      <c r="B361" s="54">
        <f>商办车库!F470</f>
        <v>40.43</v>
      </c>
      <c r="C361" s="21">
        <f t="shared" si="58"/>
        <v>1</v>
      </c>
      <c r="D361" s="662"/>
      <c r="E361" s="21">
        <f t="shared" si="59"/>
        <v>1</v>
      </c>
      <c r="F361" s="662"/>
      <c r="G361" s="21">
        <f t="shared" si="60"/>
        <v>1</v>
      </c>
      <c r="H361" s="662"/>
      <c r="I361" s="21">
        <f t="shared" si="61"/>
        <v>1</v>
      </c>
      <c r="J361" s="662"/>
      <c r="K361" s="21">
        <f t="shared" si="62"/>
        <v>1</v>
      </c>
      <c r="L361" s="662"/>
      <c r="M361" s="21">
        <f t="shared" si="63"/>
        <v>1</v>
      </c>
      <c r="N361" s="662"/>
      <c r="O361" s="21">
        <f t="shared" si="64"/>
        <v>1</v>
      </c>
      <c r="P361" s="662">
        <v>-1</v>
      </c>
      <c r="Q361" s="21">
        <f t="shared" si="65"/>
        <v>1</v>
      </c>
      <c r="R361" s="659">
        <f t="shared" ca="1" si="66"/>
        <v>4662</v>
      </c>
      <c r="S361" s="316">
        <f t="shared" ca="1" si="57"/>
        <v>19</v>
      </c>
      <c r="T361" s="720" t="str">
        <f>商办车库!H470</f>
        <v>车位</v>
      </c>
    </row>
    <row r="362" spans="1:20">
      <c r="A362" s="3539" t="str">
        <f>商办车库!E471</f>
        <v>B1105</v>
      </c>
      <c r="B362" s="54">
        <f>商办车库!F471</f>
        <v>40.43</v>
      </c>
      <c r="C362" s="21">
        <f t="shared" si="58"/>
        <v>1</v>
      </c>
      <c r="D362" s="662"/>
      <c r="E362" s="21">
        <f t="shared" si="59"/>
        <v>1</v>
      </c>
      <c r="F362" s="662"/>
      <c r="G362" s="21">
        <f t="shared" si="60"/>
        <v>1</v>
      </c>
      <c r="H362" s="662"/>
      <c r="I362" s="21">
        <f t="shared" si="61"/>
        <v>1</v>
      </c>
      <c r="J362" s="662"/>
      <c r="K362" s="21">
        <f t="shared" si="62"/>
        <v>1</v>
      </c>
      <c r="L362" s="662"/>
      <c r="M362" s="21">
        <f t="shared" si="63"/>
        <v>1</v>
      </c>
      <c r="N362" s="662"/>
      <c r="O362" s="21">
        <f t="shared" si="64"/>
        <v>1</v>
      </c>
      <c r="P362" s="662">
        <v>-1</v>
      </c>
      <c r="Q362" s="21">
        <f t="shared" si="65"/>
        <v>1</v>
      </c>
      <c r="R362" s="659">
        <f t="shared" ca="1" si="66"/>
        <v>4662</v>
      </c>
      <c r="S362" s="316">
        <f t="shared" ca="1" si="57"/>
        <v>19</v>
      </c>
      <c r="T362" s="720" t="str">
        <f>商办车库!H471</f>
        <v>车位</v>
      </c>
    </row>
    <row r="363" spans="1:20">
      <c r="A363" s="3539" t="str">
        <f>商办车库!E472</f>
        <v>B1106</v>
      </c>
      <c r="B363" s="54">
        <f>商办车库!F472</f>
        <v>40.43</v>
      </c>
      <c r="C363" s="21">
        <f t="shared" si="58"/>
        <v>1</v>
      </c>
      <c r="D363" s="662"/>
      <c r="E363" s="21">
        <f t="shared" si="59"/>
        <v>1</v>
      </c>
      <c r="F363" s="662"/>
      <c r="G363" s="21">
        <f t="shared" si="60"/>
        <v>1</v>
      </c>
      <c r="H363" s="662"/>
      <c r="I363" s="21">
        <f t="shared" si="61"/>
        <v>1</v>
      </c>
      <c r="J363" s="662"/>
      <c r="K363" s="21">
        <f t="shared" si="62"/>
        <v>1</v>
      </c>
      <c r="L363" s="662"/>
      <c r="M363" s="21">
        <f t="shared" si="63"/>
        <v>1</v>
      </c>
      <c r="N363" s="662"/>
      <c r="O363" s="21">
        <f t="shared" si="64"/>
        <v>1</v>
      </c>
      <c r="P363" s="662">
        <v>-1</v>
      </c>
      <c r="Q363" s="21">
        <f t="shared" si="65"/>
        <v>1</v>
      </c>
      <c r="R363" s="659">
        <f t="shared" ca="1" si="66"/>
        <v>4662</v>
      </c>
      <c r="S363" s="316">
        <f t="shared" ca="1" si="57"/>
        <v>19</v>
      </c>
      <c r="T363" s="720" t="str">
        <f>商办车库!H472</f>
        <v>车位</v>
      </c>
    </row>
    <row r="364" spans="1:20">
      <c r="A364" s="3539" t="str">
        <f>商办车库!E473</f>
        <v>B1107、B1108</v>
      </c>
      <c r="B364" s="54">
        <f>商办车库!F473</f>
        <v>80.86</v>
      </c>
      <c r="C364" s="3438">
        <v>1</v>
      </c>
      <c r="D364" s="662"/>
      <c r="E364" s="21">
        <f t="shared" si="59"/>
        <v>1</v>
      </c>
      <c r="F364" s="662"/>
      <c r="G364" s="21">
        <f t="shared" si="60"/>
        <v>1</v>
      </c>
      <c r="H364" s="662"/>
      <c r="I364" s="21">
        <f t="shared" si="61"/>
        <v>1</v>
      </c>
      <c r="J364" s="662"/>
      <c r="K364" s="21">
        <f t="shared" si="62"/>
        <v>1</v>
      </c>
      <c r="L364" s="662"/>
      <c r="M364" s="21">
        <f t="shared" si="63"/>
        <v>1</v>
      </c>
      <c r="N364" s="662"/>
      <c r="O364" s="21">
        <f t="shared" si="64"/>
        <v>1</v>
      </c>
      <c r="P364" s="662">
        <v>-1</v>
      </c>
      <c r="Q364" s="21">
        <f t="shared" si="65"/>
        <v>1</v>
      </c>
      <c r="R364" s="659">
        <f t="shared" ca="1" si="66"/>
        <v>4662</v>
      </c>
      <c r="S364" s="316">
        <f t="shared" ca="1" si="57"/>
        <v>38</v>
      </c>
      <c r="T364" s="720" t="str">
        <f>商办车库!H473</f>
        <v>车位</v>
      </c>
    </row>
    <row r="365" spans="1:20">
      <c r="A365" s="3539" t="str">
        <f>商办车库!E474</f>
        <v>B1109、B1110</v>
      </c>
      <c r="B365" s="54">
        <f>商办车库!F474</f>
        <v>80.86</v>
      </c>
      <c r="C365" s="3438">
        <v>1</v>
      </c>
      <c r="D365" s="662"/>
      <c r="E365" s="21">
        <f t="shared" si="59"/>
        <v>1</v>
      </c>
      <c r="F365" s="662"/>
      <c r="G365" s="21">
        <f t="shared" si="60"/>
        <v>1</v>
      </c>
      <c r="H365" s="662"/>
      <c r="I365" s="21">
        <f t="shared" si="61"/>
        <v>1</v>
      </c>
      <c r="J365" s="662"/>
      <c r="K365" s="21">
        <f t="shared" si="62"/>
        <v>1</v>
      </c>
      <c r="L365" s="662"/>
      <c r="M365" s="21">
        <f t="shared" si="63"/>
        <v>1</v>
      </c>
      <c r="N365" s="662"/>
      <c r="O365" s="21">
        <f t="shared" si="64"/>
        <v>1</v>
      </c>
      <c r="P365" s="662">
        <v>-1</v>
      </c>
      <c r="Q365" s="21">
        <f t="shared" si="65"/>
        <v>1</v>
      </c>
      <c r="R365" s="659">
        <f t="shared" ca="1" si="66"/>
        <v>4662</v>
      </c>
      <c r="S365" s="316">
        <f t="shared" ca="1" si="57"/>
        <v>38</v>
      </c>
      <c r="T365" s="720" t="str">
        <f>商办车库!H474</f>
        <v>车位</v>
      </c>
    </row>
    <row r="366" spans="1:20">
      <c r="A366" s="3539" t="str">
        <f>商办车库!E475</f>
        <v>B1111、B1112</v>
      </c>
      <c r="B366" s="54">
        <f>商办车库!F475</f>
        <v>80.86</v>
      </c>
      <c r="C366" s="3438">
        <v>1</v>
      </c>
      <c r="D366" s="662"/>
      <c r="E366" s="21">
        <f t="shared" si="59"/>
        <v>1</v>
      </c>
      <c r="F366" s="662"/>
      <c r="G366" s="21">
        <f t="shared" si="60"/>
        <v>1</v>
      </c>
      <c r="H366" s="662"/>
      <c r="I366" s="21">
        <f t="shared" si="61"/>
        <v>1</v>
      </c>
      <c r="J366" s="662"/>
      <c r="K366" s="21">
        <f t="shared" si="62"/>
        <v>1</v>
      </c>
      <c r="L366" s="662"/>
      <c r="M366" s="21">
        <f t="shared" si="63"/>
        <v>1</v>
      </c>
      <c r="N366" s="662"/>
      <c r="O366" s="21">
        <f t="shared" si="64"/>
        <v>1</v>
      </c>
      <c r="P366" s="662">
        <v>-1</v>
      </c>
      <c r="Q366" s="21">
        <f t="shared" si="65"/>
        <v>1</v>
      </c>
      <c r="R366" s="659">
        <f t="shared" ca="1" si="66"/>
        <v>4662</v>
      </c>
      <c r="S366" s="316">
        <f t="shared" ca="1" si="57"/>
        <v>38</v>
      </c>
      <c r="T366" s="720" t="str">
        <f>商办车库!H475</f>
        <v>车位</v>
      </c>
    </row>
    <row r="367" spans="1:20">
      <c r="A367" s="3539" t="str">
        <f>商办车库!E476</f>
        <v>B1113</v>
      </c>
      <c r="B367" s="54">
        <f>商办车库!F476</f>
        <v>40.43</v>
      </c>
      <c r="C367" s="21">
        <f t="shared" si="58"/>
        <v>1</v>
      </c>
      <c r="D367" s="662"/>
      <c r="E367" s="21">
        <f t="shared" si="59"/>
        <v>1</v>
      </c>
      <c r="F367" s="662"/>
      <c r="G367" s="21">
        <f t="shared" si="60"/>
        <v>1</v>
      </c>
      <c r="H367" s="662"/>
      <c r="I367" s="21">
        <f t="shared" si="61"/>
        <v>1</v>
      </c>
      <c r="J367" s="662"/>
      <c r="K367" s="21">
        <f t="shared" si="62"/>
        <v>1</v>
      </c>
      <c r="L367" s="662"/>
      <c r="M367" s="21">
        <f t="shared" si="63"/>
        <v>1</v>
      </c>
      <c r="N367" s="662"/>
      <c r="O367" s="21">
        <f t="shared" si="64"/>
        <v>1</v>
      </c>
      <c r="P367" s="662">
        <v>-1</v>
      </c>
      <c r="Q367" s="21">
        <f t="shared" si="65"/>
        <v>1</v>
      </c>
      <c r="R367" s="659">
        <f t="shared" ca="1" si="66"/>
        <v>4662</v>
      </c>
      <c r="S367" s="316">
        <f t="shared" ca="1" si="57"/>
        <v>19</v>
      </c>
      <c r="T367" s="720" t="str">
        <f>商办车库!H476</f>
        <v>车位</v>
      </c>
    </row>
    <row r="368" spans="1:20">
      <c r="A368" s="3539" t="str">
        <f>商办车库!E477</f>
        <v>B1114</v>
      </c>
      <c r="B368" s="54">
        <f>商办车库!F477</f>
        <v>40.43</v>
      </c>
      <c r="C368" s="21">
        <f t="shared" si="58"/>
        <v>1</v>
      </c>
      <c r="D368" s="662"/>
      <c r="E368" s="21">
        <f t="shared" si="59"/>
        <v>1</v>
      </c>
      <c r="F368" s="662"/>
      <c r="G368" s="21">
        <f t="shared" si="60"/>
        <v>1</v>
      </c>
      <c r="H368" s="662"/>
      <c r="I368" s="21">
        <f t="shared" si="61"/>
        <v>1</v>
      </c>
      <c r="J368" s="662"/>
      <c r="K368" s="21">
        <f t="shared" si="62"/>
        <v>1</v>
      </c>
      <c r="L368" s="662"/>
      <c r="M368" s="21">
        <f t="shared" si="63"/>
        <v>1</v>
      </c>
      <c r="N368" s="662"/>
      <c r="O368" s="21">
        <f t="shared" si="64"/>
        <v>1</v>
      </c>
      <c r="P368" s="662">
        <v>-1</v>
      </c>
      <c r="Q368" s="21">
        <f t="shared" si="65"/>
        <v>1</v>
      </c>
      <c r="R368" s="659">
        <f t="shared" ca="1" si="66"/>
        <v>4662</v>
      </c>
      <c r="S368" s="316">
        <f t="shared" ca="1" si="57"/>
        <v>19</v>
      </c>
      <c r="T368" s="720" t="str">
        <f>商办车库!H477</f>
        <v>车位</v>
      </c>
    </row>
    <row r="369" spans="1:20">
      <c r="A369" s="3539" t="str">
        <f>商办车库!E478</f>
        <v>B1115</v>
      </c>
      <c r="B369" s="54">
        <f>商办车库!F478</f>
        <v>40.43</v>
      </c>
      <c r="C369" s="21">
        <f t="shared" si="58"/>
        <v>1</v>
      </c>
      <c r="D369" s="662"/>
      <c r="E369" s="21">
        <f t="shared" si="59"/>
        <v>1</v>
      </c>
      <c r="F369" s="662"/>
      <c r="G369" s="21">
        <f t="shared" si="60"/>
        <v>1</v>
      </c>
      <c r="H369" s="662"/>
      <c r="I369" s="21">
        <f t="shared" si="61"/>
        <v>1</v>
      </c>
      <c r="J369" s="662"/>
      <c r="K369" s="21">
        <f t="shared" si="62"/>
        <v>1</v>
      </c>
      <c r="L369" s="662"/>
      <c r="M369" s="21">
        <f t="shared" si="63"/>
        <v>1</v>
      </c>
      <c r="N369" s="662"/>
      <c r="O369" s="21">
        <f t="shared" si="64"/>
        <v>1</v>
      </c>
      <c r="P369" s="662">
        <v>-1</v>
      </c>
      <c r="Q369" s="21">
        <f t="shared" si="65"/>
        <v>1</v>
      </c>
      <c r="R369" s="659">
        <f t="shared" ca="1" si="66"/>
        <v>4662</v>
      </c>
      <c r="S369" s="316">
        <f t="shared" ca="1" si="57"/>
        <v>19</v>
      </c>
      <c r="T369" s="720" t="str">
        <f>商办车库!H478</f>
        <v>车位</v>
      </c>
    </row>
    <row r="370" spans="1:20">
      <c r="A370" s="3539" t="str">
        <f>商办车库!E479</f>
        <v>B1116</v>
      </c>
      <c r="B370" s="54">
        <f>商办车库!F479</f>
        <v>40.43</v>
      </c>
      <c r="C370" s="21">
        <f t="shared" si="58"/>
        <v>1</v>
      </c>
      <c r="D370" s="662"/>
      <c r="E370" s="21">
        <f t="shared" si="59"/>
        <v>1</v>
      </c>
      <c r="F370" s="662"/>
      <c r="G370" s="21">
        <f t="shared" si="60"/>
        <v>1</v>
      </c>
      <c r="H370" s="662"/>
      <c r="I370" s="21">
        <f t="shared" si="61"/>
        <v>1</v>
      </c>
      <c r="J370" s="662"/>
      <c r="K370" s="21">
        <f t="shared" si="62"/>
        <v>1</v>
      </c>
      <c r="L370" s="662"/>
      <c r="M370" s="21">
        <f t="shared" si="63"/>
        <v>1</v>
      </c>
      <c r="N370" s="662"/>
      <c r="O370" s="21">
        <f t="shared" si="64"/>
        <v>1</v>
      </c>
      <c r="P370" s="662">
        <v>-1</v>
      </c>
      <c r="Q370" s="21">
        <f t="shared" si="65"/>
        <v>1</v>
      </c>
      <c r="R370" s="659">
        <f t="shared" ca="1" si="66"/>
        <v>4662</v>
      </c>
      <c r="S370" s="316">
        <f t="shared" ca="1" si="57"/>
        <v>19</v>
      </c>
      <c r="T370" s="720" t="str">
        <f>商办车库!H479</f>
        <v>车位</v>
      </c>
    </row>
    <row r="371" spans="1:20">
      <c r="A371" s="3539" t="str">
        <f>商办车库!E480</f>
        <v>B1117</v>
      </c>
      <c r="B371" s="54">
        <f>商办车库!F480</f>
        <v>40.43</v>
      </c>
      <c r="C371" s="21">
        <f t="shared" si="58"/>
        <v>1</v>
      </c>
      <c r="D371" s="662"/>
      <c r="E371" s="21">
        <f t="shared" si="59"/>
        <v>1</v>
      </c>
      <c r="F371" s="662"/>
      <c r="G371" s="21">
        <f t="shared" si="60"/>
        <v>1</v>
      </c>
      <c r="H371" s="662"/>
      <c r="I371" s="21">
        <f t="shared" si="61"/>
        <v>1</v>
      </c>
      <c r="J371" s="662"/>
      <c r="K371" s="21">
        <f t="shared" si="62"/>
        <v>1</v>
      </c>
      <c r="L371" s="662"/>
      <c r="M371" s="21">
        <f t="shared" si="63"/>
        <v>1</v>
      </c>
      <c r="N371" s="662"/>
      <c r="O371" s="21">
        <f t="shared" si="64"/>
        <v>1</v>
      </c>
      <c r="P371" s="662">
        <v>-1</v>
      </c>
      <c r="Q371" s="21">
        <f t="shared" si="65"/>
        <v>1</v>
      </c>
      <c r="R371" s="659">
        <f t="shared" ca="1" si="66"/>
        <v>4662</v>
      </c>
      <c r="S371" s="316">
        <f t="shared" ca="1" si="57"/>
        <v>19</v>
      </c>
      <c r="T371" s="720" t="str">
        <f>商办车库!H480</f>
        <v>车位</v>
      </c>
    </row>
    <row r="372" spans="1:20">
      <c r="A372" s="3539" t="str">
        <f>商办车库!E481</f>
        <v>B1118</v>
      </c>
      <c r="B372" s="54">
        <f>商办车库!F481</f>
        <v>40.43</v>
      </c>
      <c r="C372" s="21">
        <f t="shared" si="58"/>
        <v>1</v>
      </c>
      <c r="D372" s="662"/>
      <c r="E372" s="21">
        <f t="shared" si="59"/>
        <v>1</v>
      </c>
      <c r="F372" s="662"/>
      <c r="G372" s="21">
        <f t="shared" si="60"/>
        <v>1</v>
      </c>
      <c r="H372" s="662"/>
      <c r="I372" s="21">
        <f t="shared" si="61"/>
        <v>1</v>
      </c>
      <c r="J372" s="662"/>
      <c r="K372" s="21">
        <f t="shared" si="62"/>
        <v>1</v>
      </c>
      <c r="L372" s="662"/>
      <c r="M372" s="21">
        <f t="shared" si="63"/>
        <v>1</v>
      </c>
      <c r="N372" s="662"/>
      <c r="O372" s="21">
        <f t="shared" si="64"/>
        <v>1</v>
      </c>
      <c r="P372" s="662">
        <v>-1</v>
      </c>
      <c r="Q372" s="21">
        <f t="shared" si="65"/>
        <v>1</v>
      </c>
      <c r="R372" s="659">
        <f t="shared" ca="1" si="66"/>
        <v>4662</v>
      </c>
      <c r="S372" s="316">
        <f t="shared" ca="1" si="57"/>
        <v>19</v>
      </c>
      <c r="T372" s="720" t="str">
        <f>商办车库!H481</f>
        <v>车位</v>
      </c>
    </row>
    <row r="373" spans="1:20">
      <c r="A373" s="3539" t="str">
        <f>商办车库!E482</f>
        <v>B1119</v>
      </c>
      <c r="B373" s="54">
        <f>商办车库!F482</f>
        <v>40.43</v>
      </c>
      <c r="C373" s="21">
        <f t="shared" si="58"/>
        <v>1</v>
      </c>
      <c r="D373" s="662"/>
      <c r="E373" s="21">
        <f t="shared" si="59"/>
        <v>1</v>
      </c>
      <c r="F373" s="662"/>
      <c r="G373" s="21">
        <f t="shared" si="60"/>
        <v>1</v>
      </c>
      <c r="H373" s="662"/>
      <c r="I373" s="21">
        <f t="shared" si="61"/>
        <v>1</v>
      </c>
      <c r="J373" s="662"/>
      <c r="K373" s="21">
        <f t="shared" si="62"/>
        <v>1</v>
      </c>
      <c r="L373" s="662"/>
      <c r="M373" s="21">
        <f t="shared" si="63"/>
        <v>1</v>
      </c>
      <c r="N373" s="662"/>
      <c r="O373" s="21">
        <f t="shared" si="64"/>
        <v>1</v>
      </c>
      <c r="P373" s="662">
        <v>-1</v>
      </c>
      <c r="Q373" s="21">
        <f t="shared" si="65"/>
        <v>1</v>
      </c>
      <c r="R373" s="659">
        <f t="shared" ca="1" si="66"/>
        <v>4662</v>
      </c>
      <c r="S373" s="316">
        <f t="shared" ca="1" si="57"/>
        <v>19</v>
      </c>
      <c r="T373" s="720" t="str">
        <f>商办车库!H482</f>
        <v>车位</v>
      </c>
    </row>
    <row r="374" spans="1:20">
      <c r="A374" s="3539" t="str">
        <f>商办车库!E483</f>
        <v>B1120</v>
      </c>
      <c r="B374" s="54">
        <f>商办车库!F483</f>
        <v>40.43</v>
      </c>
      <c r="C374" s="21">
        <f t="shared" si="58"/>
        <v>1</v>
      </c>
      <c r="D374" s="662"/>
      <c r="E374" s="21">
        <f t="shared" si="59"/>
        <v>1</v>
      </c>
      <c r="F374" s="662"/>
      <c r="G374" s="21">
        <f t="shared" si="60"/>
        <v>1</v>
      </c>
      <c r="H374" s="662"/>
      <c r="I374" s="21">
        <f t="shared" si="61"/>
        <v>1</v>
      </c>
      <c r="J374" s="662"/>
      <c r="K374" s="21">
        <f t="shared" si="62"/>
        <v>1</v>
      </c>
      <c r="L374" s="662"/>
      <c r="M374" s="21">
        <f t="shared" si="63"/>
        <v>1</v>
      </c>
      <c r="N374" s="662"/>
      <c r="O374" s="21">
        <f t="shared" si="64"/>
        <v>1</v>
      </c>
      <c r="P374" s="662">
        <v>-1</v>
      </c>
      <c r="Q374" s="21">
        <f t="shared" si="65"/>
        <v>1</v>
      </c>
      <c r="R374" s="659">
        <f t="shared" ca="1" si="66"/>
        <v>4662</v>
      </c>
      <c r="S374" s="316">
        <f t="shared" ca="1" si="57"/>
        <v>19</v>
      </c>
      <c r="T374" s="720" t="str">
        <f>商办车库!H483</f>
        <v>车位</v>
      </c>
    </row>
    <row r="375" spans="1:20">
      <c r="A375" s="3539" t="str">
        <f>商办车库!E484</f>
        <v>B1121</v>
      </c>
      <c r="B375" s="54">
        <f>商办车库!F484</f>
        <v>40.43</v>
      </c>
      <c r="C375" s="21">
        <f t="shared" si="58"/>
        <v>1</v>
      </c>
      <c r="D375" s="662"/>
      <c r="E375" s="21">
        <f t="shared" si="59"/>
        <v>1</v>
      </c>
      <c r="F375" s="662"/>
      <c r="G375" s="21">
        <f t="shared" si="60"/>
        <v>1</v>
      </c>
      <c r="H375" s="662"/>
      <c r="I375" s="21">
        <f t="shared" si="61"/>
        <v>1</v>
      </c>
      <c r="J375" s="662"/>
      <c r="K375" s="21">
        <f t="shared" si="62"/>
        <v>1</v>
      </c>
      <c r="L375" s="662"/>
      <c r="M375" s="21">
        <f t="shared" si="63"/>
        <v>1</v>
      </c>
      <c r="N375" s="662"/>
      <c r="O375" s="21">
        <f t="shared" si="64"/>
        <v>1</v>
      </c>
      <c r="P375" s="662">
        <v>-1</v>
      </c>
      <c r="Q375" s="21">
        <f t="shared" si="65"/>
        <v>1</v>
      </c>
      <c r="R375" s="659">
        <f t="shared" ca="1" si="66"/>
        <v>4662</v>
      </c>
      <c r="S375" s="316">
        <f t="shared" ca="1" si="57"/>
        <v>19</v>
      </c>
      <c r="T375" s="720" t="str">
        <f>商办车库!H484</f>
        <v>车位</v>
      </c>
    </row>
    <row r="376" spans="1:20">
      <c r="A376" s="3539" t="str">
        <f>商办车库!E485</f>
        <v>B1122</v>
      </c>
      <c r="B376" s="54">
        <f>商办车库!F485</f>
        <v>40.43</v>
      </c>
      <c r="C376" s="21">
        <f t="shared" si="58"/>
        <v>1</v>
      </c>
      <c r="D376" s="662"/>
      <c r="E376" s="21">
        <f t="shared" si="59"/>
        <v>1</v>
      </c>
      <c r="F376" s="662"/>
      <c r="G376" s="21">
        <f t="shared" si="60"/>
        <v>1</v>
      </c>
      <c r="H376" s="662"/>
      <c r="I376" s="21">
        <f t="shared" si="61"/>
        <v>1</v>
      </c>
      <c r="J376" s="662"/>
      <c r="K376" s="21">
        <f t="shared" si="62"/>
        <v>1</v>
      </c>
      <c r="L376" s="662"/>
      <c r="M376" s="21">
        <f t="shared" si="63"/>
        <v>1</v>
      </c>
      <c r="N376" s="662"/>
      <c r="O376" s="21">
        <f t="shared" si="64"/>
        <v>1</v>
      </c>
      <c r="P376" s="662">
        <v>-1</v>
      </c>
      <c r="Q376" s="21">
        <f t="shared" si="65"/>
        <v>1</v>
      </c>
      <c r="R376" s="659">
        <f t="shared" ca="1" si="66"/>
        <v>4662</v>
      </c>
      <c r="S376" s="316">
        <f t="shared" ca="1" si="57"/>
        <v>19</v>
      </c>
      <c r="T376" s="720" t="str">
        <f>商办车库!H485</f>
        <v>车位</v>
      </c>
    </row>
    <row r="377" spans="1:20">
      <c r="A377" s="3539" t="str">
        <f>商办车库!E486</f>
        <v>B1123</v>
      </c>
      <c r="B377" s="54">
        <f>商办车库!F486</f>
        <v>40.43</v>
      </c>
      <c r="C377" s="21">
        <f t="shared" si="58"/>
        <v>1</v>
      </c>
      <c r="D377" s="662"/>
      <c r="E377" s="21">
        <f t="shared" si="59"/>
        <v>1</v>
      </c>
      <c r="F377" s="662"/>
      <c r="G377" s="21">
        <f t="shared" si="60"/>
        <v>1</v>
      </c>
      <c r="H377" s="662"/>
      <c r="I377" s="21">
        <f t="shared" si="61"/>
        <v>1</v>
      </c>
      <c r="J377" s="662"/>
      <c r="K377" s="21">
        <f t="shared" si="62"/>
        <v>1</v>
      </c>
      <c r="L377" s="662"/>
      <c r="M377" s="21">
        <f t="shared" si="63"/>
        <v>1</v>
      </c>
      <c r="N377" s="662"/>
      <c r="O377" s="21">
        <f t="shared" si="64"/>
        <v>1</v>
      </c>
      <c r="P377" s="662">
        <v>-1</v>
      </c>
      <c r="Q377" s="21">
        <f t="shared" si="65"/>
        <v>1</v>
      </c>
      <c r="R377" s="659">
        <f t="shared" ca="1" si="66"/>
        <v>4662</v>
      </c>
      <c r="S377" s="316">
        <f t="shared" ca="1" si="57"/>
        <v>19</v>
      </c>
      <c r="T377" s="720" t="str">
        <f>商办车库!H486</f>
        <v>车位</v>
      </c>
    </row>
    <row r="378" spans="1:20">
      <c r="A378" s="3539" t="str">
        <f>商办车库!E487</f>
        <v>B1124</v>
      </c>
      <c r="B378" s="54">
        <f>商办车库!F487</f>
        <v>40.43</v>
      </c>
      <c r="C378" s="21">
        <f t="shared" si="58"/>
        <v>1</v>
      </c>
      <c r="D378" s="662"/>
      <c r="E378" s="21">
        <f t="shared" si="59"/>
        <v>1</v>
      </c>
      <c r="F378" s="662"/>
      <c r="G378" s="21">
        <f t="shared" si="60"/>
        <v>1</v>
      </c>
      <c r="H378" s="662"/>
      <c r="I378" s="21">
        <f t="shared" si="61"/>
        <v>1</v>
      </c>
      <c r="J378" s="662"/>
      <c r="K378" s="21">
        <f t="shared" si="62"/>
        <v>1</v>
      </c>
      <c r="L378" s="662"/>
      <c r="M378" s="21">
        <f t="shared" si="63"/>
        <v>1</v>
      </c>
      <c r="N378" s="662"/>
      <c r="O378" s="21">
        <f t="shared" si="64"/>
        <v>1</v>
      </c>
      <c r="P378" s="662">
        <v>-1</v>
      </c>
      <c r="Q378" s="21">
        <f t="shared" si="65"/>
        <v>1</v>
      </c>
      <c r="R378" s="659">
        <f t="shared" ca="1" si="66"/>
        <v>4662</v>
      </c>
      <c r="S378" s="316">
        <f t="shared" ca="1" si="57"/>
        <v>19</v>
      </c>
      <c r="T378" s="720" t="str">
        <f>商办车库!H487</f>
        <v>车位</v>
      </c>
    </row>
    <row r="379" spans="1:20">
      <c r="A379" s="3539" t="str">
        <f>商办车库!E488</f>
        <v>B1125</v>
      </c>
      <c r="B379" s="54">
        <f>商办车库!F488</f>
        <v>40.43</v>
      </c>
      <c r="C379" s="21">
        <f t="shared" si="58"/>
        <v>1</v>
      </c>
      <c r="D379" s="662"/>
      <c r="E379" s="21">
        <f t="shared" si="59"/>
        <v>1</v>
      </c>
      <c r="F379" s="662"/>
      <c r="G379" s="21">
        <f t="shared" si="60"/>
        <v>1</v>
      </c>
      <c r="H379" s="662"/>
      <c r="I379" s="21">
        <f t="shared" si="61"/>
        <v>1</v>
      </c>
      <c r="J379" s="662"/>
      <c r="K379" s="21">
        <f t="shared" si="62"/>
        <v>1</v>
      </c>
      <c r="L379" s="662"/>
      <c r="M379" s="21">
        <f t="shared" si="63"/>
        <v>1</v>
      </c>
      <c r="N379" s="662"/>
      <c r="O379" s="21">
        <f t="shared" si="64"/>
        <v>1</v>
      </c>
      <c r="P379" s="662">
        <v>-1</v>
      </c>
      <c r="Q379" s="21">
        <f t="shared" si="65"/>
        <v>1</v>
      </c>
      <c r="R379" s="659">
        <f t="shared" ca="1" si="66"/>
        <v>4662</v>
      </c>
      <c r="S379" s="316">
        <f t="shared" ca="1" si="57"/>
        <v>19</v>
      </c>
      <c r="T379" s="720" t="str">
        <f>商办车库!H488</f>
        <v>车位</v>
      </c>
    </row>
    <row r="380" spans="1:20">
      <c r="A380" s="3539" t="str">
        <f>商办车库!E489</f>
        <v>B1126</v>
      </c>
      <c r="B380" s="54">
        <f>商办车库!F489</f>
        <v>40.43</v>
      </c>
      <c r="C380" s="21">
        <f t="shared" si="58"/>
        <v>1</v>
      </c>
      <c r="D380" s="662"/>
      <c r="E380" s="21">
        <f t="shared" si="59"/>
        <v>1</v>
      </c>
      <c r="F380" s="662"/>
      <c r="G380" s="21">
        <f t="shared" si="60"/>
        <v>1</v>
      </c>
      <c r="H380" s="662"/>
      <c r="I380" s="21">
        <f t="shared" si="61"/>
        <v>1</v>
      </c>
      <c r="J380" s="662"/>
      <c r="K380" s="21">
        <f t="shared" si="62"/>
        <v>1</v>
      </c>
      <c r="L380" s="662"/>
      <c r="M380" s="21">
        <f t="shared" si="63"/>
        <v>1</v>
      </c>
      <c r="N380" s="662"/>
      <c r="O380" s="21">
        <f t="shared" si="64"/>
        <v>1</v>
      </c>
      <c r="P380" s="662">
        <v>-1</v>
      </c>
      <c r="Q380" s="21">
        <f t="shared" si="65"/>
        <v>1</v>
      </c>
      <c r="R380" s="659">
        <f t="shared" ca="1" si="66"/>
        <v>4662</v>
      </c>
      <c r="S380" s="316">
        <f t="shared" ca="1" si="57"/>
        <v>19</v>
      </c>
      <c r="T380" s="720" t="str">
        <f>商办车库!H489</f>
        <v>车位</v>
      </c>
    </row>
    <row r="381" spans="1:20">
      <c r="A381" s="3539" t="str">
        <f>商办车库!E490</f>
        <v>B1127</v>
      </c>
      <c r="B381" s="54">
        <f>商办车库!F490</f>
        <v>40.43</v>
      </c>
      <c r="C381" s="21">
        <f t="shared" si="58"/>
        <v>1</v>
      </c>
      <c r="D381" s="662"/>
      <c r="E381" s="21">
        <f t="shared" si="59"/>
        <v>1</v>
      </c>
      <c r="F381" s="662"/>
      <c r="G381" s="21">
        <f t="shared" si="60"/>
        <v>1</v>
      </c>
      <c r="H381" s="662"/>
      <c r="I381" s="21">
        <f t="shared" si="61"/>
        <v>1</v>
      </c>
      <c r="J381" s="662"/>
      <c r="K381" s="21">
        <f t="shared" si="62"/>
        <v>1</v>
      </c>
      <c r="L381" s="662"/>
      <c r="M381" s="21">
        <f t="shared" si="63"/>
        <v>1</v>
      </c>
      <c r="N381" s="662"/>
      <c r="O381" s="21">
        <f t="shared" si="64"/>
        <v>1</v>
      </c>
      <c r="P381" s="662">
        <v>-1</v>
      </c>
      <c r="Q381" s="21">
        <f t="shared" si="65"/>
        <v>1</v>
      </c>
      <c r="R381" s="659">
        <f t="shared" ca="1" si="66"/>
        <v>4662</v>
      </c>
      <c r="S381" s="316">
        <f t="shared" ca="1" si="57"/>
        <v>19</v>
      </c>
      <c r="T381" s="720" t="str">
        <f>商办车库!H490</f>
        <v>车位</v>
      </c>
    </row>
    <row r="382" spans="1:20">
      <c r="A382" s="3539" t="str">
        <f>商办车库!E491</f>
        <v>B1128</v>
      </c>
      <c r="B382" s="54">
        <f>商办车库!F491</f>
        <v>40.43</v>
      </c>
      <c r="C382" s="21">
        <f t="shared" si="58"/>
        <v>1</v>
      </c>
      <c r="D382" s="662"/>
      <c r="E382" s="21">
        <f t="shared" si="59"/>
        <v>1</v>
      </c>
      <c r="F382" s="662"/>
      <c r="G382" s="21">
        <f t="shared" si="60"/>
        <v>1</v>
      </c>
      <c r="H382" s="662"/>
      <c r="I382" s="21">
        <f t="shared" si="61"/>
        <v>1</v>
      </c>
      <c r="J382" s="662"/>
      <c r="K382" s="21">
        <f t="shared" si="62"/>
        <v>1</v>
      </c>
      <c r="L382" s="662"/>
      <c r="M382" s="21">
        <f t="shared" si="63"/>
        <v>1</v>
      </c>
      <c r="N382" s="662"/>
      <c r="O382" s="21">
        <f t="shared" si="64"/>
        <v>1</v>
      </c>
      <c r="P382" s="662">
        <v>-1</v>
      </c>
      <c r="Q382" s="21">
        <f t="shared" si="65"/>
        <v>1</v>
      </c>
      <c r="R382" s="659">
        <f t="shared" ca="1" si="66"/>
        <v>4662</v>
      </c>
      <c r="S382" s="316">
        <f t="shared" ca="1" si="57"/>
        <v>19</v>
      </c>
      <c r="T382" s="720" t="str">
        <f>商办车库!H491</f>
        <v>车位</v>
      </c>
    </row>
    <row r="383" spans="1:20">
      <c r="A383" s="3539" t="str">
        <f>商办车库!E492</f>
        <v>B1129</v>
      </c>
      <c r="B383" s="54">
        <f>商办车库!F492</f>
        <v>40.43</v>
      </c>
      <c r="C383" s="21">
        <f t="shared" si="58"/>
        <v>1</v>
      </c>
      <c r="D383" s="662"/>
      <c r="E383" s="21">
        <f t="shared" si="59"/>
        <v>1</v>
      </c>
      <c r="F383" s="662"/>
      <c r="G383" s="21">
        <f t="shared" si="60"/>
        <v>1</v>
      </c>
      <c r="H383" s="662"/>
      <c r="I383" s="21">
        <f t="shared" si="61"/>
        <v>1</v>
      </c>
      <c r="J383" s="662"/>
      <c r="K383" s="21">
        <f t="shared" si="62"/>
        <v>1</v>
      </c>
      <c r="L383" s="662"/>
      <c r="M383" s="21">
        <f t="shared" si="63"/>
        <v>1</v>
      </c>
      <c r="N383" s="662"/>
      <c r="O383" s="21">
        <f t="shared" si="64"/>
        <v>1</v>
      </c>
      <c r="P383" s="662">
        <v>-1</v>
      </c>
      <c r="Q383" s="21">
        <f t="shared" si="65"/>
        <v>1</v>
      </c>
      <c r="R383" s="659">
        <f t="shared" ca="1" si="66"/>
        <v>4662</v>
      </c>
      <c r="S383" s="316">
        <f t="shared" ca="1" si="57"/>
        <v>19</v>
      </c>
      <c r="T383" s="720" t="str">
        <f>商办车库!H492</f>
        <v>车位</v>
      </c>
    </row>
    <row r="384" spans="1:20">
      <c r="A384" s="3539" t="str">
        <f>商办车库!E493</f>
        <v>B1130</v>
      </c>
      <c r="B384" s="54">
        <f>商办车库!F493</f>
        <v>40.43</v>
      </c>
      <c r="C384" s="21">
        <f t="shared" si="58"/>
        <v>1</v>
      </c>
      <c r="D384" s="662"/>
      <c r="E384" s="21">
        <f t="shared" si="59"/>
        <v>1</v>
      </c>
      <c r="F384" s="662"/>
      <c r="G384" s="21">
        <f t="shared" si="60"/>
        <v>1</v>
      </c>
      <c r="H384" s="662"/>
      <c r="I384" s="21">
        <f t="shared" si="61"/>
        <v>1</v>
      </c>
      <c r="J384" s="662"/>
      <c r="K384" s="21">
        <f t="shared" si="62"/>
        <v>1</v>
      </c>
      <c r="L384" s="662"/>
      <c r="M384" s="21">
        <f t="shared" si="63"/>
        <v>1</v>
      </c>
      <c r="N384" s="662"/>
      <c r="O384" s="21">
        <f t="shared" si="64"/>
        <v>1</v>
      </c>
      <c r="P384" s="662">
        <v>-1</v>
      </c>
      <c r="Q384" s="21">
        <f t="shared" si="65"/>
        <v>1</v>
      </c>
      <c r="R384" s="659">
        <f t="shared" ca="1" si="66"/>
        <v>4662</v>
      </c>
      <c r="S384" s="316">
        <f t="shared" ca="1" si="57"/>
        <v>19</v>
      </c>
      <c r="T384" s="720" t="str">
        <f>商办车库!H493</f>
        <v>车位</v>
      </c>
    </row>
    <row r="385" spans="1:20">
      <c r="A385" s="3539" t="str">
        <f>商办车库!E494</f>
        <v>B1131</v>
      </c>
      <c r="B385" s="54">
        <f>商办车库!F494</f>
        <v>40.43</v>
      </c>
      <c r="C385" s="21">
        <f t="shared" si="58"/>
        <v>1</v>
      </c>
      <c r="D385" s="662"/>
      <c r="E385" s="21">
        <f t="shared" si="59"/>
        <v>1</v>
      </c>
      <c r="F385" s="662"/>
      <c r="G385" s="21">
        <f t="shared" si="60"/>
        <v>1</v>
      </c>
      <c r="H385" s="662"/>
      <c r="I385" s="21">
        <f t="shared" si="61"/>
        <v>1</v>
      </c>
      <c r="J385" s="662"/>
      <c r="K385" s="21">
        <f t="shared" si="62"/>
        <v>1</v>
      </c>
      <c r="L385" s="662"/>
      <c r="M385" s="21">
        <f t="shared" si="63"/>
        <v>1</v>
      </c>
      <c r="N385" s="662"/>
      <c r="O385" s="21">
        <f t="shared" si="64"/>
        <v>1</v>
      </c>
      <c r="P385" s="662">
        <v>-1</v>
      </c>
      <c r="Q385" s="21">
        <f t="shared" si="65"/>
        <v>1</v>
      </c>
      <c r="R385" s="659">
        <f t="shared" ca="1" si="66"/>
        <v>4662</v>
      </c>
      <c r="S385" s="316">
        <f t="shared" ca="1" si="57"/>
        <v>19</v>
      </c>
      <c r="T385" s="720" t="str">
        <f>商办车库!H494</f>
        <v>车位</v>
      </c>
    </row>
    <row r="386" spans="1:20">
      <c r="A386" s="3539" t="str">
        <f>商办车库!E495</f>
        <v>B1132</v>
      </c>
      <c r="B386" s="54">
        <f>商办车库!F495</f>
        <v>40.43</v>
      </c>
      <c r="C386" s="21">
        <f t="shared" si="58"/>
        <v>1</v>
      </c>
      <c r="D386" s="662"/>
      <c r="E386" s="21">
        <f t="shared" si="59"/>
        <v>1</v>
      </c>
      <c r="F386" s="662"/>
      <c r="G386" s="21">
        <f t="shared" si="60"/>
        <v>1</v>
      </c>
      <c r="H386" s="662"/>
      <c r="I386" s="21">
        <f t="shared" si="61"/>
        <v>1</v>
      </c>
      <c r="J386" s="662"/>
      <c r="K386" s="21">
        <f t="shared" si="62"/>
        <v>1</v>
      </c>
      <c r="L386" s="662"/>
      <c r="M386" s="21">
        <f t="shared" si="63"/>
        <v>1</v>
      </c>
      <c r="N386" s="662"/>
      <c r="O386" s="21">
        <f t="shared" si="64"/>
        <v>1</v>
      </c>
      <c r="P386" s="662">
        <v>-1</v>
      </c>
      <c r="Q386" s="21">
        <f t="shared" si="65"/>
        <v>1</v>
      </c>
      <c r="R386" s="659">
        <f t="shared" ca="1" si="66"/>
        <v>4662</v>
      </c>
      <c r="S386" s="316">
        <f t="shared" ca="1" si="57"/>
        <v>19</v>
      </c>
      <c r="T386" s="720" t="str">
        <f>商办车库!H495</f>
        <v>车位</v>
      </c>
    </row>
    <row r="387" spans="1:20">
      <c r="A387" s="3539" t="str">
        <f>商办车库!E496</f>
        <v>B1133</v>
      </c>
      <c r="B387" s="54">
        <f>商办车库!F496</f>
        <v>40.43</v>
      </c>
      <c r="C387" s="21">
        <f t="shared" si="58"/>
        <v>1</v>
      </c>
      <c r="D387" s="662"/>
      <c r="E387" s="21">
        <f t="shared" si="59"/>
        <v>1</v>
      </c>
      <c r="F387" s="662"/>
      <c r="G387" s="21">
        <f t="shared" si="60"/>
        <v>1</v>
      </c>
      <c r="H387" s="662"/>
      <c r="I387" s="21">
        <f t="shared" si="61"/>
        <v>1</v>
      </c>
      <c r="J387" s="662"/>
      <c r="K387" s="21">
        <f t="shared" si="62"/>
        <v>1</v>
      </c>
      <c r="L387" s="662"/>
      <c r="M387" s="21">
        <f t="shared" si="63"/>
        <v>1</v>
      </c>
      <c r="N387" s="662"/>
      <c r="O387" s="21">
        <f t="shared" si="64"/>
        <v>1</v>
      </c>
      <c r="P387" s="662">
        <v>-1</v>
      </c>
      <c r="Q387" s="21">
        <f t="shared" si="65"/>
        <v>1</v>
      </c>
      <c r="R387" s="659">
        <f t="shared" ca="1" si="66"/>
        <v>4662</v>
      </c>
      <c r="S387" s="316">
        <f t="shared" ca="1" si="57"/>
        <v>19</v>
      </c>
      <c r="T387" s="720" t="str">
        <f>商办车库!H496</f>
        <v>车位</v>
      </c>
    </row>
    <row r="388" spans="1:20">
      <c r="A388" s="3539" t="str">
        <f>商办车库!E497</f>
        <v>B1134</v>
      </c>
      <c r="B388" s="54">
        <f>商办车库!F497</f>
        <v>40.43</v>
      </c>
      <c r="C388" s="21">
        <f t="shared" si="58"/>
        <v>1</v>
      </c>
      <c r="D388" s="662"/>
      <c r="E388" s="21">
        <f t="shared" si="59"/>
        <v>1</v>
      </c>
      <c r="F388" s="662"/>
      <c r="G388" s="21">
        <f t="shared" si="60"/>
        <v>1</v>
      </c>
      <c r="H388" s="662"/>
      <c r="I388" s="21">
        <f t="shared" si="61"/>
        <v>1</v>
      </c>
      <c r="J388" s="662"/>
      <c r="K388" s="21">
        <f t="shared" si="62"/>
        <v>1</v>
      </c>
      <c r="L388" s="662"/>
      <c r="M388" s="21">
        <f t="shared" si="63"/>
        <v>1</v>
      </c>
      <c r="N388" s="662"/>
      <c r="O388" s="21">
        <f t="shared" si="64"/>
        <v>1</v>
      </c>
      <c r="P388" s="662">
        <v>-1</v>
      </c>
      <c r="Q388" s="21">
        <f t="shared" si="65"/>
        <v>1</v>
      </c>
      <c r="R388" s="659">
        <f t="shared" ca="1" si="66"/>
        <v>4662</v>
      </c>
      <c r="S388" s="316">
        <f t="shared" ca="1" si="57"/>
        <v>19</v>
      </c>
      <c r="T388" s="720" t="str">
        <f>商办车库!H497</f>
        <v>车位</v>
      </c>
    </row>
    <row r="389" spans="1:20">
      <c r="A389" s="3539" t="str">
        <f>商办车库!E498</f>
        <v>B1135</v>
      </c>
      <c r="B389" s="54">
        <f>商办车库!F498</f>
        <v>40.43</v>
      </c>
      <c r="C389" s="21">
        <f t="shared" si="58"/>
        <v>1</v>
      </c>
      <c r="D389" s="662"/>
      <c r="E389" s="21">
        <f t="shared" si="59"/>
        <v>1</v>
      </c>
      <c r="F389" s="662"/>
      <c r="G389" s="21">
        <f t="shared" si="60"/>
        <v>1</v>
      </c>
      <c r="H389" s="662"/>
      <c r="I389" s="21">
        <f t="shared" si="61"/>
        <v>1</v>
      </c>
      <c r="J389" s="662"/>
      <c r="K389" s="21">
        <f t="shared" si="62"/>
        <v>1</v>
      </c>
      <c r="L389" s="662"/>
      <c r="M389" s="21">
        <f t="shared" si="63"/>
        <v>1</v>
      </c>
      <c r="N389" s="662"/>
      <c r="O389" s="21">
        <f t="shared" si="64"/>
        <v>1</v>
      </c>
      <c r="P389" s="662">
        <v>-1</v>
      </c>
      <c r="Q389" s="21">
        <f t="shared" si="65"/>
        <v>1</v>
      </c>
      <c r="R389" s="659">
        <f t="shared" ca="1" si="66"/>
        <v>4662</v>
      </c>
      <c r="S389" s="316">
        <f t="shared" ca="1" si="57"/>
        <v>19</v>
      </c>
      <c r="T389" s="720" t="str">
        <f>商办车库!H498</f>
        <v>车位</v>
      </c>
    </row>
    <row r="390" spans="1:20">
      <c r="A390" s="3539" t="str">
        <f>商办车库!E499</f>
        <v>B1136</v>
      </c>
      <c r="B390" s="54">
        <f>商办车库!F499</f>
        <v>40.43</v>
      </c>
      <c r="C390" s="21">
        <f t="shared" si="58"/>
        <v>1</v>
      </c>
      <c r="D390" s="662"/>
      <c r="E390" s="21">
        <f t="shared" si="59"/>
        <v>1</v>
      </c>
      <c r="F390" s="662"/>
      <c r="G390" s="21">
        <f t="shared" si="60"/>
        <v>1</v>
      </c>
      <c r="H390" s="662"/>
      <c r="I390" s="21">
        <f t="shared" si="61"/>
        <v>1</v>
      </c>
      <c r="J390" s="662"/>
      <c r="K390" s="21">
        <f t="shared" si="62"/>
        <v>1</v>
      </c>
      <c r="L390" s="662"/>
      <c r="M390" s="21">
        <f t="shared" si="63"/>
        <v>1</v>
      </c>
      <c r="N390" s="662"/>
      <c r="O390" s="21">
        <f t="shared" si="64"/>
        <v>1</v>
      </c>
      <c r="P390" s="662">
        <v>-1</v>
      </c>
      <c r="Q390" s="21">
        <f t="shared" si="65"/>
        <v>1</v>
      </c>
      <c r="R390" s="659">
        <f t="shared" ca="1" si="66"/>
        <v>4662</v>
      </c>
      <c r="S390" s="316">
        <f t="shared" ca="1" si="57"/>
        <v>19</v>
      </c>
      <c r="T390" s="720" t="str">
        <f>商办车库!H499</f>
        <v>车位</v>
      </c>
    </row>
    <row r="391" spans="1:20">
      <c r="A391" s="3539" t="str">
        <f>商办车库!E500</f>
        <v>B1137</v>
      </c>
      <c r="B391" s="54">
        <f>商办车库!F500</f>
        <v>40.43</v>
      </c>
      <c r="C391" s="21">
        <f t="shared" si="58"/>
        <v>1</v>
      </c>
      <c r="D391" s="662"/>
      <c r="E391" s="21">
        <f t="shared" si="59"/>
        <v>1</v>
      </c>
      <c r="F391" s="662"/>
      <c r="G391" s="21">
        <f t="shared" si="60"/>
        <v>1</v>
      </c>
      <c r="H391" s="662"/>
      <c r="I391" s="21">
        <f t="shared" si="61"/>
        <v>1</v>
      </c>
      <c r="J391" s="662"/>
      <c r="K391" s="21">
        <f t="shared" si="62"/>
        <v>1</v>
      </c>
      <c r="L391" s="662"/>
      <c r="M391" s="21">
        <f t="shared" si="63"/>
        <v>1</v>
      </c>
      <c r="N391" s="662"/>
      <c r="O391" s="21">
        <f t="shared" si="64"/>
        <v>1</v>
      </c>
      <c r="P391" s="662">
        <v>-1</v>
      </c>
      <c r="Q391" s="21">
        <f t="shared" si="65"/>
        <v>1</v>
      </c>
      <c r="R391" s="659">
        <f t="shared" ca="1" si="66"/>
        <v>4662</v>
      </c>
      <c r="S391" s="316">
        <f t="shared" ca="1" si="57"/>
        <v>19</v>
      </c>
      <c r="T391" s="720" t="str">
        <f>商办车库!H500</f>
        <v>车位</v>
      </c>
    </row>
    <row r="392" spans="1:20">
      <c r="A392" s="3539" t="str">
        <f>商办车库!E501</f>
        <v>B1138</v>
      </c>
      <c r="B392" s="54">
        <f>商办车库!F501</f>
        <v>40.43</v>
      </c>
      <c r="C392" s="21">
        <f t="shared" si="58"/>
        <v>1</v>
      </c>
      <c r="D392" s="662"/>
      <c r="E392" s="21">
        <f t="shared" si="59"/>
        <v>1</v>
      </c>
      <c r="F392" s="662"/>
      <c r="G392" s="21">
        <f t="shared" si="60"/>
        <v>1</v>
      </c>
      <c r="H392" s="662"/>
      <c r="I392" s="21">
        <f t="shared" si="61"/>
        <v>1</v>
      </c>
      <c r="J392" s="662"/>
      <c r="K392" s="21">
        <f t="shared" si="62"/>
        <v>1</v>
      </c>
      <c r="L392" s="662"/>
      <c r="M392" s="21">
        <f t="shared" si="63"/>
        <v>1</v>
      </c>
      <c r="N392" s="662"/>
      <c r="O392" s="21">
        <f t="shared" si="64"/>
        <v>1</v>
      </c>
      <c r="P392" s="662">
        <v>-1</v>
      </c>
      <c r="Q392" s="21">
        <f t="shared" si="65"/>
        <v>1</v>
      </c>
      <c r="R392" s="659">
        <f t="shared" ca="1" si="66"/>
        <v>4662</v>
      </c>
      <c r="S392" s="316">
        <f t="shared" ca="1" si="57"/>
        <v>19</v>
      </c>
      <c r="T392" s="720" t="str">
        <f>商办车库!H501</f>
        <v>车位</v>
      </c>
    </row>
    <row r="393" spans="1:20">
      <c r="A393" s="3539" t="str">
        <f>商办车库!E502</f>
        <v>B1139</v>
      </c>
      <c r="B393" s="54">
        <f>商办车库!F502</f>
        <v>40.43</v>
      </c>
      <c r="C393" s="21">
        <f t="shared" si="58"/>
        <v>1</v>
      </c>
      <c r="D393" s="662"/>
      <c r="E393" s="21">
        <f t="shared" si="59"/>
        <v>1</v>
      </c>
      <c r="F393" s="662"/>
      <c r="G393" s="21">
        <f t="shared" si="60"/>
        <v>1</v>
      </c>
      <c r="H393" s="662"/>
      <c r="I393" s="21">
        <f t="shared" si="61"/>
        <v>1</v>
      </c>
      <c r="J393" s="662"/>
      <c r="K393" s="21">
        <f t="shared" si="62"/>
        <v>1</v>
      </c>
      <c r="L393" s="662"/>
      <c r="M393" s="21">
        <f t="shared" si="63"/>
        <v>1</v>
      </c>
      <c r="N393" s="662"/>
      <c r="O393" s="21">
        <f t="shared" si="64"/>
        <v>1</v>
      </c>
      <c r="P393" s="662">
        <v>-1</v>
      </c>
      <c r="Q393" s="21">
        <f t="shared" si="65"/>
        <v>1</v>
      </c>
      <c r="R393" s="659">
        <f t="shared" ca="1" si="66"/>
        <v>4662</v>
      </c>
      <c r="S393" s="316">
        <f t="shared" ca="1" si="57"/>
        <v>19</v>
      </c>
      <c r="T393" s="720" t="str">
        <f>商办车库!H502</f>
        <v>车位</v>
      </c>
    </row>
    <row r="394" spans="1:20">
      <c r="A394" s="3539" t="str">
        <f>商办车库!E503</f>
        <v>B1140</v>
      </c>
      <c r="B394" s="54">
        <f>商办车库!F503</f>
        <v>40.43</v>
      </c>
      <c r="C394" s="21">
        <f t="shared" si="58"/>
        <v>1</v>
      </c>
      <c r="D394" s="662"/>
      <c r="E394" s="21">
        <f t="shared" si="59"/>
        <v>1</v>
      </c>
      <c r="F394" s="662"/>
      <c r="G394" s="21">
        <f t="shared" si="60"/>
        <v>1</v>
      </c>
      <c r="H394" s="662"/>
      <c r="I394" s="21">
        <f t="shared" si="61"/>
        <v>1</v>
      </c>
      <c r="J394" s="662"/>
      <c r="K394" s="21">
        <f t="shared" si="62"/>
        <v>1</v>
      </c>
      <c r="L394" s="662"/>
      <c r="M394" s="21">
        <f t="shared" si="63"/>
        <v>1</v>
      </c>
      <c r="N394" s="662"/>
      <c r="O394" s="21">
        <f t="shared" si="64"/>
        <v>1</v>
      </c>
      <c r="P394" s="662">
        <v>-1</v>
      </c>
      <c r="Q394" s="21">
        <f t="shared" si="65"/>
        <v>1</v>
      </c>
      <c r="R394" s="659">
        <f t="shared" ca="1" si="66"/>
        <v>4662</v>
      </c>
      <c r="S394" s="316">
        <f t="shared" ca="1" si="57"/>
        <v>19</v>
      </c>
      <c r="T394" s="720" t="str">
        <f>商办车库!H503</f>
        <v>车位</v>
      </c>
    </row>
    <row r="395" spans="1:20">
      <c r="A395" s="3539" t="str">
        <f>商办车库!E504</f>
        <v>B1141</v>
      </c>
      <c r="B395" s="54">
        <f>商办车库!F504</f>
        <v>40.43</v>
      </c>
      <c r="C395" s="21">
        <f t="shared" si="58"/>
        <v>1</v>
      </c>
      <c r="D395" s="662"/>
      <c r="E395" s="21">
        <f t="shared" si="59"/>
        <v>1</v>
      </c>
      <c r="F395" s="662"/>
      <c r="G395" s="21">
        <f t="shared" si="60"/>
        <v>1</v>
      </c>
      <c r="H395" s="662"/>
      <c r="I395" s="21">
        <f t="shared" si="61"/>
        <v>1</v>
      </c>
      <c r="J395" s="662"/>
      <c r="K395" s="21">
        <f t="shared" si="62"/>
        <v>1</v>
      </c>
      <c r="L395" s="662"/>
      <c r="M395" s="21">
        <f t="shared" si="63"/>
        <v>1</v>
      </c>
      <c r="N395" s="662"/>
      <c r="O395" s="21">
        <f t="shared" si="64"/>
        <v>1</v>
      </c>
      <c r="P395" s="662">
        <v>-1</v>
      </c>
      <c r="Q395" s="21">
        <f t="shared" si="65"/>
        <v>1</v>
      </c>
      <c r="R395" s="659">
        <f t="shared" ca="1" si="66"/>
        <v>4662</v>
      </c>
      <c r="S395" s="316">
        <f t="shared" ca="1" si="57"/>
        <v>19</v>
      </c>
      <c r="T395" s="720" t="str">
        <f>商办车库!H504</f>
        <v>车位</v>
      </c>
    </row>
    <row r="396" spans="1:20">
      <c r="A396" s="3539" t="str">
        <f>商办车库!E505</f>
        <v>B1142</v>
      </c>
      <c r="B396" s="54">
        <f>商办车库!F505</f>
        <v>40.43</v>
      </c>
      <c r="C396" s="21">
        <f t="shared" si="58"/>
        <v>1</v>
      </c>
      <c r="D396" s="662"/>
      <c r="E396" s="21">
        <f t="shared" si="59"/>
        <v>1</v>
      </c>
      <c r="F396" s="662"/>
      <c r="G396" s="21">
        <f t="shared" si="60"/>
        <v>1</v>
      </c>
      <c r="H396" s="662"/>
      <c r="I396" s="21">
        <f t="shared" si="61"/>
        <v>1</v>
      </c>
      <c r="J396" s="662"/>
      <c r="K396" s="21">
        <f t="shared" si="62"/>
        <v>1</v>
      </c>
      <c r="L396" s="662"/>
      <c r="M396" s="21">
        <f t="shared" si="63"/>
        <v>1</v>
      </c>
      <c r="N396" s="662"/>
      <c r="O396" s="21">
        <f t="shared" si="64"/>
        <v>1</v>
      </c>
      <c r="P396" s="662">
        <v>-1</v>
      </c>
      <c r="Q396" s="21">
        <f t="shared" si="65"/>
        <v>1</v>
      </c>
      <c r="R396" s="659">
        <f t="shared" ca="1" si="66"/>
        <v>4662</v>
      </c>
      <c r="S396" s="316">
        <f t="shared" ca="1" si="57"/>
        <v>19</v>
      </c>
      <c r="T396" s="720" t="str">
        <f>商办车库!H505</f>
        <v>车位</v>
      </c>
    </row>
    <row r="397" spans="1:20">
      <c r="A397" s="3539" t="str">
        <f>商办车库!E506</f>
        <v>B1143</v>
      </c>
      <c r="B397" s="54">
        <f>商办车库!F506</f>
        <v>40.43</v>
      </c>
      <c r="C397" s="21">
        <f t="shared" si="58"/>
        <v>1</v>
      </c>
      <c r="D397" s="662"/>
      <c r="E397" s="21">
        <f t="shared" si="59"/>
        <v>1</v>
      </c>
      <c r="F397" s="662"/>
      <c r="G397" s="21">
        <f t="shared" si="60"/>
        <v>1</v>
      </c>
      <c r="H397" s="662"/>
      <c r="I397" s="21">
        <f t="shared" si="61"/>
        <v>1</v>
      </c>
      <c r="J397" s="662"/>
      <c r="K397" s="21">
        <f t="shared" si="62"/>
        <v>1</v>
      </c>
      <c r="L397" s="662"/>
      <c r="M397" s="21">
        <f t="shared" si="63"/>
        <v>1</v>
      </c>
      <c r="N397" s="662"/>
      <c r="O397" s="21">
        <f t="shared" si="64"/>
        <v>1</v>
      </c>
      <c r="P397" s="662">
        <v>-1</v>
      </c>
      <c r="Q397" s="21">
        <f t="shared" si="65"/>
        <v>1</v>
      </c>
      <c r="R397" s="659">
        <f t="shared" ca="1" si="66"/>
        <v>4662</v>
      </c>
      <c r="S397" s="316">
        <f t="shared" ca="1" si="57"/>
        <v>19</v>
      </c>
      <c r="T397" s="720" t="str">
        <f>商办车库!H506</f>
        <v>车位</v>
      </c>
    </row>
    <row r="398" spans="1:20">
      <c r="A398" s="3539" t="str">
        <f>商办车库!E507</f>
        <v>B1144</v>
      </c>
      <c r="B398" s="54">
        <f>商办车库!F507</f>
        <v>40.43</v>
      </c>
      <c r="C398" s="21">
        <f t="shared" si="58"/>
        <v>1</v>
      </c>
      <c r="D398" s="662"/>
      <c r="E398" s="21">
        <f t="shared" si="59"/>
        <v>1</v>
      </c>
      <c r="F398" s="662"/>
      <c r="G398" s="21">
        <f t="shared" si="60"/>
        <v>1</v>
      </c>
      <c r="H398" s="662"/>
      <c r="I398" s="21">
        <f t="shared" si="61"/>
        <v>1</v>
      </c>
      <c r="J398" s="662"/>
      <c r="K398" s="21">
        <f t="shared" si="62"/>
        <v>1</v>
      </c>
      <c r="L398" s="662"/>
      <c r="M398" s="21">
        <f t="shared" si="63"/>
        <v>1</v>
      </c>
      <c r="N398" s="662"/>
      <c r="O398" s="21">
        <f t="shared" si="64"/>
        <v>1</v>
      </c>
      <c r="P398" s="662">
        <v>-1</v>
      </c>
      <c r="Q398" s="21">
        <f t="shared" si="65"/>
        <v>1</v>
      </c>
      <c r="R398" s="659">
        <f t="shared" ca="1" si="66"/>
        <v>4662</v>
      </c>
      <c r="S398" s="316">
        <f t="shared" ca="1" si="57"/>
        <v>19</v>
      </c>
      <c r="T398" s="720" t="str">
        <f>商办车库!H507</f>
        <v>车位</v>
      </c>
    </row>
    <row r="399" spans="1:20">
      <c r="A399" s="3539" t="str">
        <f>商办车库!E508</f>
        <v>B1145</v>
      </c>
      <c r="B399" s="54">
        <f>商办车库!F508</f>
        <v>40.43</v>
      </c>
      <c r="C399" s="21">
        <f t="shared" si="58"/>
        <v>1</v>
      </c>
      <c r="D399" s="662"/>
      <c r="E399" s="21">
        <f t="shared" si="59"/>
        <v>1</v>
      </c>
      <c r="F399" s="662"/>
      <c r="G399" s="21">
        <f t="shared" si="60"/>
        <v>1</v>
      </c>
      <c r="H399" s="662"/>
      <c r="I399" s="21">
        <f t="shared" si="61"/>
        <v>1</v>
      </c>
      <c r="J399" s="662"/>
      <c r="K399" s="21">
        <f t="shared" si="62"/>
        <v>1</v>
      </c>
      <c r="L399" s="662"/>
      <c r="M399" s="21">
        <f t="shared" si="63"/>
        <v>1</v>
      </c>
      <c r="N399" s="662"/>
      <c r="O399" s="21">
        <f t="shared" si="64"/>
        <v>1</v>
      </c>
      <c r="P399" s="662">
        <v>-1</v>
      </c>
      <c r="Q399" s="21">
        <f t="shared" si="65"/>
        <v>1</v>
      </c>
      <c r="R399" s="659">
        <f t="shared" ca="1" si="66"/>
        <v>4662</v>
      </c>
      <c r="S399" s="316">
        <f t="shared" ca="1" si="57"/>
        <v>19</v>
      </c>
      <c r="T399" s="720" t="str">
        <f>商办车库!H508</f>
        <v>车位</v>
      </c>
    </row>
    <row r="400" spans="1:20">
      <c r="A400" s="3539" t="str">
        <f>商办车库!E509</f>
        <v>B1146</v>
      </c>
      <c r="B400" s="54">
        <f>商办车库!F509</f>
        <v>40.43</v>
      </c>
      <c r="C400" s="21">
        <f t="shared" si="58"/>
        <v>1</v>
      </c>
      <c r="D400" s="662"/>
      <c r="E400" s="21">
        <f t="shared" si="59"/>
        <v>1</v>
      </c>
      <c r="F400" s="662"/>
      <c r="G400" s="21">
        <f t="shared" si="60"/>
        <v>1</v>
      </c>
      <c r="H400" s="662"/>
      <c r="I400" s="21">
        <f t="shared" si="61"/>
        <v>1</v>
      </c>
      <c r="J400" s="662"/>
      <c r="K400" s="21">
        <f t="shared" si="62"/>
        <v>1</v>
      </c>
      <c r="L400" s="662"/>
      <c r="M400" s="21">
        <f t="shared" si="63"/>
        <v>1</v>
      </c>
      <c r="N400" s="662"/>
      <c r="O400" s="21">
        <f t="shared" si="64"/>
        <v>1</v>
      </c>
      <c r="P400" s="662">
        <v>-1</v>
      </c>
      <c r="Q400" s="21">
        <f t="shared" si="65"/>
        <v>1</v>
      </c>
      <c r="R400" s="659">
        <f t="shared" ca="1" si="66"/>
        <v>4662</v>
      </c>
      <c r="S400" s="316">
        <f t="shared" ca="1" si="57"/>
        <v>19</v>
      </c>
      <c r="T400" s="720" t="str">
        <f>商办车库!H509</f>
        <v>车位</v>
      </c>
    </row>
    <row r="401" spans="1:20">
      <c r="A401" s="3539" t="str">
        <f>商办车库!E510</f>
        <v>B1147</v>
      </c>
      <c r="B401" s="54">
        <f>商办车库!F510</f>
        <v>40.43</v>
      </c>
      <c r="C401" s="21">
        <f t="shared" si="58"/>
        <v>1</v>
      </c>
      <c r="D401" s="662"/>
      <c r="E401" s="21">
        <f t="shared" si="59"/>
        <v>1</v>
      </c>
      <c r="F401" s="662"/>
      <c r="G401" s="21">
        <f t="shared" si="60"/>
        <v>1</v>
      </c>
      <c r="H401" s="662"/>
      <c r="I401" s="21">
        <f t="shared" si="61"/>
        <v>1</v>
      </c>
      <c r="J401" s="662"/>
      <c r="K401" s="21">
        <f t="shared" si="62"/>
        <v>1</v>
      </c>
      <c r="L401" s="662"/>
      <c r="M401" s="21">
        <f t="shared" si="63"/>
        <v>1</v>
      </c>
      <c r="N401" s="662"/>
      <c r="O401" s="21">
        <f t="shared" si="64"/>
        <v>1</v>
      </c>
      <c r="P401" s="662">
        <v>-1</v>
      </c>
      <c r="Q401" s="21">
        <f t="shared" si="65"/>
        <v>1</v>
      </c>
      <c r="R401" s="659">
        <f t="shared" ca="1" si="66"/>
        <v>4662</v>
      </c>
      <c r="S401" s="316">
        <f t="shared" ca="1" si="57"/>
        <v>19</v>
      </c>
      <c r="T401" s="720" t="str">
        <f>商办车库!H510</f>
        <v>车位</v>
      </c>
    </row>
    <row r="402" spans="1:20">
      <c r="A402" s="3539" t="str">
        <f>商办车库!E511</f>
        <v>B1148</v>
      </c>
      <c r="B402" s="54">
        <f>商办车库!F511</f>
        <v>40.43</v>
      </c>
      <c r="C402" s="21">
        <f t="shared" si="58"/>
        <v>1</v>
      </c>
      <c r="D402" s="662"/>
      <c r="E402" s="21">
        <f t="shared" si="59"/>
        <v>1</v>
      </c>
      <c r="F402" s="662"/>
      <c r="G402" s="21">
        <f t="shared" si="60"/>
        <v>1</v>
      </c>
      <c r="H402" s="662"/>
      <c r="I402" s="21">
        <f t="shared" si="61"/>
        <v>1</v>
      </c>
      <c r="J402" s="662"/>
      <c r="K402" s="21">
        <f t="shared" si="62"/>
        <v>1</v>
      </c>
      <c r="L402" s="662"/>
      <c r="M402" s="21">
        <f t="shared" si="63"/>
        <v>1</v>
      </c>
      <c r="N402" s="662"/>
      <c r="O402" s="21">
        <f t="shared" si="64"/>
        <v>1</v>
      </c>
      <c r="P402" s="662">
        <v>-1</v>
      </c>
      <c r="Q402" s="21">
        <f t="shared" si="65"/>
        <v>1</v>
      </c>
      <c r="R402" s="659">
        <f t="shared" ca="1" si="66"/>
        <v>4662</v>
      </c>
      <c r="S402" s="316">
        <f t="shared" ca="1" si="57"/>
        <v>19</v>
      </c>
      <c r="T402" s="720" t="str">
        <f>商办车库!H511</f>
        <v>车位</v>
      </c>
    </row>
    <row r="403" spans="1:20">
      <c r="A403" s="3539" t="str">
        <f>商办车库!E512</f>
        <v>B1149、B1150</v>
      </c>
      <c r="B403" s="54">
        <f>商办车库!F512</f>
        <v>80.86</v>
      </c>
      <c r="C403" s="3438">
        <v>1</v>
      </c>
      <c r="D403" s="662"/>
      <c r="E403" s="21">
        <f t="shared" si="59"/>
        <v>1</v>
      </c>
      <c r="F403" s="662"/>
      <c r="G403" s="21">
        <f t="shared" si="60"/>
        <v>1</v>
      </c>
      <c r="H403" s="662"/>
      <c r="I403" s="21">
        <f t="shared" si="61"/>
        <v>1</v>
      </c>
      <c r="J403" s="662"/>
      <c r="K403" s="21">
        <f t="shared" si="62"/>
        <v>1</v>
      </c>
      <c r="L403" s="662"/>
      <c r="M403" s="21">
        <f t="shared" si="63"/>
        <v>1</v>
      </c>
      <c r="N403" s="662"/>
      <c r="O403" s="21">
        <f t="shared" si="64"/>
        <v>1</v>
      </c>
      <c r="P403" s="662">
        <v>-1</v>
      </c>
      <c r="Q403" s="21">
        <f t="shared" si="65"/>
        <v>1</v>
      </c>
      <c r="R403" s="659">
        <f t="shared" ca="1" si="66"/>
        <v>4662</v>
      </c>
      <c r="S403" s="316">
        <f t="shared" ca="1" si="57"/>
        <v>38</v>
      </c>
      <c r="T403" s="720" t="str">
        <f>商办车库!H512</f>
        <v>车位</v>
      </c>
    </row>
    <row r="404" spans="1:20">
      <c r="A404" s="3539" t="str">
        <f>商办车库!E513</f>
        <v>B1151、B1152</v>
      </c>
      <c r="B404" s="54">
        <f>商办车库!F513</f>
        <v>80.86</v>
      </c>
      <c r="C404" s="3438">
        <v>1</v>
      </c>
      <c r="D404" s="662"/>
      <c r="E404" s="21">
        <f t="shared" si="59"/>
        <v>1</v>
      </c>
      <c r="F404" s="662"/>
      <c r="G404" s="21">
        <f t="shared" si="60"/>
        <v>1</v>
      </c>
      <c r="H404" s="662"/>
      <c r="I404" s="21">
        <f t="shared" si="61"/>
        <v>1</v>
      </c>
      <c r="J404" s="662"/>
      <c r="K404" s="21">
        <f t="shared" si="62"/>
        <v>1</v>
      </c>
      <c r="L404" s="662"/>
      <c r="M404" s="21">
        <f t="shared" si="63"/>
        <v>1</v>
      </c>
      <c r="N404" s="662"/>
      <c r="O404" s="21">
        <f t="shared" si="64"/>
        <v>1</v>
      </c>
      <c r="P404" s="662">
        <v>-1</v>
      </c>
      <c r="Q404" s="21">
        <f t="shared" si="65"/>
        <v>1</v>
      </c>
      <c r="R404" s="659">
        <f t="shared" ca="1" si="66"/>
        <v>4662</v>
      </c>
      <c r="S404" s="316">
        <f t="shared" ca="1" si="57"/>
        <v>38</v>
      </c>
      <c r="T404" s="720" t="str">
        <f>商办车库!H513</f>
        <v>车位</v>
      </c>
    </row>
    <row r="405" spans="1:20">
      <c r="A405" s="3539" t="str">
        <f>商办车库!E514</f>
        <v>B2001</v>
      </c>
      <c r="B405" s="54">
        <f>商办车库!F514</f>
        <v>40.43</v>
      </c>
      <c r="C405" s="21">
        <f t="shared" si="58"/>
        <v>1</v>
      </c>
      <c r="D405" s="662"/>
      <c r="E405" s="21">
        <f t="shared" si="59"/>
        <v>1</v>
      </c>
      <c r="F405" s="662"/>
      <c r="G405" s="21">
        <f t="shared" si="60"/>
        <v>1</v>
      </c>
      <c r="H405" s="662"/>
      <c r="I405" s="21">
        <f t="shared" si="61"/>
        <v>1</v>
      </c>
      <c r="J405" s="662"/>
      <c r="K405" s="21">
        <f t="shared" si="62"/>
        <v>1</v>
      </c>
      <c r="L405" s="662"/>
      <c r="M405" s="21">
        <f t="shared" si="63"/>
        <v>1</v>
      </c>
      <c r="N405" s="662"/>
      <c r="O405" s="21">
        <f t="shared" si="64"/>
        <v>1</v>
      </c>
      <c r="P405" s="662">
        <v>-2</v>
      </c>
      <c r="Q405" s="21">
        <f t="shared" si="65"/>
        <v>0.95</v>
      </c>
      <c r="R405" s="659">
        <f t="shared" ca="1" si="66"/>
        <v>4429</v>
      </c>
      <c r="S405" s="316">
        <f t="shared" ca="1" si="57"/>
        <v>18</v>
      </c>
      <c r="T405" s="720" t="str">
        <f>商办车库!H514</f>
        <v>车位</v>
      </c>
    </row>
    <row r="406" spans="1:20">
      <c r="A406" s="3539" t="str">
        <f>商办车库!E515</f>
        <v>B2002</v>
      </c>
      <c r="B406" s="54">
        <f>商办车库!F515</f>
        <v>40.43</v>
      </c>
      <c r="C406" s="21">
        <f t="shared" si="58"/>
        <v>1</v>
      </c>
      <c r="D406" s="662"/>
      <c r="E406" s="21">
        <f t="shared" si="59"/>
        <v>1</v>
      </c>
      <c r="F406" s="662"/>
      <c r="G406" s="21">
        <f t="shared" si="60"/>
        <v>1</v>
      </c>
      <c r="H406" s="662"/>
      <c r="I406" s="21">
        <f t="shared" si="61"/>
        <v>1</v>
      </c>
      <c r="J406" s="662"/>
      <c r="K406" s="21">
        <f t="shared" si="62"/>
        <v>1</v>
      </c>
      <c r="L406" s="662"/>
      <c r="M406" s="21">
        <f t="shared" si="63"/>
        <v>1</v>
      </c>
      <c r="N406" s="662"/>
      <c r="O406" s="21">
        <f t="shared" si="64"/>
        <v>1</v>
      </c>
      <c r="P406" s="662">
        <v>-2</v>
      </c>
      <c r="Q406" s="21">
        <f t="shared" si="65"/>
        <v>0.95</v>
      </c>
      <c r="R406" s="659">
        <f t="shared" ca="1" si="66"/>
        <v>4429</v>
      </c>
      <c r="S406" s="316">
        <f t="shared" ca="1" si="57"/>
        <v>18</v>
      </c>
      <c r="T406" s="720" t="str">
        <f>商办车库!H515</f>
        <v>车位</v>
      </c>
    </row>
    <row r="407" spans="1:20">
      <c r="A407" s="3539" t="str">
        <f>商办车库!E516</f>
        <v>B2003</v>
      </c>
      <c r="B407" s="54">
        <f>商办车库!F516</f>
        <v>40.43</v>
      </c>
      <c r="C407" s="21">
        <f t="shared" si="58"/>
        <v>1</v>
      </c>
      <c r="D407" s="662"/>
      <c r="E407" s="21">
        <f t="shared" si="59"/>
        <v>1</v>
      </c>
      <c r="F407" s="662"/>
      <c r="G407" s="21">
        <f t="shared" si="60"/>
        <v>1</v>
      </c>
      <c r="H407" s="662"/>
      <c r="I407" s="21">
        <f t="shared" si="61"/>
        <v>1</v>
      </c>
      <c r="J407" s="662"/>
      <c r="K407" s="21">
        <f t="shared" si="62"/>
        <v>1</v>
      </c>
      <c r="L407" s="662"/>
      <c r="M407" s="21">
        <f t="shared" si="63"/>
        <v>1</v>
      </c>
      <c r="N407" s="662"/>
      <c r="O407" s="21">
        <f t="shared" si="64"/>
        <v>1</v>
      </c>
      <c r="P407" s="662">
        <v>-2</v>
      </c>
      <c r="Q407" s="21">
        <f t="shared" si="65"/>
        <v>0.95</v>
      </c>
      <c r="R407" s="659">
        <f t="shared" ca="1" si="66"/>
        <v>4429</v>
      </c>
      <c r="S407" s="316">
        <f t="shared" ca="1" si="57"/>
        <v>18</v>
      </c>
      <c r="T407" s="720" t="str">
        <f>商办车库!H516</f>
        <v>车位</v>
      </c>
    </row>
    <row r="408" spans="1:20">
      <c r="A408" s="3539" t="str">
        <f>商办车库!E517</f>
        <v>B2004</v>
      </c>
      <c r="B408" s="54">
        <f>商办车库!F517</f>
        <v>40.43</v>
      </c>
      <c r="C408" s="21">
        <f t="shared" si="58"/>
        <v>1</v>
      </c>
      <c r="D408" s="662"/>
      <c r="E408" s="21">
        <f t="shared" si="59"/>
        <v>1</v>
      </c>
      <c r="F408" s="662"/>
      <c r="G408" s="21">
        <f t="shared" si="60"/>
        <v>1</v>
      </c>
      <c r="H408" s="662"/>
      <c r="I408" s="21">
        <f t="shared" si="61"/>
        <v>1</v>
      </c>
      <c r="J408" s="662"/>
      <c r="K408" s="21">
        <f t="shared" si="62"/>
        <v>1</v>
      </c>
      <c r="L408" s="662"/>
      <c r="M408" s="21">
        <f t="shared" si="63"/>
        <v>1</v>
      </c>
      <c r="N408" s="662"/>
      <c r="O408" s="21">
        <f t="shared" si="64"/>
        <v>1</v>
      </c>
      <c r="P408" s="662">
        <v>-2</v>
      </c>
      <c r="Q408" s="21">
        <f t="shared" si="65"/>
        <v>0.95</v>
      </c>
      <c r="R408" s="659">
        <f t="shared" ca="1" si="66"/>
        <v>4429</v>
      </c>
      <c r="S408" s="316">
        <f t="shared" ref="S408:S471" ca="1" si="67">ROUND(R408*B408/10000,0)</f>
        <v>18</v>
      </c>
      <c r="T408" s="720" t="str">
        <f>商办车库!H517</f>
        <v>车位</v>
      </c>
    </row>
    <row r="409" spans="1:20">
      <c r="A409" s="3539" t="str">
        <f>商办车库!E518</f>
        <v>B2005</v>
      </c>
      <c r="B409" s="54">
        <f>商办车库!F518</f>
        <v>40.43</v>
      </c>
      <c r="C409" s="21">
        <f t="shared" si="58"/>
        <v>1</v>
      </c>
      <c r="D409" s="662"/>
      <c r="E409" s="21">
        <f t="shared" si="59"/>
        <v>1</v>
      </c>
      <c r="F409" s="662"/>
      <c r="G409" s="21">
        <f t="shared" si="60"/>
        <v>1</v>
      </c>
      <c r="H409" s="662"/>
      <c r="I409" s="21">
        <f t="shared" si="61"/>
        <v>1</v>
      </c>
      <c r="J409" s="662"/>
      <c r="K409" s="21">
        <f t="shared" si="62"/>
        <v>1</v>
      </c>
      <c r="L409" s="662"/>
      <c r="M409" s="21">
        <f t="shared" si="63"/>
        <v>1</v>
      </c>
      <c r="N409" s="662"/>
      <c r="O409" s="21">
        <f t="shared" si="64"/>
        <v>1</v>
      </c>
      <c r="P409" s="662">
        <v>-2</v>
      </c>
      <c r="Q409" s="21">
        <f t="shared" si="65"/>
        <v>0.95</v>
      </c>
      <c r="R409" s="659">
        <f t="shared" ca="1" si="66"/>
        <v>4429</v>
      </c>
      <c r="S409" s="316">
        <f t="shared" ca="1" si="67"/>
        <v>18</v>
      </c>
      <c r="T409" s="720" t="str">
        <f>商办车库!H518</f>
        <v>车位</v>
      </c>
    </row>
    <row r="410" spans="1:20">
      <c r="A410" s="3539" t="str">
        <f>商办车库!E519</f>
        <v>B2006</v>
      </c>
      <c r="B410" s="54">
        <f>商办车库!F519</f>
        <v>40.43</v>
      </c>
      <c r="C410" s="21">
        <f t="shared" ref="C410:C471" si="68">IF(B410="",1,(LOOKUP(B410,$3:$3,$4:$4)-LOOKUP($B$24,$3:$3,$4:$4)+100)/100)</f>
        <v>1</v>
      </c>
      <c r="D410" s="662"/>
      <c r="E410" s="21">
        <f t="shared" ref="E410:E473" si="69">(SUMIF($5:$5,D410,$6:$6)-SUMIF($5:$5,$D$24,$6:$6)+100)/100</f>
        <v>1</v>
      </c>
      <c r="F410" s="662"/>
      <c r="G410" s="21">
        <f t="shared" ref="G410:G473" si="70">(SUMIF($7:$7,F410,$8:$8)-SUMIF($7:$7,$F$24,$8:$8)+100)/100</f>
        <v>1</v>
      </c>
      <c r="H410" s="662"/>
      <c r="I410" s="21">
        <f t="shared" ref="I410:I473" si="71">(SUMIF($9:$9,H410,$10:$10)-SUMIF($9:$9,$H$24,$10:$10)+100)/100</f>
        <v>1</v>
      </c>
      <c r="J410" s="662"/>
      <c r="K410" s="21">
        <f t="shared" ref="K410:K473" si="72">(SUMIF($11:$11,J410,$12:$12)-SUMIF($11:$11,$J$24,$12:$12)+100)/100</f>
        <v>1</v>
      </c>
      <c r="L410" s="662"/>
      <c r="M410" s="21">
        <f t="shared" ref="M410:M473" si="73">(SUMIF($13:$13,L410,$14:$14)-SUMIF($13:$13,$L$24,$14:$14)+100)/100</f>
        <v>1</v>
      </c>
      <c r="N410" s="662"/>
      <c r="O410" s="21">
        <f t="shared" ref="O410:O473" si="74">(SUMIF($15:$15,N410,$16:$16)-SUMIF($15:$15,$N$24,$16:$16)+100)/100</f>
        <v>1</v>
      </c>
      <c r="P410" s="662">
        <v>-2</v>
      </c>
      <c r="Q410" s="21">
        <f t="shared" ref="Q410:Q473" si="75">(SUMIF($17:$17,P410,$18:$18)-SUMIF($17:$17,$P$24,$18:$18)+100)/100</f>
        <v>0.95</v>
      </c>
      <c r="R410" s="659">
        <f t="shared" ref="R410:R473" ca="1" si="76">IF(B410="",0,ROUND($R$24*C410*E410*G410*I410*K410*M410*O410*Q410,0))</f>
        <v>4429</v>
      </c>
      <c r="S410" s="316">
        <f t="shared" ca="1" si="67"/>
        <v>18</v>
      </c>
      <c r="T410" s="720" t="str">
        <f>商办车库!H519</f>
        <v>车位</v>
      </c>
    </row>
    <row r="411" spans="1:20">
      <c r="A411" s="3539" t="str">
        <f>商办车库!E520</f>
        <v>B2007</v>
      </c>
      <c r="B411" s="54">
        <f>商办车库!F520</f>
        <v>40.43</v>
      </c>
      <c r="C411" s="21">
        <f t="shared" si="68"/>
        <v>1</v>
      </c>
      <c r="D411" s="662"/>
      <c r="E411" s="21">
        <f t="shared" si="69"/>
        <v>1</v>
      </c>
      <c r="F411" s="662"/>
      <c r="G411" s="21">
        <f t="shared" si="70"/>
        <v>1</v>
      </c>
      <c r="H411" s="662"/>
      <c r="I411" s="21">
        <f t="shared" si="71"/>
        <v>1</v>
      </c>
      <c r="J411" s="662"/>
      <c r="K411" s="21">
        <f t="shared" si="72"/>
        <v>1</v>
      </c>
      <c r="L411" s="662"/>
      <c r="M411" s="21">
        <f t="shared" si="73"/>
        <v>1</v>
      </c>
      <c r="N411" s="662"/>
      <c r="O411" s="21">
        <f t="shared" si="74"/>
        <v>1</v>
      </c>
      <c r="P411" s="662">
        <v>-2</v>
      </c>
      <c r="Q411" s="21">
        <f t="shared" si="75"/>
        <v>0.95</v>
      </c>
      <c r="R411" s="659">
        <f t="shared" ca="1" si="76"/>
        <v>4429</v>
      </c>
      <c r="S411" s="316">
        <f t="shared" ca="1" si="67"/>
        <v>18</v>
      </c>
      <c r="T411" s="720" t="str">
        <f>商办车库!H520</f>
        <v>车位</v>
      </c>
    </row>
    <row r="412" spans="1:20">
      <c r="A412" s="3539" t="str">
        <f>商办车库!E521</f>
        <v>B2008</v>
      </c>
      <c r="B412" s="54">
        <f>商办车库!F521</f>
        <v>40.43</v>
      </c>
      <c r="C412" s="21">
        <f t="shared" si="68"/>
        <v>1</v>
      </c>
      <c r="D412" s="662"/>
      <c r="E412" s="21">
        <f t="shared" si="69"/>
        <v>1</v>
      </c>
      <c r="F412" s="662"/>
      <c r="G412" s="21">
        <f t="shared" si="70"/>
        <v>1</v>
      </c>
      <c r="H412" s="662"/>
      <c r="I412" s="21">
        <f t="shared" si="71"/>
        <v>1</v>
      </c>
      <c r="J412" s="662"/>
      <c r="K412" s="21">
        <f t="shared" si="72"/>
        <v>1</v>
      </c>
      <c r="L412" s="662"/>
      <c r="M412" s="21">
        <f t="shared" si="73"/>
        <v>1</v>
      </c>
      <c r="N412" s="662"/>
      <c r="O412" s="21">
        <f t="shared" si="74"/>
        <v>1</v>
      </c>
      <c r="P412" s="662">
        <v>-2</v>
      </c>
      <c r="Q412" s="21">
        <f t="shared" si="75"/>
        <v>0.95</v>
      </c>
      <c r="R412" s="659">
        <f t="shared" ca="1" si="76"/>
        <v>4429</v>
      </c>
      <c r="S412" s="316">
        <f t="shared" ca="1" si="67"/>
        <v>18</v>
      </c>
      <c r="T412" s="720" t="str">
        <f>商办车库!H521</f>
        <v>车位</v>
      </c>
    </row>
    <row r="413" spans="1:20">
      <c r="A413" s="3539" t="str">
        <f>商办车库!E522</f>
        <v>B2009</v>
      </c>
      <c r="B413" s="54">
        <f>商办车库!F522</f>
        <v>40.43</v>
      </c>
      <c r="C413" s="21">
        <f t="shared" si="68"/>
        <v>1</v>
      </c>
      <c r="D413" s="662"/>
      <c r="E413" s="21">
        <f t="shared" si="69"/>
        <v>1</v>
      </c>
      <c r="F413" s="662"/>
      <c r="G413" s="21">
        <f t="shared" si="70"/>
        <v>1</v>
      </c>
      <c r="H413" s="662"/>
      <c r="I413" s="21">
        <f t="shared" si="71"/>
        <v>1</v>
      </c>
      <c r="J413" s="662"/>
      <c r="K413" s="21">
        <f t="shared" si="72"/>
        <v>1</v>
      </c>
      <c r="L413" s="662"/>
      <c r="M413" s="21">
        <f t="shared" si="73"/>
        <v>1</v>
      </c>
      <c r="N413" s="662"/>
      <c r="O413" s="21">
        <f t="shared" si="74"/>
        <v>1</v>
      </c>
      <c r="P413" s="662">
        <v>-2</v>
      </c>
      <c r="Q413" s="21">
        <f t="shared" si="75"/>
        <v>0.95</v>
      </c>
      <c r="R413" s="659">
        <f t="shared" ca="1" si="76"/>
        <v>4429</v>
      </c>
      <c r="S413" s="316">
        <f t="shared" ca="1" si="67"/>
        <v>18</v>
      </c>
      <c r="T413" s="720" t="str">
        <f>商办车库!H522</f>
        <v>车位</v>
      </c>
    </row>
    <row r="414" spans="1:20">
      <c r="A414" s="3539" t="str">
        <f>商办车库!E523</f>
        <v>B2010</v>
      </c>
      <c r="B414" s="54">
        <f>商办车库!F523</f>
        <v>40.43</v>
      </c>
      <c r="C414" s="21">
        <f t="shared" si="68"/>
        <v>1</v>
      </c>
      <c r="D414" s="662"/>
      <c r="E414" s="21">
        <f t="shared" si="69"/>
        <v>1</v>
      </c>
      <c r="F414" s="662"/>
      <c r="G414" s="21">
        <f t="shared" si="70"/>
        <v>1</v>
      </c>
      <c r="H414" s="662"/>
      <c r="I414" s="21">
        <f t="shared" si="71"/>
        <v>1</v>
      </c>
      <c r="J414" s="662"/>
      <c r="K414" s="21">
        <f t="shared" si="72"/>
        <v>1</v>
      </c>
      <c r="L414" s="662"/>
      <c r="M414" s="21">
        <f t="shared" si="73"/>
        <v>1</v>
      </c>
      <c r="N414" s="662"/>
      <c r="O414" s="21">
        <f t="shared" si="74"/>
        <v>1</v>
      </c>
      <c r="P414" s="662">
        <v>-2</v>
      </c>
      <c r="Q414" s="21">
        <f t="shared" si="75"/>
        <v>0.95</v>
      </c>
      <c r="R414" s="659">
        <f t="shared" ca="1" si="76"/>
        <v>4429</v>
      </c>
      <c r="S414" s="316">
        <f t="shared" ca="1" si="67"/>
        <v>18</v>
      </c>
      <c r="T414" s="720" t="str">
        <f>商办车库!H523</f>
        <v>车位</v>
      </c>
    </row>
    <row r="415" spans="1:20">
      <c r="A415" s="3539" t="str">
        <f>商办车库!E524</f>
        <v>B2011</v>
      </c>
      <c r="B415" s="54">
        <f>商办车库!F524</f>
        <v>40.43</v>
      </c>
      <c r="C415" s="21">
        <f t="shared" si="68"/>
        <v>1</v>
      </c>
      <c r="D415" s="662"/>
      <c r="E415" s="21">
        <f t="shared" si="69"/>
        <v>1</v>
      </c>
      <c r="F415" s="662"/>
      <c r="G415" s="21">
        <f t="shared" si="70"/>
        <v>1</v>
      </c>
      <c r="H415" s="662"/>
      <c r="I415" s="21">
        <f t="shared" si="71"/>
        <v>1</v>
      </c>
      <c r="J415" s="662"/>
      <c r="K415" s="21">
        <f t="shared" si="72"/>
        <v>1</v>
      </c>
      <c r="L415" s="662"/>
      <c r="M415" s="21">
        <f t="shared" si="73"/>
        <v>1</v>
      </c>
      <c r="N415" s="662"/>
      <c r="O415" s="21">
        <f t="shared" si="74"/>
        <v>1</v>
      </c>
      <c r="P415" s="662">
        <v>-2</v>
      </c>
      <c r="Q415" s="21">
        <f t="shared" si="75"/>
        <v>0.95</v>
      </c>
      <c r="R415" s="659">
        <f t="shared" ca="1" si="76"/>
        <v>4429</v>
      </c>
      <c r="S415" s="316">
        <f t="shared" ca="1" si="67"/>
        <v>18</v>
      </c>
      <c r="T415" s="720" t="str">
        <f>商办车库!H524</f>
        <v>车位</v>
      </c>
    </row>
    <row r="416" spans="1:20">
      <c r="A416" s="3539" t="str">
        <f>商办车库!E525</f>
        <v>B2012</v>
      </c>
      <c r="B416" s="54">
        <f>商办车库!F525</f>
        <v>40.43</v>
      </c>
      <c r="C416" s="21">
        <f t="shared" si="68"/>
        <v>1</v>
      </c>
      <c r="D416" s="662"/>
      <c r="E416" s="21">
        <f t="shared" si="69"/>
        <v>1</v>
      </c>
      <c r="F416" s="662"/>
      <c r="G416" s="21">
        <f t="shared" si="70"/>
        <v>1</v>
      </c>
      <c r="H416" s="662"/>
      <c r="I416" s="21">
        <f t="shared" si="71"/>
        <v>1</v>
      </c>
      <c r="J416" s="662"/>
      <c r="K416" s="21">
        <f t="shared" si="72"/>
        <v>1</v>
      </c>
      <c r="L416" s="662"/>
      <c r="M416" s="21">
        <f t="shared" si="73"/>
        <v>1</v>
      </c>
      <c r="N416" s="662"/>
      <c r="O416" s="21">
        <f t="shared" si="74"/>
        <v>1</v>
      </c>
      <c r="P416" s="662">
        <v>-2</v>
      </c>
      <c r="Q416" s="21">
        <f t="shared" si="75"/>
        <v>0.95</v>
      </c>
      <c r="R416" s="659">
        <f t="shared" ca="1" si="76"/>
        <v>4429</v>
      </c>
      <c r="S416" s="316">
        <f t="shared" ca="1" si="67"/>
        <v>18</v>
      </c>
      <c r="T416" s="720" t="str">
        <f>商办车库!H525</f>
        <v>车位</v>
      </c>
    </row>
    <row r="417" spans="1:20">
      <c r="A417" s="3539" t="str">
        <f>商办车库!E526</f>
        <v>B2013</v>
      </c>
      <c r="B417" s="54">
        <f>商办车库!F526</f>
        <v>40.43</v>
      </c>
      <c r="C417" s="21">
        <f t="shared" si="68"/>
        <v>1</v>
      </c>
      <c r="D417" s="662"/>
      <c r="E417" s="21">
        <f t="shared" si="69"/>
        <v>1</v>
      </c>
      <c r="F417" s="662"/>
      <c r="G417" s="21">
        <f t="shared" si="70"/>
        <v>1</v>
      </c>
      <c r="H417" s="662"/>
      <c r="I417" s="21">
        <f t="shared" si="71"/>
        <v>1</v>
      </c>
      <c r="J417" s="662"/>
      <c r="K417" s="21">
        <f t="shared" si="72"/>
        <v>1</v>
      </c>
      <c r="L417" s="662"/>
      <c r="M417" s="21">
        <f t="shared" si="73"/>
        <v>1</v>
      </c>
      <c r="N417" s="662"/>
      <c r="O417" s="21">
        <f t="shared" si="74"/>
        <v>1</v>
      </c>
      <c r="P417" s="662">
        <v>-2</v>
      </c>
      <c r="Q417" s="21">
        <f t="shared" si="75"/>
        <v>0.95</v>
      </c>
      <c r="R417" s="659">
        <f t="shared" ca="1" si="76"/>
        <v>4429</v>
      </c>
      <c r="S417" s="316">
        <f t="shared" ca="1" si="67"/>
        <v>18</v>
      </c>
      <c r="T417" s="720" t="str">
        <f>商办车库!H526</f>
        <v>车位</v>
      </c>
    </row>
    <row r="418" spans="1:20">
      <c r="A418" s="3539" t="str">
        <f>商办车库!E527</f>
        <v>B2014</v>
      </c>
      <c r="B418" s="54">
        <f>商办车库!F527</f>
        <v>40.43</v>
      </c>
      <c r="C418" s="21">
        <f t="shared" si="68"/>
        <v>1</v>
      </c>
      <c r="D418" s="662"/>
      <c r="E418" s="21">
        <f t="shared" si="69"/>
        <v>1</v>
      </c>
      <c r="F418" s="662"/>
      <c r="G418" s="21">
        <f t="shared" si="70"/>
        <v>1</v>
      </c>
      <c r="H418" s="662"/>
      <c r="I418" s="21">
        <f t="shared" si="71"/>
        <v>1</v>
      </c>
      <c r="J418" s="662"/>
      <c r="K418" s="21">
        <f t="shared" si="72"/>
        <v>1</v>
      </c>
      <c r="L418" s="662"/>
      <c r="M418" s="21">
        <f t="shared" si="73"/>
        <v>1</v>
      </c>
      <c r="N418" s="662"/>
      <c r="O418" s="21">
        <f t="shared" si="74"/>
        <v>1</v>
      </c>
      <c r="P418" s="662">
        <v>-2</v>
      </c>
      <c r="Q418" s="21">
        <f t="shared" si="75"/>
        <v>0.95</v>
      </c>
      <c r="R418" s="659">
        <f t="shared" ca="1" si="76"/>
        <v>4429</v>
      </c>
      <c r="S418" s="316">
        <f t="shared" ca="1" si="67"/>
        <v>18</v>
      </c>
      <c r="T418" s="720" t="str">
        <f>商办车库!H527</f>
        <v>车位</v>
      </c>
    </row>
    <row r="419" spans="1:20">
      <c r="A419" s="3539" t="str">
        <f>商办车库!E528</f>
        <v>B2015、B2016</v>
      </c>
      <c r="B419" s="54">
        <f>商办车库!F528</f>
        <v>80.86</v>
      </c>
      <c r="C419" s="3438">
        <v>1</v>
      </c>
      <c r="D419" s="662"/>
      <c r="E419" s="21">
        <f t="shared" si="69"/>
        <v>1</v>
      </c>
      <c r="F419" s="662"/>
      <c r="G419" s="21">
        <f t="shared" si="70"/>
        <v>1</v>
      </c>
      <c r="H419" s="662"/>
      <c r="I419" s="21">
        <f t="shared" si="71"/>
        <v>1</v>
      </c>
      <c r="J419" s="662"/>
      <c r="K419" s="21">
        <f t="shared" si="72"/>
        <v>1</v>
      </c>
      <c r="L419" s="662"/>
      <c r="M419" s="21">
        <f t="shared" si="73"/>
        <v>1</v>
      </c>
      <c r="N419" s="662"/>
      <c r="O419" s="21">
        <f t="shared" si="74"/>
        <v>1</v>
      </c>
      <c r="P419" s="662">
        <v>-2</v>
      </c>
      <c r="Q419" s="21">
        <f t="shared" si="75"/>
        <v>0.95</v>
      </c>
      <c r="R419" s="659">
        <f t="shared" ca="1" si="76"/>
        <v>4429</v>
      </c>
      <c r="S419" s="316">
        <f t="shared" ca="1" si="67"/>
        <v>36</v>
      </c>
      <c r="T419" s="720" t="str">
        <f>商办车库!H528</f>
        <v>车位</v>
      </c>
    </row>
    <row r="420" spans="1:20">
      <c r="A420" s="3539" t="str">
        <f>商办车库!E529</f>
        <v>B2017</v>
      </c>
      <c r="B420" s="54">
        <f>商办车库!F529</f>
        <v>40.43</v>
      </c>
      <c r="C420" s="21">
        <f t="shared" si="68"/>
        <v>1</v>
      </c>
      <c r="D420" s="662"/>
      <c r="E420" s="21">
        <f t="shared" si="69"/>
        <v>1</v>
      </c>
      <c r="F420" s="662"/>
      <c r="G420" s="21">
        <f t="shared" si="70"/>
        <v>1</v>
      </c>
      <c r="H420" s="662"/>
      <c r="I420" s="21">
        <f t="shared" si="71"/>
        <v>1</v>
      </c>
      <c r="J420" s="662"/>
      <c r="K420" s="21">
        <f t="shared" si="72"/>
        <v>1</v>
      </c>
      <c r="L420" s="662"/>
      <c r="M420" s="21">
        <f t="shared" si="73"/>
        <v>1</v>
      </c>
      <c r="N420" s="662"/>
      <c r="O420" s="21">
        <f t="shared" si="74"/>
        <v>1</v>
      </c>
      <c r="P420" s="662">
        <v>-2</v>
      </c>
      <c r="Q420" s="21">
        <f t="shared" si="75"/>
        <v>0.95</v>
      </c>
      <c r="R420" s="659">
        <f t="shared" ca="1" si="76"/>
        <v>4429</v>
      </c>
      <c r="S420" s="316">
        <f t="shared" ca="1" si="67"/>
        <v>18</v>
      </c>
      <c r="T420" s="720" t="str">
        <f>商办车库!H529</f>
        <v>车位</v>
      </c>
    </row>
    <row r="421" spans="1:20">
      <c r="A421" s="3539" t="str">
        <f>商办车库!E530</f>
        <v>B2018</v>
      </c>
      <c r="B421" s="54">
        <f>商办车库!F530</f>
        <v>40.43</v>
      </c>
      <c r="C421" s="21">
        <f t="shared" si="68"/>
        <v>1</v>
      </c>
      <c r="D421" s="662"/>
      <c r="E421" s="21">
        <f t="shared" si="69"/>
        <v>1</v>
      </c>
      <c r="F421" s="662"/>
      <c r="G421" s="21">
        <f t="shared" si="70"/>
        <v>1</v>
      </c>
      <c r="H421" s="662"/>
      <c r="I421" s="21">
        <f t="shared" si="71"/>
        <v>1</v>
      </c>
      <c r="J421" s="662"/>
      <c r="K421" s="21">
        <f t="shared" si="72"/>
        <v>1</v>
      </c>
      <c r="L421" s="662"/>
      <c r="M421" s="21">
        <f t="shared" si="73"/>
        <v>1</v>
      </c>
      <c r="N421" s="662"/>
      <c r="O421" s="21">
        <f t="shared" si="74"/>
        <v>1</v>
      </c>
      <c r="P421" s="662">
        <v>-2</v>
      </c>
      <c r="Q421" s="21">
        <f t="shared" si="75"/>
        <v>0.95</v>
      </c>
      <c r="R421" s="659">
        <f t="shared" ca="1" si="76"/>
        <v>4429</v>
      </c>
      <c r="S421" s="316">
        <f t="shared" ca="1" si="67"/>
        <v>18</v>
      </c>
      <c r="T421" s="720" t="str">
        <f>商办车库!H530</f>
        <v>车位</v>
      </c>
    </row>
    <row r="422" spans="1:20">
      <c r="A422" s="3539" t="str">
        <f>商办车库!E531</f>
        <v>B2019</v>
      </c>
      <c r="B422" s="54">
        <f>商办车库!F531</f>
        <v>40.43</v>
      </c>
      <c r="C422" s="21">
        <f t="shared" si="68"/>
        <v>1</v>
      </c>
      <c r="D422" s="662"/>
      <c r="E422" s="21">
        <f t="shared" si="69"/>
        <v>1</v>
      </c>
      <c r="F422" s="662"/>
      <c r="G422" s="21">
        <f t="shared" si="70"/>
        <v>1</v>
      </c>
      <c r="H422" s="662"/>
      <c r="I422" s="21">
        <f t="shared" si="71"/>
        <v>1</v>
      </c>
      <c r="J422" s="662"/>
      <c r="K422" s="21">
        <f t="shared" si="72"/>
        <v>1</v>
      </c>
      <c r="L422" s="662"/>
      <c r="M422" s="21">
        <f t="shared" si="73"/>
        <v>1</v>
      </c>
      <c r="N422" s="662"/>
      <c r="O422" s="21">
        <f t="shared" si="74"/>
        <v>1</v>
      </c>
      <c r="P422" s="662">
        <v>-2</v>
      </c>
      <c r="Q422" s="21">
        <f t="shared" si="75"/>
        <v>0.95</v>
      </c>
      <c r="R422" s="659">
        <f t="shared" ca="1" si="76"/>
        <v>4429</v>
      </c>
      <c r="S422" s="316">
        <f t="shared" ca="1" si="67"/>
        <v>18</v>
      </c>
      <c r="T422" s="720" t="str">
        <f>商办车库!H531</f>
        <v>车位</v>
      </c>
    </row>
    <row r="423" spans="1:20">
      <c r="A423" s="3539" t="str">
        <f>商办车库!E532</f>
        <v>B2020</v>
      </c>
      <c r="B423" s="54">
        <f>商办车库!F532</f>
        <v>40.43</v>
      </c>
      <c r="C423" s="21">
        <f t="shared" si="68"/>
        <v>1</v>
      </c>
      <c r="D423" s="662"/>
      <c r="E423" s="21">
        <f t="shared" si="69"/>
        <v>1</v>
      </c>
      <c r="F423" s="662"/>
      <c r="G423" s="21">
        <f t="shared" si="70"/>
        <v>1</v>
      </c>
      <c r="H423" s="662"/>
      <c r="I423" s="21">
        <f t="shared" si="71"/>
        <v>1</v>
      </c>
      <c r="J423" s="662"/>
      <c r="K423" s="21">
        <f t="shared" si="72"/>
        <v>1</v>
      </c>
      <c r="L423" s="662"/>
      <c r="M423" s="21">
        <f t="shared" si="73"/>
        <v>1</v>
      </c>
      <c r="N423" s="662"/>
      <c r="O423" s="21">
        <f t="shared" si="74"/>
        <v>1</v>
      </c>
      <c r="P423" s="662">
        <v>-2</v>
      </c>
      <c r="Q423" s="21">
        <f t="shared" si="75"/>
        <v>0.95</v>
      </c>
      <c r="R423" s="659">
        <f t="shared" ca="1" si="76"/>
        <v>4429</v>
      </c>
      <c r="S423" s="316">
        <f t="shared" ca="1" si="67"/>
        <v>18</v>
      </c>
      <c r="T423" s="720" t="str">
        <f>商办车库!H532</f>
        <v>车位</v>
      </c>
    </row>
    <row r="424" spans="1:20">
      <c r="A424" s="3539" t="str">
        <f>商办车库!E533</f>
        <v>B2021</v>
      </c>
      <c r="B424" s="54">
        <f>商办车库!F533</f>
        <v>40.43</v>
      </c>
      <c r="C424" s="21">
        <f t="shared" si="68"/>
        <v>1</v>
      </c>
      <c r="D424" s="662"/>
      <c r="E424" s="21">
        <f t="shared" si="69"/>
        <v>1</v>
      </c>
      <c r="F424" s="662"/>
      <c r="G424" s="21">
        <f t="shared" si="70"/>
        <v>1</v>
      </c>
      <c r="H424" s="662"/>
      <c r="I424" s="21">
        <f t="shared" si="71"/>
        <v>1</v>
      </c>
      <c r="J424" s="662"/>
      <c r="K424" s="21">
        <f t="shared" si="72"/>
        <v>1</v>
      </c>
      <c r="L424" s="662"/>
      <c r="M424" s="21">
        <f t="shared" si="73"/>
        <v>1</v>
      </c>
      <c r="N424" s="662"/>
      <c r="O424" s="21">
        <f t="shared" si="74"/>
        <v>1</v>
      </c>
      <c r="P424" s="662">
        <v>-2</v>
      </c>
      <c r="Q424" s="21">
        <f t="shared" si="75"/>
        <v>0.95</v>
      </c>
      <c r="R424" s="659">
        <f t="shared" ca="1" si="76"/>
        <v>4429</v>
      </c>
      <c r="S424" s="316">
        <f t="shared" ca="1" si="67"/>
        <v>18</v>
      </c>
      <c r="T424" s="720" t="str">
        <f>商办车库!H533</f>
        <v>车位</v>
      </c>
    </row>
    <row r="425" spans="1:20">
      <c r="A425" s="3539" t="str">
        <f>商办车库!E534</f>
        <v>B2022</v>
      </c>
      <c r="B425" s="54">
        <f>商办车库!F534</f>
        <v>40.43</v>
      </c>
      <c r="C425" s="21">
        <f t="shared" si="68"/>
        <v>1</v>
      </c>
      <c r="D425" s="662"/>
      <c r="E425" s="21">
        <f t="shared" si="69"/>
        <v>1</v>
      </c>
      <c r="F425" s="662"/>
      <c r="G425" s="21">
        <f t="shared" si="70"/>
        <v>1</v>
      </c>
      <c r="H425" s="662"/>
      <c r="I425" s="21">
        <f t="shared" si="71"/>
        <v>1</v>
      </c>
      <c r="J425" s="662"/>
      <c r="K425" s="21">
        <f t="shared" si="72"/>
        <v>1</v>
      </c>
      <c r="L425" s="662"/>
      <c r="M425" s="21">
        <f t="shared" si="73"/>
        <v>1</v>
      </c>
      <c r="N425" s="662"/>
      <c r="O425" s="21">
        <f t="shared" si="74"/>
        <v>1</v>
      </c>
      <c r="P425" s="662">
        <v>-2</v>
      </c>
      <c r="Q425" s="21">
        <f t="shared" si="75"/>
        <v>0.95</v>
      </c>
      <c r="R425" s="659">
        <f t="shared" ca="1" si="76"/>
        <v>4429</v>
      </c>
      <c r="S425" s="316">
        <f t="shared" ca="1" si="67"/>
        <v>18</v>
      </c>
      <c r="T425" s="720" t="str">
        <f>商办车库!H534</f>
        <v>车位</v>
      </c>
    </row>
    <row r="426" spans="1:20">
      <c r="A426" s="3539" t="str">
        <f>商办车库!E535</f>
        <v>B2023</v>
      </c>
      <c r="B426" s="54">
        <f>商办车库!F535</f>
        <v>40.43</v>
      </c>
      <c r="C426" s="21">
        <f t="shared" si="68"/>
        <v>1</v>
      </c>
      <c r="D426" s="662"/>
      <c r="E426" s="21">
        <f t="shared" si="69"/>
        <v>1</v>
      </c>
      <c r="F426" s="662"/>
      <c r="G426" s="21">
        <f t="shared" si="70"/>
        <v>1</v>
      </c>
      <c r="H426" s="662"/>
      <c r="I426" s="21">
        <f t="shared" si="71"/>
        <v>1</v>
      </c>
      <c r="J426" s="662"/>
      <c r="K426" s="21">
        <f t="shared" si="72"/>
        <v>1</v>
      </c>
      <c r="L426" s="662"/>
      <c r="M426" s="21">
        <f t="shared" si="73"/>
        <v>1</v>
      </c>
      <c r="N426" s="662"/>
      <c r="O426" s="21">
        <f t="shared" si="74"/>
        <v>1</v>
      </c>
      <c r="P426" s="662">
        <v>-2</v>
      </c>
      <c r="Q426" s="21">
        <f t="shared" si="75"/>
        <v>0.95</v>
      </c>
      <c r="R426" s="659">
        <f t="shared" ca="1" si="76"/>
        <v>4429</v>
      </c>
      <c r="S426" s="316">
        <f t="shared" ca="1" si="67"/>
        <v>18</v>
      </c>
      <c r="T426" s="720" t="str">
        <f>商办车库!H535</f>
        <v>车位</v>
      </c>
    </row>
    <row r="427" spans="1:20">
      <c r="A427" s="3539" t="str">
        <f>商办车库!E536</f>
        <v>B2024</v>
      </c>
      <c r="B427" s="54">
        <f>商办车库!F536</f>
        <v>40.43</v>
      </c>
      <c r="C427" s="21">
        <f t="shared" si="68"/>
        <v>1</v>
      </c>
      <c r="D427" s="662"/>
      <c r="E427" s="21">
        <f t="shared" si="69"/>
        <v>1</v>
      </c>
      <c r="F427" s="662"/>
      <c r="G427" s="21">
        <f t="shared" si="70"/>
        <v>1</v>
      </c>
      <c r="H427" s="662"/>
      <c r="I427" s="21">
        <f t="shared" si="71"/>
        <v>1</v>
      </c>
      <c r="J427" s="662"/>
      <c r="K427" s="21">
        <f t="shared" si="72"/>
        <v>1</v>
      </c>
      <c r="L427" s="662"/>
      <c r="M427" s="21">
        <f t="shared" si="73"/>
        <v>1</v>
      </c>
      <c r="N427" s="662"/>
      <c r="O427" s="21">
        <f t="shared" si="74"/>
        <v>1</v>
      </c>
      <c r="P427" s="662">
        <v>-2</v>
      </c>
      <c r="Q427" s="21">
        <f t="shared" si="75"/>
        <v>0.95</v>
      </c>
      <c r="R427" s="659">
        <f t="shared" ca="1" si="76"/>
        <v>4429</v>
      </c>
      <c r="S427" s="316">
        <f t="shared" ca="1" si="67"/>
        <v>18</v>
      </c>
      <c r="T427" s="720" t="str">
        <f>商办车库!H536</f>
        <v>车位</v>
      </c>
    </row>
    <row r="428" spans="1:20">
      <c r="A428" s="3539" t="str">
        <f>商办车库!E537</f>
        <v>B2025</v>
      </c>
      <c r="B428" s="54">
        <f>商办车库!F537</f>
        <v>40.43</v>
      </c>
      <c r="C428" s="21">
        <f t="shared" si="68"/>
        <v>1</v>
      </c>
      <c r="D428" s="662"/>
      <c r="E428" s="21">
        <f t="shared" si="69"/>
        <v>1</v>
      </c>
      <c r="F428" s="662"/>
      <c r="G428" s="21">
        <f t="shared" si="70"/>
        <v>1</v>
      </c>
      <c r="H428" s="662"/>
      <c r="I428" s="21">
        <f t="shared" si="71"/>
        <v>1</v>
      </c>
      <c r="J428" s="662"/>
      <c r="K428" s="21">
        <f t="shared" si="72"/>
        <v>1</v>
      </c>
      <c r="L428" s="662"/>
      <c r="M428" s="21">
        <f t="shared" si="73"/>
        <v>1</v>
      </c>
      <c r="N428" s="662"/>
      <c r="O428" s="21">
        <f t="shared" si="74"/>
        <v>1</v>
      </c>
      <c r="P428" s="662">
        <v>-2</v>
      </c>
      <c r="Q428" s="21">
        <f t="shared" si="75"/>
        <v>0.95</v>
      </c>
      <c r="R428" s="659">
        <f t="shared" ca="1" si="76"/>
        <v>4429</v>
      </c>
      <c r="S428" s="316">
        <f t="shared" ca="1" si="67"/>
        <v>18</v>
      </c>
      <c r="T428" s="720" t="str">
        <f>商办车库!H537</f>
        <v>车位</v>
      </c>
    </row>
    <row r="429" spans="1:20">
      <c r="A429" s="3539" t="str">
        <f>商办车库!E538</f>
        <v>B2026</v>
      </c>
      <c r="B429" s="54">
        <f>商办车库!F538</f>
        <v>40.43</v>
      </c>
      <c r="C429" s="21">
        <f t="shared" si="68"/>
        <v>1</v>
      </c>
      <c r="D429" s="662"/>
      <c r="E429" s="21">
        <f t="shared" si="69"/>
        <v>1</v>
      </c>
      <c r="F429" s="662"/>
      <c r="G429" s="21">
        <f t="shared" si="70"/>
        <v>1</v>
      </c>
      <c r="H429" s="662"/>
      <c r="I429" s="21">
        <f t="shared" si="71"/>
        <v>1</v>
      </c>
      <c r="J429" s="662"/>
      <c r="K429" s="21">
        <f t="shared" si="72"/>
        <v>1</v>
      </c>
      <c r="L429" s="662"/>
      <c r="M429" s="21">
        <f t="shared" si="73"/>
        <v>1</v>
      </c>
      <c r="N429" s="662"/>
      <c r="O429" s="21">
        <f t="shared" si="74"/>
        <v>1</v>
      </c>
      <c r="P429" s="662">
        <v>-2</v>
      </c>
      <c r="Q429" s="21">
        <f t="shared" si="75"/>
        <v>0.95</v>
      </c>
      <c r="R429" s="659">
        <f t="shared" ca="1" si="76"/>
        <v>4429</v>
      </c>
      <c r="S429" s="316">
        <f t="shared" ca="1" si="67"/>
        <v>18</v>
      </c>
      <c r="T429" s="720" t="str">
        <f>商办车库!H538</f>
        <v>车位</v>
      </c>
    </row>
    <row r="430" spans="1:20">
      <c r="A430" s="3539" t="str">
        <f>商办车库!E539</f>
        <v>B2027</v>
      </c>
      <c r="B430" s="54">
        <f>商办车库!F539</f>
        <v>40.43</v>
      </c>
      <c r="C430" s="21">
        <f t="shared" si="68"/>
        <v>1</v>
      </c>
      <c r="D430" s="662"/>
      <c r="E430" s="21">
        <f t="shared" si="69"/>
        <v>1</v>
      </c>
      <c r="F430" s="662"/>
      <c r="G430" s="21">
        <f t="shared" si="70"/>
        <v>1</v>
      </c>
      <c r="H430" s="662"/>
      <c r="I430" s="21">
        <f t="shared" si="71"/>
        <v>1</v>
      </c>
      <c r="J430" s="662"/>
      <c r="K430" s="21">
        <f t="shared" si="72"/>
        <v>1</v>
      </c>
      <c r="L430" s="662"/>
      <c r="M430" s="21">
        <f t="shared" si="73"/>
        <v>1</v>
      </c>
      <c r="N430" s="662"/>
      <c r="O430" s="21">
        <f t="shared" si="74"/>
        <v>1</v>
      </c>
      <c r="P430" s="662">
        <v>-2</v>
      </c>
      <c r="Q430" s="21">
        <f t="shared" si="75"/>
        <v>0.95</v>
      </c>
      <c r="R430" s="659">
        <f t="shared" ca="1" si="76"/>
        <v>4429</v>
      </c>
      <c r="S430" s="316">
        <f t="shared" ca="1" si="67"/>
        <v>18</v>
      </c>
      <c r="T430" s="720" t="str">
        <f>商办车库!H539</f>
        <v>车位</v>
      </c>
    </row>
    <row r="431" spans="1:20">
      <c r="A431" s="3539" t="str">
        <f>商办车库!E540</f>
        <v>B2028</v>
      </c>
      <c r="B431" s="54">
        <f>商办车库!F540</f>
        <v>40.43</v>
      </c>
      <c r="C431" s="21">
        <f t="shared" si="68"/>
        <v>1</v>
      </c>
      <c r="D431" s="662"/>
      <c r="E431" s="21">
        <f t="shared" si="69"/>
        <v>1</v>
      </c>
      <c r="F431" s="662"/>
      <c r="G431" s="21">
        <f t="shared" si="70"/>
        <v>1</v>
      </c>
      <c r="H431" s="662"/>
      <c r="I431" s="21">
        <f t="shared" si="71"/>
        <v>1</v>
      </c>
      <c r="J431" s="662"/>
      <c r="K431" s="21">
        <f t="shared" si="72"/>
        <v>1</v>
      </c>
      <c r="L431" s="662"/>
      <c r="M431" s="21">
        <f t="shared" si="73"/>
        <v>1</v>
      </c>
      <c r="N431" s="662"/>
      <c r="O431" s="21">
        <f t="shared" si="74"/>
        <v>1</v>
      </c>
      <c r="P431" s="662">
        <v>-2</v>
      </c>
      <c r="Q431" s="21">
        <f t="shared" si="75"/>
        <v>0.95</v>
      </c>
      <c r="R431" s="659">
        <f t="shared" ca="1" si="76"/>
        <v>4429</v>
      </c>
      <c r="S431" s="316">
        <f t="shared" ca="1" si="67"/>
        <v>18</v>
      </c>
      <c r="T431" s="720" t="str">
        <f>商办车库!H540</f>
        <v>车位</v>
      </c>
    </row>
    <row r="432" spans="1:20">
      <c r="A432" s="3539" t="str">
        <f>商办车库!E541</f>
        <v>B2029</v>
      </c>
      <c r="B432" s="54">
        <f>商办车库!F541</f>
        <v>40.43</v>
      </c>
      <c r="C432" s="21">
        <f t="shared" si="68"/>
        <v>1</v>
      </c>
      <c r="D432" s="662"/>
      <c r="E432" s="21">
        <f t="shared" si="69"/>
        <v>1</v>
      </c>
      <c r="F432" s="662"/>
      <c r="G432" s="21">
        <f t="shared" si="70"/>
        <v>1</v>
      </c>
      <c r="H432" s="662"/>
      <c r="I432" s="21">
        <f t="shared" si="71"/>
        <v>1</v>
      </c>
      <c r="J432" s="662"/>
      <c r="K432" s="21">
        <f t="shared" si="72"/>
        <v>1</v>
      </c>
      <c r="L432" s="662"/>
      <c r="M432" s="21">
        <f t="shared" si="73"/>
        <v>1</v>
      </c>
      <c r="N432" s="662"/>
      <c r="O432" s="21">
        <f t="shared" si="74"/>
        <v>1</v>
      </c>
      <c r="P432" s="662">
        <v>-2</v>
      </c>
      <c r="Q432" s="21">
        <f t="shared" si="75"/>
        <v>0.95</v>
      </c>
      <c r="R432" s="659">
        <f t="shared" ca="1" si="76"/>
        <v>4429</v>
      </c>
      <c r="S432" s="316">
        <f t="shared" ca="1" si="67"/>
        <v>18</v>
      </c>
      <c r="T432" s="720" t="str">
        <f>商办车库!H541</f>
        <v>车位</v>
      </c>
    </row>
    <row r="433" spans="1:20">
      <c r="A433" s="3539" t="str">
        <f>商办车库!E542</f>
        <v>B2030</v>
      </c>
      <c r="B433" s="54">
        <f>商办车库!F542</f>
        <v>40.43</v>
      </c>
      <c r="C433" s="21">
        <f t="shared" si="68"/>
        <v>1</v>
      </c>
      <c r="D433" s="662"/>
      <c r="E433" s="21">
        <f t="shared" si="69"/>
        <v>1</v>
      </c>
      <c r="F433" s="662"/>
      <c r="G433" s="21">
        <f t="shared" si="70"/>
        <v>1</v>
      </c>
      <c r="H433" s="662"/>
      <c r="I433" s="21">
        <f t="shared" si="71"/>
        <v>1</v>
      </c>
      <c r="J433" s="662"/>
      <c r="K433" s="21">
        <f t="shared" si="72"/>
        <v>1</v>
      </c>
      <c r="L433" s="662"/>
      <c r="M433" s="21">
        <f t="shared" si="73"/>
        <v>1</v>
      </c>
      <c r="N433" s="662"/>
      <c r="O433" s="21">
        <f t="shared" si="74"/>
        <v>1</v>
      </c>
      <c r="P433" s="662">
        <v>-2</v>
      </c>
      <c r="Q433" s="21">
        <f t="shared" si="75"/>
        <v>0.95</v>
      </c>
      <c r="R433" s="659">
        <f t="shared" ca="1" si="76"/>
        <v>4429</v>
      </c>
      <c r="S433" s="316">
        <f t="shared" ca="1" si="67"/>
        <v>18</v>
      </c>
      <c r="T433" s="720" t="str">
        <f>商办车库!H542</f>
        <v>车位</v>
      </c>
    </row>
    <row r="434" spans="1:20">
      <c r="A434" s="3539" t="str">
        <f>商办车库!E543</f>
        <v>B2031</v>
      </c>
      <c r="B434" s="54">
        <f>商办车库!F543</f>
        <v>40.43</v>
      </c>
      <c r="C434" s="21">
        <f t="shared" si="68"/>
        <v>1</v>
      </c>
      <c r="D434" s="662"/>
      <c r="E434" s="21">
        <f t="shared" si="69"/>
        <v>1</v>
      </c>
      <c r="F434" s="662"/>
      <c r="G434" s="21">
        <f t="shared" si="70"/>
        <v>1</v>
      </c>
      <c r="H434" s="662"/>
      <c r="I434" s="21">
        <f t="shared" si="71"/>
        <v>1</v>
      </c>
      <c r="J434" s="662"/>
      <c r="K434" s="21">
        <f t="shared" si="72"/>
        <v>1</v>
      </c>
      <c r="L434" s="662"/>
      <c r="M434" s="21">
        <f t="shared" si="73"/>
        <v>1</v>
      </c>
      <c r="N434" s="662"/>
      <c r="O434" s="21">
        <f t="shared" si="74"/>
        <v>1</v>
      </c>
      <c r="P434" s="662">
        <v>-2</v>
      </c>
      <c r="Q434" s="21">
        <f t="shared" si="75"/>
        <v>0.95</v>
      </c>
      <c r="R434" s="659">
        <f t="shared" ca="1" si="76"/>
        <v>4429</v>
      </c>
      <c r="S434" s="316">
        <f t="shared" ca="1" si="67"/>
        <v>18</v>
      </c>
      <c r="T434" s="720" t="str">
        <f>商办车库!H543</f>
        <v>车位</v>
      </c>
    </row>
    <row r="435" spans="1:20">
      <c r="A435" s="3539" t="str">
        <f>商办车库!E544</f>
        <v>B2032</v>
      </c>
      <c r="B435" s="54">
        <f>商办车库!F544</f>
        <v>40.43</v>
      </c>
      <c r="C435" s="21">
        <f t="shared" si="68"/>
        <v>1</v>
      </c>
      <c r="D435" s="662"/>
      <c r="E435" s="21">
        <f t="shared" si="69"/>
        <v>1</v>
      </c>
      <c r="F435" s="662"/>
      <c r="G435" s="21">
        <f t="shared" si="70"/>
        <v>1</v>
      </c>
      <c r="H435" s="662"/>
      <c r="I435" s="21">
        <f t="shared" si="71"/>
        <v>1</v>
      </c>
      <c r="J435" s="662"/>
      <c r="K435" s="21">
        <f t="shared" si="72"/>
        <v>1</v>
      </c>
      <c r="L435" s="662"/>
      <c r="M435" s="21">
        <f t="shared" si="73"/>
        <v>1</v>
      </c>
      <c r="N435" s="662"/>
      <c r="O435" s="21">
        <f t="shared" si="74"/>
        <v>1</v>
      </c>
      <c r="P435" s="662">
        <v>-2</v>
      </c>
      <c r="Q435" s="21">
        <f t="shared" si="75"/>
        <v>0.95</v>
      </c>
      <c r="R435" s="659">
        <f t="shared" ca="1" si="76"/>
        <v>4429</v>
      </c>
      <c r="S435" s="316">
        <f t="shared" ca="1" si="67"/>
        <v>18</v>
      </c>
      <c r="T435" s="720" t="str">
        <f>商办车库!H544</f>
        <v>车位</v>
      </c>
    </row>
    <row r="436" spans="1:20">
      <c r="A436" s="3539" t="str">
        <f>商办车库!E545</f>
        <v>B2033</v>
      </c>
      <c r="B436" s="54">
        <f>商办车库!F545</f>
        <v>40.43</v>
      </c>
      <c r="C436" s="21">
        <f t="shared" si="68"/>
        <v>1</v>
      </c>
      <c r="D436" s="662"/>
      <c r="E436" s="21">
        <f t="shared" si="69"/>
        <v>1</v>
      </c>
      <c r="F436" s="662"/>
      <c r="G436" s="21">
        <f t="shared" si="70"/>
        <v>1</v>
      </c>
      <c r="H436" s="662"/>
      <c r="I436" s="21">
        <f t="shared" si="71"/>
        <v>1</v>
      </c>
      <c r="J436" s="662"/>
      <c r="K436" s="21">
        <f t="shared" si="72"/>
        <v>1</v>
      </c>
      <c r="L436" s="662"/>
      <c r="M436" s="21">
        <f t="shared" si="73"/>
        <v>1</v>
      </c>
      <c r="N436" s="662"/>
      <c r="O436" s="21">
        <f t="shared" si="74"/>
        <v>1</v>
      </c>
      <c r="P436" s="662">
        <v>-2</v>
      </c>
      <c r="Q436" s="21">
        <f t="shared" si="75"/>
        <v>0.95</v>
      </c>
      <c r="R436" s="659">
        <f t="shared" ca="1" si="76"/>
        <v>4429</v>
      </c>
      <c r="S436" s="316">
        <f t="shared" ca="1" si="67"/>
        <v>18</v>
      </c>
      <c r="T436" s="720" t="str">
        <f>商办车库!H545</f>
        <v>车位</v>
      </c>
    </row>
    <row r="437" spans="1:20">
      <c r="A437" s="3539" t="str">
        <f>商办车库!E546</f>
        <v>B2034</v>
      </c>
      <c r="B437" s="54">
        <f>商办车库!F546</f>
        <v>40.43</v>
      </c>
      <c r="C437" s="21">
        <f t="shared" si="68"/>
        <v>1</v>
      </c>
      <c r="D437" s="662"/>
      <c r="E437" s="21">
        <f t="shared" si="69"/>
        <v>1</v>
      </c>
      <c r="F437" s="662"/>
      <c r="G437" s="21">
        <f t="shared" si="70"/>
        <v>1</v>
      </c>
      <c r="H437" s="662"/>
      <c r="I437" s="21">
        <f t="shared" si="71"/>
        <v>1</v>
      </c>
      <c r="J437" s="662"/>
      <c r="K437" s="21">
        <f t="shared" si="72"/>
        <v>1</v>
      </c>
      <c r="L437" s="662"/>
      <c r="M437" s="21">
        <f t="shared" si="73"/>
        <v>1</v>
      </c>
      <c r="N437" s="662"/>
      <c r="O437" s="21">
        <f t="shared" si="74"/>
        <v>1</v>
      </c>
      <c r="P437" s="662">
        <v>-2</v>
      </c>
      <c r="Q437" s="21">
        <f t="shared" si="75"/>
        <v>0.95</v>
      </c>
      <c r="R437" s="659">
        <f t="shared" ca="1" si="76"/>
        <v>4429</v>
      </c>
      <c r="S437" s="316">
        <f t="shared" ca="1" si="67"/>
        <v>18</v>
      </c>
      <c r="T437" s="720" t="str">
        <f>商办车库!H546</f>
        <v>车位</v>
      </c>
    </row>
    <row r="438" spans="1:20">
      <c r="A438" s="3539" t="str">
        <f>商办车库!E547</f>
        <v>B2035</v>
      </c>
      <c r="B438" s="54">
        <f>商办车库!F547</f>
        <v>40.43</v>
      </c>
      <c r="C438" s="21">
        <f t="shared" si="68"/>
        <v>1</v>
      </c>
      <c r="D438" s="662"/>
      <c r="E438" s="21">
        <f t="shared" si="69"/>
        <v>1</v>
      </c>
      <c r="F438" s="662"/>
      <c r="G438" s="21">
        <f t="shared" si="70"/>
        <v>1</v>
      </c>
      <c r="H438" s="662"/>
      <c r="I438" s="21">
        <f t="shared" si="71"/>
        <v>1</v>
      </c>
      <c r="J438" s="662"/>
      <c r="K438" s="21">
        <f t="shared" si="72"/>
        <v>1</v>
      </c>
      <c r="L438" s="662"/>
      <c r="M438" s="21">
        <f t="shared" si="73"/>
        <v>1</v>
      </c>
      <c r="N438" s="662"/>
      <c r="O438" s="21">
        <f t="shared" si="74"/>
        <v>1</v>
      </c>
      <c r="P438" s="662">
        <v>-2</v>
      </c>
      <c r="Q438" s="21">
        <f t="shared" si="75"/>
        <v>0.95</v>
      </c>
      <c r="R438" s="659">
        <f t="shared" ca="1" si="76"/>
        <v>4429</v>
      </c>
      <c r="S438" s="316">
        <f t="shared" ca="1" si="67"/>
        <v>18</v>
      </c>
      <c r="T438" s="720" t="str">
        <f>商办车库!H547</f>
        <v>车位</v>
      </c>
    </row>
    <row r="439" spans="1:20">
      <c r="A439" s="3539" t="str">
        <f>商办车库!E548</f>
        <v>B2036</v>
      </c>
      <c r="B439" s="54">
        <f>商办车库!F548</f>
        <v>40.43</v>
      </c>
      <c r="C439" s="21">
        <f t="shared" si="68"/>
        <v>1</v>
      </c>
      <c r="D439" s="662"/>
      <c r="E439" s="21">
        <f t="shared" si="69"/>
        <v>1</v>
      </c>
      <c r="F439" s="662"/>
      <c r="G439" s="21">
        <f t="shared" si="70"/>
        <v>1</v>
      </c>
      <c r="H439" s="662"/>
      <c r="I439" s="21">
        <f t="shared" si="71"/>
        <v>1</v>
      </c>
      <c r="J439" s="662"/>
      <c r="K439" s="21">
        <f t="shared" si="72"/>
        <v>1</v>
      </c>
      <c r="L439" s="662"/>
      <c r="M439" s="21">
        <f t="shared" si="73"/>
        <v>1</v>
      </c>
      <c r="N439" s="662"/>
      <c r="O439" s="21">
        <f t="shared" si="74"/>
        <v>1</v>
      </c>
      <c r="P439" s="662">
        <v>-2</v>
      </c>
      <c r="Q439" s="21">
        <f t="shared" si="75"/>
        <v>0.95</v>
      </c>
      <c r="R439" s="659">
        <f t="shared" ca="1" si="76"/>
        <v>4429</v>
      </c>
      <c r="S439" s="316">
        <f t="shared" ca="1" si="67"/>
        <v>18</v>
      </c>
      <c r="T439" s="720" t="str">
        <f>商办车库!H548</f>
        <v>车位</v>
      </c>
    </row>
    <row r="440" spans="1:20">
      <c r="A440" s="3539" t="str">
        <f>商办车库!E549</f>
        <v>B2037</v>
      </c>
      <c r="B440" s="54">
        <f>商办车库!F549</f>
        <v>40.43</v>
      </c>
      <c r="C440" s="21">
        <f t="shared" si="68"/>
        <v>1</v>
      </c>
      <c r="D440" s="662"/>
      <c r="E440" s="21">
        <f t="shared" si="69"/>
        <v>1</v>
      </c>
      <c r="F440" s="662"/>
      <c r="G440" s="21">
        <f t="shared" si="70"/>
        <v>1</v>
      </c>
      <c r="H440" s="662"/>
      <c r="I440" s="21">
        <f t="shared" si="71"/>
        <v>1</v>
      </c>
      <c r="J440" s="662"/>
      <c r="K440" s="21">
        <f t="shared" si="72"/>
        <v>1</v>
      </c>
      <c r="L440" s="662"/>
      <c r="M440" s="21">
        <f t="shared" si="73"/>
        <v>1</v>
      </c>
      <c r="N440" s="662"/>
      <c r="O440" s="21">
        <f t="shared" si="74"/>
        <v>1</v>
      </c>
      <c r="P440" s="662">
        <v>-2</v>
      </c>
      <c r="Q440" s="21">
        <f t="shared" si="75"/>
        <v>0.95</v>
      </c>
      <c r="R440" s="659">
        <f t="shared" ca="1" si="76"/>
        <v>4429</v>
      </c>
      <c r="S440" s="316">
        <f t="shared" ca="1" si="67"/>
        <v>18</v>
      </c>
      <c r="T440" s="720" t="str">
        <f>商办车库!H549</f>
        <v>车位</v>
      </c>
    </row>
    <row r="441" spans="1:20">
      <c r="A441" s="3539" t="str">
        <f>商办车库!E550</f>
        <v>B2038</v>
      </c>
      <c r="B441" s="54">
        <f>商办车库!F550</f>
        <v>40.43</v>
      </c>
      <c r="C441" s="21">
        <f t="shared" si="68"/>
        <v>1</v>
      </c>
      <c r="D441" s="662"/>
      <c r="E441" s="21">
        <f t="shared" si="69"/>
        <v>1</v>
      </c>
      <c r="F441" s="662"/>
      <c r="G441" s="21">
        <f t="shared" si="70"/>
        <v>1</v>
      </c>
      <c r="H441" s="662"/>
      <c r="I441" s="21">
        <f t="shared" si="71"/>
        <v>1</v>
      </c>
      <c r="J441" s="662"/>
      <c r="K441" s="21">
        <f t="shared" si="72"/>
        <v>1</v>
      </c>
      <c r="L441" s="662"/>
      <c r="M441" s="21">
        <f t="shared" si="73"/>
        <v>1</v>
      </c>
      <c r="N441" s="662"/>
      <c r="O441" s="21">
        <f t="shared" si="74"/>
        <v>1</v>
      </c>
      <c r="P441" s="662">
        <v>-2</v>
      </c>
      <c r="Q441" s="21">
        <f t="shared" si="75"/>
        <v>0.95</v>
      </c>
      <c r="R441" s="659">
        <f t="shared" ca="1" si="76"/>
        <v>4429</v>
      </c>
      <c r="S441" s="316">
        <f t="shared" ca="1" si="67"/>
        <v>18</v>
      </c>
      <c r="T441" s="720" t="str">
        <f>商办车库!H550</f>
        <v>车位</v>
      </c>
    </row>
    <row r="442" spans="1:20">
      <c r="A442" s="3539" t="str">
        <f>商办车库!E551</f>
        <v>B2039</v>
      </c>
      <c r="B442" s="54">
        <f>商办车库!F551</f>
        <v>40.43</v>
      </c>
      <c r="C442" s="21">
        <f t="shared" si="68"/>
        <v>1</v>
      </c>
      <c r="D442" s="662"/>
      <c r="E442" s="21">
        <f t="shared" si="69"/>
        <v>1</v>
      </c>
      <c r="F442" s="662"/>
      <c r="G442" s="21">
        <f t="shared" si="70"/>
        <v>1</v>
      </c>
      <c r="H442" s="662"/>
      <c r="I442" s="21">
        <f t="shared" si="71"/>
        <v>1</v>
      </c>
      <c r="J442" s="662"/>
      <c r="K442" s="21">
        <f t="shared" si="72"/>
        <v>1</v>
      </c>
      <c r="L442" s="662"/>
      <c r="M442" s="21">
        <f t="shared" si="73"/>
        <v>1</v>
      </c>
      <c r="N442" s="662"/>
      <c r="O442" s="21">
        <f t="shared" si="74"/>
        <v>1</v>
      </c>
      <c r="P442" s="662">
        <v>-2</v>
      </c>
      <c r="Q442" s="21">
        <f t="shared" si="75"/>
        <v>0.95</v>
      </c>
      <c r="R442" s="659">
        <f t="shared" ca="1" si="76"/>
        <v>4429</v>
      </c>
      <c r="S442" s="316">
        <f t="shared" ca="1" si="67"/>
        <v>18</v>
      </c>
      <c r="T442" s="720" t="str">
        <f>商办车库!H551</f>
        <v>车位</v>
      </c>
    </row>
    <row r="443" spans="1:20">
      <c r="A443" s="3539" t="str">
        <f>商办车库!E552</f>
        <v>B2040</v>
      </c>
      <c r="B443" s="54">
        <f>商办车库!F552</f>
        <v>40.43</v>
      </c>
      <c r="C443" s="21">
        <f t="shared" si="68"/>
        <v>1</v>
      </c>
      <c r="D443" s="662"/>
      <c r="E443" s="21">
        <f t="shared" si="69"/>
        <v>1</v>
      </c>
      <c r="F443" s="662"/>
      <c r="G443" s="21">
        <f t="shared" si="70"/>
        <v>1</v>
      </c>
      <c r="H443" s="662"/>
      <c r="I443" s="21">
        <f t="shared" si="71"/>
        <v>1</v>
      </c>
      <c r="J443" s="662"/>
      <c r="K443" s="21">
        <f t="shared" si="72"/>
        <v>1</v>
      </c>
      <c r="L443" s="662"/>
      <c r="M443" s="21">
        <f t="shared" si="73"/>
        <v>1</v>
      </c>
      <c r="N443" s="662"/>
      <c r="O443" s="21">
        <f t="shared" si="74"/>
        <v>1</v>
      </c>
      <c r="P443" s="662">
        <v>-2</v>
      </c>
      <c r="Q443" s="21">
        <f t="shared" si="75"/>
        <v>0.95</v>
      </c>
      <c r="R443" s="659">
        <f t="shared" ca="1" si="76"/>
        <v>4429</v>
      </c>
      <c r="S443" s="316">
        <f t="shared" ca="1" si="67"/>
        <v>18</v>
      </c>
      <c r="T443" s="720" t="str">
        <f>商办车库!H552</f>
        <v>车位</v>
      </c>
    </row>
    <row r="444" spans="1:20">
      <c r="A444" s="3539" t="str">
        <f>商办车库!E553</f>
        <v>B2041</v>
      </c>
      <c r="B444" s="54">
        <f>商办车库!F553</f>
        <v>40.43</v>
      </c>
      <c r="C444" s="21">
        <f t="shared" si="68"/>
        <v>1</v>
      </c>
      <c r="D444" s="662"/>
      <c r="E444" s="21">
        <f t="shared" si="69"/>
        <v>1</v>
      </c>
      <c r="F444" s="662"/>
      <c r="G444" s="21">
        <f t="shared" si="70"/>
        <v>1</v>
      </c>
      <c r="H444" s="662"/>
      <c r="I444" s="21">
        <f t="shared" si="71"/>
        <v>1</v>
      </c>
      <c r="J444" s="662"/>
      <c r="K444" s="21">
        <f t="shared" si="72"/>
        <v>1</v>
      </c>
      <c r="L444" s="662"/>
      <c r="M444" s="21">
        <f t="shared" si="73"/>
        <v>1</v>
      </c>
      <c r="N444" s="662"/>
      <c r="O444" s="21">
        <f t="shared" si="74"/>
        <v>1</v>
      </c>
      <c r="P444" s="662">
        <v>-2</v>
      </c>
      <c r="Q444" s="21">
        <f t="shared" si="75"/>
        <v>0.95</v>
      </c>
      <c r="R444" s="659">
        <f t="shared" ca="1" si="76"/>
        <v>4429</v>
      </c>
      <c r="S444" s="316">
        <f t="shared" ca="1" si="67"/>
        <v>18</v>
      </c>
      <c r="T444" s="720" t="str">
        <f>商办车库!H553</f>
        <v>车位</v>
      </c>
    </row>
    <row r="445" spans="1:20">
      <c r="A445" s="3539" t="str">
        <f>商办车库!E554</f>
        <v>B2042</v>
      </c>
      <c r="B445" s="54">
        <f>商办车库!F554</f>
        <v>40.43</v>
      </c>
      <c r="C445" s="21">
        <f t="shared" si="68"/>
        <v>1</v>
      </c>
      <c r="D445" s="662"/>
      <c r="E445" s="21">
        <f t="shared" si="69"/>
        <v>1</v>
      </c>
      <c r="F445" s="662"/>
      <c r="G445" s="21">
        <f t="shared" si="70"/>
        <v>1</v>
      </c>
      <c r="H445" s="662"/>
      <c r="I445" s="21">
        <f t="shared" si="71"/>
        <v>1</v>
      </c>
      <c r="J445" s="662"/>
      <c r="K445" s="21">
        <f t="shared" si="72"/>
        <v>1</v>
      </c>
      <c r="L445" s="662"/>
      <c r="M445" s="21">
        <f t="shared" si="73"/>
        <v>1</v>
      </c>
      <c r="N445" s="662"/>
      <c r="O445" s="21">
        <f t="shared" si="74"/>
        <v>1</v>
      </c>
      <c r="P445" s="662">
        <v>-2</v>
      </c>
      <c r="Q445" s="21">
        <f t="shared" si="75"/>
        <v>0.95</v>
      </c>
      <c r="R445" s="659">
        <f t="shared" ca="1" si="76"/>
        <v>4429</v>
      </c>
      <c r="S445" s="316">
        <f t="shared" ca="1" si="67"/>
        <v>18</v>
      </c>
      <c r="T445" s="720" t="str">
        <f>商办车库!H554</f>
        <v>车位</v>
      </c>
    </row>
    <row r="446" spans="1:20">
      <c r="A446" s="3539" t="str">
        <f>商办车库!E555</f>
        <v>B2043</v>
      </c>
      <c r="B446" s="54">
        <f>商办车库!F555</f>
        <v>40.43</v>
      </c>
      <c r="C446" s="21">
        <f t="shared" si="68"/>
        <v>1</v>
      </c>
      <c r="D446" s="662"/>
      <c r="E446" s="21">
        <f t="shared" si="69"/>
        <v>1</v>
      </c>
      <c r="F446" s="662"/>
      <c r="G446" s="21">
        <f t="shared" si="70"/>
        <v>1</v>
      </c>
      <c r="H446" s="662"/>
      <c r="I446" s="21">
        <f t="shared" si="71"/>
        <v>1</v>
      </c>
      <c r="J446" s="662"/>
      <c r="K446" s="21">
        <f t="shared" si="72"/>
        <v>1</v>
      </c>
      <c r="L446" s="662"/>
      <c r="M446" s="21">
        <f t="shared" si="73"/>
        <v>1</v>
      </c>
      <c r="N446" s="662"/>
      <c r="O446" s="21">
        <f t="shared" si="74"/>
        <v>1</v>
      </c>
      <c r="P446" s="662">
        <v>-2</v>
      </c>
      <c r="Q446" s="21">
        <f t="shared" si="75"/>
        <v>0.95</v>
      </c>
      <c r="R446" s="659">
        <f t="shared" ca="1" si="76"/>
        <v>4429</v>
      </c>
      <c r="S446" s="316">
        <f t="shared" ca="1" si="67"/>
        <v>18</v>
      </c>
      <c r="T446" s="720" t="str">
        <f>商办车库!H555</f>
        <v>车位</v>
      </c>
    </row>
    <row r="447" spans="1:20">
      <c r="A447" s="3539" t="str">
        <f>商办车库!E556</f>
        <v>B2044</v>
      </c>
      <c r="B447" s="54">
        <f>商办车库!F556</f>
        <v>40.43</v>
      </c>
      <c r="C447" s="21">
        <f t="shared" si="68"/>
        <v>1</v>
      </c>
      <c r="D447" s="662"/>
      <c r="E447" s="21">
        <f t="shared" si="69"/>
        <v>1</v>
      </c>
      <c r="F447" s="662"/>
      <c r="G447" s="21">
        <f t="shared" si="70"/>
        <v>1</v>
      </c>
      <c r="H447" s="662"/>
      <c r="I447" s="21">
        <f t="shared" si="71"/>
        <v>1</v>
      </c>
      <c r="J447" s="662"/>
      <c r="K447" s="21">
        <f t="shared" si="72"/>
        <v>1</v>
      </c>
      <c r="L447" s="662"/>
      <c r="M447" s="21">
        <f t="shared" si="73"/>
        <v>1</v>
      </c>
      <c r="N447" s="662"/>
      <c r="O447" s="21">
        <f t="shared" si="74"/>
        <v>1</v>
      </c>
      <c r="P447" s="662">
        <v>-2</v>
      </c>
      <c r="Q447" s="21">
        <f t="shared" si="75"/>
        <v>0.95</v>
      </c>
      <c r="R447" s="659">
        <f t="shared" ca="1" si="76"/>
        <v>4429</v>
      </c>
      <c r="S447" s="316">
        <f t="shared" ca="1" si="67"/>
        <v>18</v>
      </c>
      <c r="T447" s="720" t="str">
        <f>商办车库!H556</f>
        <v>车位</v>
      </c>
    </row>
    <row r="448" spans="1:20">
      <c r="A448" s="3539" t="str">
        <f>商办车库!E557</f>
        <v>B2045</v>
      </c>
      <c r="B448" s="54">
        <f>商办车库!F557</f>
        <v>40.43</v>
      </c>
      <c r="C448" s="21">
        <f t="shared" si="68"/>
        <v>1</v>
      </c>
      <c r="D448" s="662"/>
      <c r="E448" s="21">
        <f t="shared" si="69"/>
        <v>1</v>
      </c>
      <c r="F448" s="662"/>
      <c r="G448" s="21">
        <f t="shared" si="70"/>
        <v>1</v>
      </c>
      <c r="H448" s="662"/>
      <c r="I448" s="21">
        <f t="shared" si="71"/>
        <v>1</v>
      </c>
      <c r="J448" s="662"/>
      <c r="K448" s="21">
        <f t="shared" si="72"/>
        <v>1</v>
      </c>
      <c r="L448" s="662"/>
      <c r="M448" s="21">
        <f t="shared" si="73"/>
        <v>1</v>
      </c>
      <c r="N448" s="662"/>
      <c r="O448" s="21">
        <f t="shared" si="74"/>
        <v>1</v>
      </c>
      <c r="P448" s="662">
        <v>-2</v>
      </c>
      <c r="Q448" s="21">
        <f t="shared" si="75"/>
        <v>0.95</v>
      </c>
      <c r="R448" s="659">
        <f t="shared" ca="1" si="76"/>
        <v>4429</v>
      </c>
      <c r="S448" s="316">
        <f t="shared" ca="1" si="67"/>
        <v>18</v>
      </c>
      <c r="T448" s="720" t="str">
        <f>商办车库!H557</f>
        <v>车位</v>
      </c>
    </row>
    <row r="449" spans="1:20">
      <c r="A449" s="3539" t="str">
        <f>商办车库!E558</f>
        <v>B2046</v>
      </c>
      <c r="B449" s="54">
        <f>商办车库!F558</f>
        <v>40.43</v>
      </c>
      <c r="C449" s="21">
        <f t="shared" si="68"/>
        <v>1</v>
      </c>
      <c r="D449" s="662"/>
      <c r="E449" s="21">
        <f t="shared" si="69"/>
        <v>1</v>
      </c>
      <c r="F449" s="662"/>
      <c r="G449" s="21">
        <f t="shared" si="70"/>
        <v>1</v>
      </c>
      <c r="H449" s="662"/>
      <c r="I449" s="21">
        <f t="shared" si="71"/>
        <v>1</v>
      </c>
      <c r="J449" s="662"/>
      <c r="K449" s="21">
        <f t="shared" si="72"/>
        <v>1</v>
      </c>
      <c r="L449" s="662"/>
      <c r="M449" s="21">
        <f t="shared" si="73"/>
        <v>1</v>
      </c>
      <c r="N449" s="662"/>
      <c r="O449" s="21">
        <f t="shared" si="74"/>
        <v>1</v>
      </c>
      <c r="P449" s="662">
        <v>-2</v>
      </c>
      <c r="Q449" s="21">
        <f t="shared" si="75"/>
        <v>0.95</v>
      </c>
      <c r="R449" s="659">
        <f t="shared" ca="1" si="76"/>
        <v>4429</v>
      </c>
      <c r="S449" s="316">
        <f t="shared" ca="1" si="67"/>
        <v>18</v>
      </c>
      <c r="T449" s="720" t="str">
        <f>商办车库!H558</f>
        <v>车位</v>
      </c>
    </row>
    <row r="450" spans="1:20">
      <c r="A450" s="3539" t="str">
        <f>商办车库!E559</f>
        <v>B2047</v>
      </c>
      <c r="B450" s="54">
        <f>商办车库!F559</f>
        <v>40.43</v>
      </c>
      <c r="C450" s="21">
        <f t="shared" si="68"/>
        <v>1</v>
      </c>
      <c r="D450" s="662"/>
      <c r="E450" s="21">
        <f t="shared" si="69"/>
        <v>1</v>
      </c>
      <c r="F450" s="662"/>
      <c r="G450" s="21">
        <f t="shared" si="70"/>
        <v>1</v>
      </c>
      <c r="H450" s="662"/>
      <c r="I450" s="21">
        <f t="shared" si="71"/>
        <v>1</v>
      </c>
      <c r="J450" s="662"/>
      <c r="K450" s="21">
        <f t="shared" si="72"/>
        <v>1</v>
      </c>
      <c r="L450" s="662"/>
      <c r="M450" s="21">
        <f t="shared" si="73"/>
        <v>1</v>
      </c>
      <c r="N450" s="662"/>
      <c r="O450" s="21">
        <f t="shared" si="74"/>
        <v>1</v>
      </c>
      <c r="P450" s="662">
        <v>-2</v>
      </c>
      <c r="Q450" s="21">
        <f t="shared" si="75"/>
        <v>0.95</v>
      </c>
      <c r="R450" s="659">
        <f t="shared" ca="1" si="76"/>
        <v>4429</v>
      </c>
      <c r="S450" s="316">
        <f t="shared" ca="1" si="67"/>
        <v>18</v>
      </c>
      <c r="T450" s="720" t="str">
        <f>商办车库!H559</f>
        <v>车位</v>
      </c>
    </row>
    <row r="451" spans="1:20">
      <c r="A451" s="3539" t="str">
        <f>商办车库!E560</f>
        <v>B2048</v>
      </c>
      <c r="B451" s="54">
        <f>商办车库!F560</f>
        <v>40.43</v>
      </c>
      <c r="C451" s="21">
        <f t="shared" si="68"/>
        <v>1</v>
      </c>
      <c r="D451" s="662"/>
      <c r="E451" s="21">
        <f t="shared" si="69"/>
        <v>1</v>
      </c>
      <c r="F451" s="662"/>
      <c r="G451" s="21">
        <f t="shared" si="70"/>
        <v>1</v>
      </c>
      <c r="H451" s="662"/>
      <c r="I451" s="21">
        <f t="shared" si="71"/>
        <v>1</v>
      </c>
      <c r="J451" s="662"/>
      <c r="K451" s="21">
        <f t="shared" si="72"/>
        <v>1</v>
      </c>
      <c r="L451" s="662"/>
      <c r="M451" s="21">
        <f t="shared" si="73"/>
        <v>1</v>
      </c>
      <c r="N451" s="662"/>
      <c r="O451" s="21">
        <f t="shared" si="74"/>
        <v>1</v>
      </c>
      <c r="P451" s="662">
        <v>-2</v>
      </c>
      <c r="Q451" s="21">
        <f t="shared" si="75"/>
        <v>0.95</v>
      </c>
      <c r="R451" s="659">
        <f t="shared" ca="1" si="76"/>
        <v>4429</v>
      </c>
      <c r="S451" s="316">
        <f t="shared" ca="1" si="67"/>
        <v>18</v>
      </c>
      <c r="T451" s="720" t="str">
        <f>商办车库!H560</f>
        <v>车位</v>
      </c>
    </row>
    <row r="452" spans="1:20">
      <c r="A452" s="3539" t="str">
        <f>商办车库!E561</f>
        <v>B2049</v>
      </c>
      <c r="B452" s="54">
        <f>商办车库!F561</f>
        <v>40.43</v>
      </c>
      <c r="C452" s="21">
        <f t="shared" si="68"/>
        <v>1</v>
      </c>
      <c r="D452" s="662"/>
      <c r="E452" s="21">
        <f t="shared" si="69"/>
        <v>1</v>
      </c>
      <c r="F452" s="662"/>
      <c r="G452" s="21">
        <f t="shared" si="70"/>
        <v>1</v>
      </c>
      <c r="H452" s="662"/>
      <c r="I452" s="21">
        <f t="shared" si="71"/>
        <v>1</v>
      </c>
      <c r="J452" s="662"/>
      <c r="K452" s="21">
        <f t="shared" si="72"/>
        <v>1</v>
      </c>
      <c r="L452" s="662"/>
      <c r="M452" s="21">
        <f t="shared" si="73"/>
        <v>1</v>
      </c>
      <c r="N452" s="662"/>
      <c r="O452" s="21">
        <f t="shared" si="74"/>
        <v>1</v>
      </c>
      <c r="P452" s="662">
        <v>-2</v>
      </c>
      <c r="Q452" s="21">
        <f t="shared" si="75"/>
        <v>0.95</v>
      </c>
      <c r="R452" s="659">
        <f t="shared" ca="1" si="76"/>
        <v>4429</v>
      </c>
      <c r="S452" s="316">
        <f t="shared" ca="1" si="67"/>
        <v>18</v>
      </c>
      <c r="T452" s="720" t="str">
        <f>商办车库!H561</f>
        <v>车位</v>
      </c>
    </row>
    <row r="453" spans="1:20">
      <c r="A453" s="3539" t="str">
        <f>商办车库!E562</f>
        <v>B2050、B2051</v>
      </c>
      <c r="B453" s="54">
        <f>商办车库!F562</f>
        <v>80.86</v>
      </c>
      <c r="C453" s="3438">
        <v>1</v>
      </c>
      <c r="D453" s="662"/>
      <c r="E453" s="21">
        <f t="shared" si="69"/>
        <v>1</v>
      </c>
      <c r="F453" s="662"/>
      <c r="G453" s="21">
        <f t="shared" si="70"/>
        <v>1</v>
      </c>
      <c r="H453" s="662"/>
      <c r="I453" s="21">
        <f t="shared" si="71"/>
        <v>1</v>
      </c>
      <c r="J453" s="662"/>
      <c r="K453" s="21">
        <f t="shared" si="72"/>
        <v>1</v>
      </c>
      <c r="L453" s="662"/>
      <c r="M453" s="21">
        <f t="shared" si="73"/>
        <v>1</v>
      </c>
      <c r="N453" s="662"/>
      <c r="O453" s="21">
        <f t="shared" si="74"/>
        <v>1</v>
      </c>
      <c r="P453" s="662">
        <v>-2</v>
      </c>
      <c r="Q453" s="21">
        <f t="shared" si="75"/>
        <v>0.95</v>
      </c>
      <c r="R453" s="659">
        <f t="shared" ca="1" si="76"/>
        <v>4429</v>
      </c>
      <c r="S453" s="316">
        <f t="shared" ca="1" si="67"/>
        <v>36</v>
      </c>
      <c r="T453" s="720" t="str">
        <f>商办车库!H562</f>
        <v>车位</v>
      </c>
    </row>
    <row r="454" spans="1:20">
      <c r="A454" s="3539" t="str">
        <f>商办车库!E563</f>
        <v>B2052、B2053</v>
      </c>
      <c r="B454" s="54">
        <f>商办车库!F563</f>
        <v>80.86</v>
      </c>
      <c r="C454" s="3438">
        <v>1</v>
      </c>
      <c r="D454" s="662"/>
      <c r="E454" s="21">
        <f t="shared" si="69"/>
        <v>1</v>
      </c>
      <c r="F454" s="662"/>
      <c r="G454" s="21">
        <f t="shared" si="70"/>
        <v>1</v>
      </c>
      <c r="H454" s="662"/>
      <c r="I454" s="21">
        <f t="shared" si="71"/>
        <v>1</v>
      </c>
      <c r="J454" s="662"/>
      <c r="K454" s="21">
        <f t="shared" si="72"/>
        <v>1</v>
      </c>
      <c r="L454" s="662"/>
      <c r="M454" s="21">
        <f t="shared" si="73"/>
        <v>1</v>
      </c>
      <c r="N454" s="662"/>
      <c r="O454" s="21">
        <f t="shared" si="74"/>
        <v>1</v>
      </c>
      <c r="P454" s="662">
        <v>-2</v>
      </c>
      <c r="Q454" s="21">
        <f t="shared" si="75"/>
        <v>0.95</v>
      </c>
      <c r="R454" s="659">
        <f t="shared" ca="1" si="76"/>
        <v>4429</v>
      </c>
      <c r="S454" s="316">
        <f t="shared" ca="1" si="67"/>
        <v>36</v>
      </c>
      <c r="T454" s="720" t="str">
        <f>商办车库!H563</f>
        <v>车位</v>
      </c>
    </row>
    <row r="455" spans="1:20">
      <c r="A455" s="3539" t="str">
        <f>商办车库!E564</f>
        <v>B2054、B2055</v>
      </c>
      <c r="B455" s="54">
        <f>商办车库!F564</f>
        <v>80.86</v>
      </c>
      <c r="C455" s="3438">
        <v>1</v>
      </c>
      <c r="D455" s="662"/>
      <c r="E455" s="21">
        <f t="shared" si="69"/>
        <v>1</v>
      </c>
      <c r="F455" s="662"/>
      <c r="G455" s="21">
        <f t="shared" si="70"/>
        <v>1</v>
      </c>
      <c r="H455" s="662"/>
      <c r="I455" s="21">
        <f t="shared" si="71"/>
        <v>1</v>
      </c>
      <c r="J455" s="662"/>
      <c r="K455" s="21">
        <f t="shared" si="72"/>
        <v>1</v>
      </c>
      <c r="L455" s="662"/>
      <c r="M455" s="21">
        <f t="shared" si="73"/>
        <v>1</v>
      </c>
      <c r="N455" s="662"/>
      <c r="O455" s="21">
        <f t="shared" si="74"/>
        <v>1</v>
      </c>
      <c r="P455" s="662">
        <v>-2</v>
      </c>
      <c r="Q455" s="21">
        <f t="shared" si="75"/>
        <v>0.95</v>
      </c>
      <c r="R455" s="659">
        <f t="shared" ca="1" si="76"/>
        <v>4429</v>
      </c>
      <c r="S455" s="316">
        <f t="shared" ca="1" si="67"/>
        <v>36</v>
      </c>
      <c r="T455" s="720" t="str">
        <f>商办车库!H564</f>
        <v>车位</v>
      </c>
    </row>
    <row r="456" spans="1:20">
      <c r="A456" s="3539" t="str">
        <f>商办车库!E565</f>
        <v>B2056</v>
      </c>
      <c r="B456" s="54">
        <f>商办车库!F565</f>
        <v>40.43</v>
      </c>
      <c r="C456" s="21">
        <f t="shared" si="68"/>
        <v>1</v>
      </c>
      <c r="D456" s="662"/>
      <c r="E456" s="21">
        <f t="shared" si="69"/>
        <v>1</v>
      </c>
      <c r="F456" s="662"/>
      <c r="G456" s="21">
        <f t="shared" si="70"/>
        <v>1</v>
      </c>
      <c r="H456" s="662"/>
      <c r="I456" s="21">
        <f t="shared" si="71"/>
        <v>1</v>
      </c>
      <c r="J456" s="662"/>
      <c r="K456" s="21">
        <f t="shared" si="72"/>
        <v>1</v>
      </c>
      <c r="L456" s="662"/>
      <c r="M456" s="21">
        <f t="shared" si="73"/>
        <v>1</v>
      </c>
      <c r="N456" s="662"/>
      <c r="O456" s="21">
        <f t="shared" si="74"/>
        <v>1</v>
      </c>
      <c r="P456" s="662">
        <v>-2</v>
      </c>
      <c r="Q456" s="21">
        <f t="shared" si="75"/>
        <v>0.95</v>
      </c>
      <c r="R456" s="659">
        <f t="shared" ca="1" si="76"/>
        <v>4429</v>
      </c>
      <c r="S456" s="316">
        <f t="shared" ca="1" si="67"/>
        <v>18</v>
      </c>
      <c r="T456" s="720" t="str">
        <f>商办车库!H565</f>
        <v>车位</v>
      </c>
    </row>
    <row r="457" spans="1:20">
      <c r="A457" s="3539" t="str">
        <f>商办车库!E566</f>
        <v>B2057</v>
      </c>
      <c r="B457" s="54">
        <f>商办车库!F566</f>
        <v>40.43</v>
      </c>
      <c r="C457" s="21">
        <f t="shared" si="68"/>
        <v>1</v>
      </c>
      <c r="D457" s="662"/>
      <c r="E457" s="21">
        <f t="shared" si="69"/>
        <v>1</v>
      </c>
      <c r="F457" s="662"/>
      <c r="G457" s="21">
        <f t="shared" si="70"/>
        <v>1</v>
      </c>
      <c r="H457" s="662"/>
      <c r="I457" s="21">
        <f t="shared" si="71"/>
        <v>1</v>
      </c>
      <c r="J457" s="662"/>
      <c r="K457" s="21">
        <f t="shared" si="72"/>
        <v>1</v>
      </c>
      <c r="L457" s="662"/>
      <c r="M457" s="21">
        <f t="shared" si="73"/>
        <v>1</v>
      </c>
      <c r="N457" s="662"/>
      <c r="O457" s="21">
        <f t="shared" si="74"/>
        <v>1</v>
      </c>
      <c r="P457" s="662">
        <v>-2</v>
      </c>
      <c r="Q457" s="21">
        <f t="shared" si="75"/>
        <v>0.95</v>
      </c>
      <c r="R457" s="659">
        <f t="shared" ca="1" si="76"/>
        <v>4429</v>
      </c>
      <c r="S457" s="316">
        <f t="shared" ca="1" si="67"/>
        <v>18</v>
      </c>
      <c r="T457" s="720" t="str">
        <f>商办车库!H566</f>
        <v>车位</v>
      </c>
    </row>
    <row r="458" spans="1:20">
      <c r="A458" s="3539" t="str">
        <f>商办车库!E567</f>
        <v>B2058</v>
      </c>
      <c r="B458" s="54">
        <f>商办车库!F567</f>
        <v>40.43</v>
      </c>
      <c r="C458" s="21">
        <f t="shared" si="68"/>
        <v>1</v>
      </c>
      <c r="D458" s="662"/>
      <c r="E458" s="21">
        <f t="shared" si="69"/>
        <v>1</v>
      </c>
      <c r="F458" s="662"/>
      <c r="G458" s="21">
        <f t="shared" si="70"/>
        <v>1</v>
      </c>
      <c r="H458" s="662"/>
      <c r="I458" s="21">
        <f t="shared" si="71"/>
        <v>1</v>
      </c>
      <c r="J458" s="662"/>
      <c r="K458" s="21">
        <f t="shared" si="72"/>
        <v>1</v>
      </c>
      <c r="L458" s="662"/>
      <c r="M458" s="21">
        <f t="shared" si="73"/>
        <v>1</v>
      </c>
      <c r="N458" s="662"/>
      <c r="O458" s="21">
        <f t="shared" si="74"/>
        <v>1</v>
      </c>
      <c r="P458" s="662">
        <v>-2</v>
      </c>
      <c r="Q458" s="21">
        <f t="shared" si="75"/>
        <v>0.95</v>
      </c>
      <c r="R458" s="659">
        <f t="shared" ca="1" si="76"/>
        <v>4429</v>
      </c>
      <c r="S458" s="316">
        <f t="shared" ca="1" si="67"/>
        <v>18</v>
      </c>
      <c r="T458" s="720" t="str">
        <f>商办车库!H567</f>
        <v>车位</v>
      </c>
    </row>
    <row r="459" spans="1:20">
      <c r="A459" s="3539" t="str">
        <f>商办车库!E568</f>
        <v>B2059</v>
      </c>
      <c r="B459" s="54">
        <f>商办车库!F568</f>
        <v>38.75</v>
      </c>
      <c r="C459" s="21">
        <f t="shared" si="68"/>
        <v>0.995</v>
      </c>
      <c r="D459" s="662"/>
      <c r="E459" s="21">
        <f t="shared" si="69"/>
        <v>1</v>
      </c>
      <c r="F459" s="662"/>
      <c r="G459" s="21">
        <f t="shared" si="70"/>
        <v>1</v>
      </c>
      <c r="H459" s="662"/>
      <c r="I459" s="21">
        <f t="shared" si="71"/>
        <v>1</v>
      </c>
      <c r="J459" s="662"/>
      <c r="K459" s="21">
        <f t="shared" si="72"/>
        <v>1</v>
      </c>
      <c r="L459" s="662"/>
      <c r="M459" s="21">
        <f t="shared" si="73"/>
        <v>1</v>
      </c>
      <c r="N459" s="662"/>
      <c r="O459" s="21">
        <f t="shared" si="74"/>
        <v>1</v>
      </c>
      <c r="P459" s="662">
        <v>-2</v>
      </c>
      <c r="Q459" s="21">
        <f t="shared" si="75"/>
        <v>0.95</v>
      </c>
      <c r="R459" s="659">
        <f t="shared" ca="1" si="76"/>
        <v>4407</v>
      </c>
      <c r="S459" s="316">
        <f t="shared" ca="1" si="67"/>
        <v>17</v>
      </c>
      <c r="T459" s="720" t="str">
        <f>商办车库!H568</f>
        <v>车位</v>
      </c>
    </row>
    <row r="460" spans="1:20">
      <c r="A460" s="3539" t="str">
        <f>商办车库!E569</f>
        <v>B2060</v>
      </c>
      <c r="B460" s="54">
        <f>商办车库!F569</f>
        <v>40.43</v>
      </c>
      <c r="C460" s="21">
        <f t="shared" si="68"/>
        <v>1</v>
      </c>
      <c r="D460" s="662"/>
      <c r="E460" s="21">
        <f t="shared" si="69"/>
        <v>1</v>
      </c>
      <c r="F460" s="662"/>
      <c r="G460" s="21">
        <f t="shared" si="70"/>
        <v>1</v>
      </c>
      <c r="H460" s="662"/>
      <c r="I460" s="21">
        <f t="shared" si="71"/>
        <v>1</v>
      </c>
      <c r="J460" s="662"/>
      <c r="K460" s="21">
        <f t="shared" si="72"/>
        <v>1</v>
      </c>
      <c r="L460" s="662"/>
      <c r="M460" s="21">
        <f t="shared" si="73"/>
        <v>1</v>
      </c>
      <c r="N460" s="662"/>
      <c r="O460" s="21">
        <f t="shared" si="74"/>
        <v>1</v>
      </c>
      <c r="P460" s="662">
        <v>-2</v>
      </c>
      <c r="Q460" s="21">
        <f t="shared" si="75"/>
        <v>0.95</v>
      </c>
      <c r="R460" s="659">
        <f t="shared" ca="1" si="76"/>
        <v>4429</v>
      </c>
      <c r="S460" s="316">
        <f t="shared" ca="1" si="67"/>
        <v>18</v>
      </c>
      <c r="T460" s="720" t="str">
        <f>商办车库!H569</f>
        <v>车位</v>
      </c>
    </row>
    <row r="461" spans="1:20">
      <c r="A461" s="3539" t="str">
        <f>商办车库!E570</f>
        <v>B2061</v>
      </c>
      <c r="B461" s="54">
        <f>商办车库!F570</f>
        <v>40.43</v>
      </c>
      <c r="C461" s="21">
        <f t="shared" si="68"/>
        <v>1</v>
      </c>
      <c r="D461" s="662"/>
      <c r="E461" s="21">
        <f t="shared" si="69"/>
        <v>1</v>
      </c>
      <c r="F461" s="662"/>
      <c r="G461" s="21">
        <f t="shared" si="70"/>
        <v>1</v>
      </c>
      <c r="H461" s="662"/>
      <c r="I461" s="21">
        <f t="shared" si="71"/>
        <v>1</v>
      </c>
      <c r="J461" s="662"/>
      <c r="K461" s="21">
        <f t="shared" si="72"/>
        <v>1</v>
      </c>
      <c r="L461" s="662"/>
      <c r="M461" s="21">
        <f t="shared" si="73"/>
        <v>1</v>
      </c>
      <c r="N461" s="662"/>
      <c r="O461" s="21">
        <f t="shared" si="74"/>
        <v>1</v>
      </c>
      <c r="P461" s="662">
        <v>-2</v>
      </c>
      <c r="Q461" s="21">
        <f t="shared" si="75"/>
        <v>0.95</v>
      </c>
      <c r="R461" s="659">
        <f t="shared" ca="1" si="76"/>
        <v>4429</v>
      </c>
      <c r="S461" s="316">
        <f t="shared" ca="1" si="67"/>
        <v>18</v>
      </c>
      <c r="T461" s="720" t="str">
        <f>商办车库!H570</f>
        <v>车位</v>
      </c>
    </row>
    <row r="462" spans="1:20">
      <c r="A462" s="3539" t="str">
        <f>商办车库!E571</f>
        <v>B2062</v>
      </c>
      <c r="B462" s="54">
        <f>商办车库!F571</f>
        <v>40.43</v>
      </c>
      <c r="C462" s="21">
        <f t="shared" si="68"/>
        <v>1</v>
      </c>
      <c r="D462" s="662"/>
      <c r="E462" s="21">
        <f t="shared" si="69"/>
        <v>1</v>
      </c>
      <c r="F462" s="662"/>
      <c r="G462" s="21">
        <f t="shared" si="70"/>
        <v>1</v>
      </c>
      <c r="H462" s="662"/>
      <c r="I462" s="21">
        <f t="shared" si="71"/>
        <v>1</v>
      </c>
      <c r="J462" s="662"/>
      <c r="K462" s="21">
        <f t="shared" si="72"/>
        <v>1</v>
      </c>
      <c r="L462" s="662"/>
      <c r="M462" s="21">
        <f t="shared" si="73"/>
        <v>1</v>
      </c>
      <c r="N462" s="662"/>
      <c r="O462" s="21">
        <f t="shared" si="74"/>
        <v>1</v>
      </c>
      <c r="P462" s="662">
        <v>-2</v>
      </c>
      <c r="Q462" s="21">
        <f t="shared" si="75"/>
        <v>0.95</v>
      </c>
      <c r="R462" s="659">
        <f t="shared" ca="1" si="76"/>
        <v>4429</v>
      </c>
      <c r="S462" s="316">
        <f t="shared" ca="1" si="67"/>
        <v>18</v>
      </c>
      <c r="T462" s="720" t="str">
        <f>商办车库!H571</f>
        <v>车位</v>
      </c>
    </row>
    <row r="463" spans="1:20">
      <c r="A463" s="3539" t="str">
        <f>商办车库!E572</f>
        <v>B2063</v>
      </c>
      <c r="B463" s="54">
        <f>商办车库!F572</f>
        <v>40.43</v>
      </c>
      <c r="C463" s="21">
        <f t="shared" si="68"/>
        <v>1</v>
      </c>
      <c r="D463" s="662"/>
      <c r="E463" s="21">
        <f t="shared" si="69"/>
        <v>1</v>
      </c>
      <c r="F463" s="662"/>
      <c r="G463" s="21">
        <f t="shared" si="70"/>
        <v>1</v>
      </c>
      <c r="H463" s="662"/>
      <c r="I463" s="21">
        <f t="shared" si="71"/>
        <v>1</v>
      </c>
      <c r="J463" s="662"/>
      <c r="K463" s="21">
        <f t="shared" si="72"/>
        <v>1</v>
      </c>
      <c r="L463" s="662"/>
      <c r="M463" s="21">
        <f t="shared" si="73"/>
        <v>1</v>
      </c>
      <c r="N463" s="662"/>
      <c r="O463" s="21">
        <f t="shared" si="74"/>
        <v>1</v>
      </c>
      <c r="P463" s="662">
        <v>-2</v>
      </c>
      <c r="Q463" s="21">
        <f t="shared" si="75"/>
        <v>0.95</v>
      </c>
      <c r="R463" s="659">
        <f t="shared" ca="1" si="76"/>
        <v>4429</v>
      </c>
      <c r="S463" s="316">
        <f t="shared" ca="1" si="67"/>
        <v>18</v>
      </c>
      <c r="T463" s="720" t="str">
        <f>商办车库!H572</f>
        <v>车位</v>
      </c>
    </row>
    <row r="464" spans="1:20">
      <c r="A464" s="3539" t="str">
        <f>商办车库!E573</f>
        <v>B2064</v>
      </c>
      <c r="B464" s="54">
        <f>商办车库!F573</f>
        <v>40.43</v>
      </c>
      <c r="C464" s="21">
        <f t="shared" si="68"/>
        <v>1</v>
      </c>
      <c r="D464" s="662"/>
      <c r="E464" s="21">
        <f t="shared" si="69"/>
        <v>1</v>
      </c>
      <c r="F464" s="662"/>
      <c r="G464" s="21">
        <f t="shared" si="70"/>
        <v>1</v>
      </c>
      <c r="H464" s="662"/>
      <c r="I464" s="21">
        <f t="shared" si="71"/>
        <v>1</v>
      </c>
      <c r="J464" s="662"/>
      <c r="K464" s="21">
        <f t="shared" si="72"/>
        <v>1</v>
      </c>
      <c r="L464" s="662"/>
      <c r="M464" s="21">
        <f t="shared" si="73"/>
        <v>1</v>
      </c>
      <c r="N464" s="662"/>
      <c r="O464" s="21">
        <f t="shared" si="74"/>
        <v>1</v>
      </c>
      <c r="P464" s="662">
        <v>-2</v>
      </c>
      <c r="Q464" s="21">
        <f t="shared" si="75"/>
        <v>0.95</v>
      </c>
      <c r="R464" s="659">
        <f t="shared" ca="1" si="76"/>
        <v>4429</v>
      </c>
      <c r="S464" s="316">
        <f t="shared" ca="1" si="67"/>
        <v>18</v>
      </c>
      <c r="T464" s="720" t="str">
        <f>商办车库!H573</f>
        <v>车位</v>
      </c>
    </row>
    <row r="465" spans="1:20">
      <c r="A465" s="3539" t="str">
        <f>商办车库!E574</f>
        <v>B2065</v>
      </c>
      <c r="B465" s="54">
        <f>商办车库!F574</f>
        <v>40.43</v>
      </c>
      <c r="C465" s="21">
        <f t="shared" si="68"/>
        <v>1</v>
      </c>
      <c r="D465" s="662"/>
      <c r="E465" s="21">
        <f t="shared" si="69"/>
        <v>1</v>
      </c>
      <c r="F465" s="662"/>
      <c r="G465" s="21">
        <f t="shared" si="70"/>
        <v>1</v>
      </c>
      <c r="H465" s="662"/>
      <c r="I465" s="21">
        <f t="shared" si="71"/>
        <v>1</v>
      </c>
      <c r="J465" s="662"/>
      <c r="K465" s="21">
        <f t="shared" si="72"/>
        <v>1</v>
      </c>
      <c r="L465" s="662"/>
      <c r="M465" s="21">
        <f t="shared" si="73"/>
        <v>1</v>
      </c>
      <c r="N465" s="662"/>
      <c r="O465" s="21">
        <f t="shared" si="74"/>
        <v>1</v>
      </c>
      <c r="P465" s="662">
        <v>-2</v>
      </c>
      <c r="Q465" s="21">
        <f t="shared" si="75"/>
        <v>0.95</v>
      </c>
      <c r="R465" s="659">
        <f t="shared" ca="1" si="76"/>
        <v>4429</v>
      </c>
      <c r="S465" s="316">
        <f t="shared" ca="1" si="67"/>
        <v>18</v>
      </c>
      <c r="T465" s="720" t="str">
        <f>商办车库!H574</f>
        <v>车位</v>
      </c>
    </row>
    <row r="466" spans="1:20">
      <c r="A466" s="3539" t="str">
        <f>商办车库!E575</f>
        <v>B2066</v>
      </c>
      <c r="B466" s="54">
        <f>商办车库!F575</f>
        <v>40.43</v>
      </c>
      <c r="C466" s="21">
        <f t="shared" si="68"/>
        <v>1</v>
      </c>
      <c r="D466" s="662"/>
      <c r="E466" s="21">
        <f t="shared" si="69"/>
        <v>1</v>
      </c>
      <c r="F466" s="662"/>
      <c r="G466" s="21">
        <f t="shared" si="70"/>
        <v>1</v>
      </c>
      <c r="H466" s="662"/>
      <c r="I466" s="21">
        <f t="shared" si="71"/>
        <v>1</v>
      </c>
      <c r="J466" s="662"/>
      <c r="K466" s="21">
        <f t="shared" si="72"/>
        <v>1</v>
      </c>
      <c r="L466" s="662"/>
      <c r="M466" s="21">
        <f t="shared" si="73"/>
        <v>1</v>
      </c>
      <c r="N466" s="662"/>
      <c r="O466" s="21">
        <f t="shared" si="74"/>
        <v>1</v>
      </c>
      <c r="P466" s="662">
        <v>-2</v>
      </c>
      <c r="Q466" s="21">
        <f t="shared" si="75"/>
        <v>0.95</v>
      </c>
      <c r="R466" s="659">
        <f t="shared" ca="1" si="76"/>
        <v>4429</v>
      </c>
      <c r="S466" s="316">
        <f t="shared" ca="1" si="67"/>
        <v>18</v>
      </c>
      <c r="T466" s="720" t="str">
        <f>商办车库!H575</f>
        <v>车位</v>
      </c>
    </row>
    <row r="467" spans="1:20">
      <c r="A467" s="3539" t="str">
        <f>商办车库!E576</f>
        <v>B2067</v>
      </c>
      <c r="B467" s="54">
        <f>商办车库!F576</f>
        <v>40.43</v>
      </c>
      <c r="C467" s="21">
        <f t="shared" si="68"/>
        <v>1</v>
      </c>
      <c r="D467" s="662"/>
      <c r="E467" s="21">
        <f t="shared" si="69"/>
        <v>1</v>
      </c>
      <c r="F467" s="662"/>
      <c r="G467" s="21">
        <f t="shared" si="70"/>
        <v>1</v>
      </c>
      <c r="H467" s="662"/>
      <c r="I467" s="21">
        <f t="shared" si="71"/>
        <v>1</v>
      </c>
      <c r="J467" s="662"/>
      <c r="K467" s="21">
        <f t="shared" si="72"/>
        <v>1</v>
      </c>
      <c r="L467" s="662"/>
      <c r="M467" s="21">
        <f t="shared" si="73"/>
        <v>1</v>
      </c>
      <c r="N467" s="662"/>
      <c r="O467" s="21">
        <f t="shared" si="74"/>
        <v>1</v>
      </c>
      <c r="P467" s="662">
        <v>-2</v>
      </c>
      <c r="Q467" s="21">
        <f t="shared" si="75"/>
        <v>0.95</v>
      </c>
      <c r="R467" s="659">
        <f t="shared" ca="1" si="76"/>
        <v>4429</v>
      </c>
      <c r="S467" s="316">
        <f t="shared" ca="1" si="67"/>
        <v>18</v>
      </c>
      <c r="T467" s="720" t="str">
        <f>商办车库!H576</f>
        <v>车位</v>
      </c>
    </row>
    <row r="468" spans="1:20">
      <c r="A468" s="3539" t="str">
        <f>商办车库!E577</f>
        <v>B2068</v>
      </c>
      <c r="B468" s="54">
        <f>商办车库!F577</f>
        <v>40.43</v>
      </c>
      <c r="C468" s="21">
        <f t="shared" si="68"/>
        <v>1</v>
      </c>
      <c r="D468" s="662"/>
      <c r="E468" s="21">
        <f t="shared" si="69"/>
        <v>1</v>
      </c>
      <c r="F468" s="662"/>
      <c r="G468" s="21">
        <f t="shared" si="70"/>
        <v>1</v>
      </c>
      <c r="H468" s="662"/>
      <c r="I468" s="21">
        <f t="shared" si="71"/>
        <v>1</v>
      </c>
      <c r="J468" s="662"/>
      <c r="K468" s="21">
        <f t="shared" si="72"/>
        <v>1</v>
      </c>
      <c r="L468" s="662"/>
      <c r="M468" s="21">
        <f t="shared" si="73"/>
        <v>1</v>
      </c>
      <c r="N468" s="662"/>
      <c r="O468" s="21">
        <f t="shared" si="74"/>
        <v>1</v>
      </c>
      <c r="P468" s="662">
        <v>-2</v>
      </c>
      <c r="Q468" s="21">
        <f t="shared" si="75"/>
        <v>0.95</v>
      </c>
      <c r="R468" s="659">
        <f t="shared" ca="1" si="76"/>
        <v>4429</v>
      </c>
      <c r="S468" s="316">
        <f t="shared" ca="1" si="67"/>
        <v>18</v>
      </c>
      <c r="T468" s="720" t="str">
        <f>商办车库!H577</f>
        <v>车位</v>
      </c>
    </row>
    <row r="469" spans="1:20">
      <c r="A469" s="3539" t="str">
        <f>商办车库!E578</f>
        <v>B2069</v>
      </c>
      <c r="B469" s="54">
        <f>商办车库!F578</f>
        <v>40.43</v>
      </c>
      <c r="C469" s="21">
        <f t="shared" si="68"/>
        <v>1</v>
      </c>
      <c r="D469" s="662"/>
      <c r="E469" s="21">
        <f t="shared" si="69"/>
        <v>1</v>
      </c>
      <c r="F469" s="662"/>
      <c r="G469" s="21">
        <f t="shared" si="70"/>
        <v>1</v>
      </c>
      <c r="H469" s="662"/>
      <c r="I469" s="21">
        <f t="shared" si="71"/>
        <v>1</v>
      </c>
      <c r="J469" s="662"/>
      <c r="K469" s="21">
        <f t="shared" si="72"/>
        <v>1</v>
      </c>
      <c r="L469" s="662"/>
      <c r="M469" s="21">
        <f t="shared" si="73"/>
        <v>1</v>
      </c>
      <c r="N469" s="662"/>
      <c r="O469" s="21">
        <f t="shared" si="74"/>
        <v>1</v>
      </c>
      <c r="P469" s="662">
        <v>-2</v>
      </c>
      <c r="Q469" s="21">
        <f t="shared" si="75"/>
        <v>0.95</v>
      </c>
      <c r="R469" s="659">
        <f t="shared" ca="1" si="76"/>
        <v>4429</v>
      </c>
      <c r="S469" s="316">
        <f t="shared" ca="1" si="67"/>
        <v>18</v>
      </c>
      <c r="T469" s="720" t="str">
        <f>商办车库!H578</f>
        <v>车位</v>
      </c>
    </row>
    <row r="470" spans="1:20">
      <c r="A470" s="3539" t="str">
        <f>商办车库!E579</f>
        <v>B2070</v>
      </c>
      <c r="B470" s="54">
        <f>商办车库!F579</f>
        <v>40.43</v>
      </c>
      <c r="C470" s="21">
        <f t="shared" si="68"/>
        <v>1</v>
      </c>
      <c r="D470" s="662"/>
      <c r="E470" s="21">
        <f t="shared" si="69"/>
        <v>1</v>
      </c>
      <c r="F470" s="662"/>
      <c r="G470" s="21">
        <f t="shared" si="70"/>
        <v>1</v>
      </c>
      <c r="H470" s="662"/>
      <c r="I470" s="21">
        <f t="shared" si="71"/>
        <v>1</v>
      </c>
      <c r="J470" s="662"/>
      <c r="K470" s="21">
        <f t="shared" si="72"/>
        <v>1</v>
      </c>
      <c r="L470" s="662"/>
      <c r="M470" s="21">
        <f t="shared" si="73"/>
        <v>1</v>
      </c>
      <c r="N470" s="662"/>
      <c r="O470" s="21">
        <f t="shared" si="74"/>
        <v>1</v>
      </c>
      <c r="P470" s="662">
        <v>-2</v>
      </c>
      <c r="Q470" s="21">
        <f t="shared" si="75"/>
        <v>0.95</v>
      </c>
      <c r="R470" s="659">
        <f t="shared" ca="1" si="76"/>
        <v>4429</v>
      </c>
      <c r="S470" s="316">
        <f t="shared" ca="1" si="67"/>
        <v>18</v>
      </c>
      <c r="T470" s="720" t="str">
        <f>商办车库!H579</f>
        <v>车位</v>
      </c>
    </row>
    <row r="471" spans="1:20">
      <c r="A471" s="3539" t="str">
        <f>商办车库!E580</f>
        <v>B2071</v>
      </c>
      <c r="B471" s="54">
        <f>商办车库!F580</f>
        <v>40.43</v>
      </c>
      <c r="C471" s="21">
        <f t="shared" si="68"/>
        <v>1</v>
      </c>
      <c r="D471" s="662"/>
      <c r="E471" s="21">
        <f t="shared" si="69"/>
        <v>1</v>
      </c>
      <c r="F471" s="662"/>
      <c r="G471" s="21">
        <f t="shared" si="70"/>
        <v>1</v>
      </c>
      <c r="H471" s="662"/>
      <c r="I471" s="21">
        <f t="shared" si="71"/>
        <v>1</v>
      </c>
      <c r="J471" s="662"/>
      <c r="K471" s="21">
        <f t="shared" si="72"/>
        <v>1</v>
      </c>
      <c r="L471" s="662"/>
      <c r="M471" s="21">
        <f t="shared" si="73"/>
        <v>1</v>
      </c>
      <c r="N471" s="662"/>
      <c r="O471" s="21">
        <f t="shared" si="74"/>
        <v>1</v>
      </c>
      <c r="P471" s="662">
        <v>-2</v>
      </c>
      <c r="Q471" s="21">
        <f t="shared" si="75"/>
        <v>0.95</v>
      </c>
      <c r="R471" s="659">
        <f t="shared" ca="1" si="76"/>
        <v>4429</v>
      </c>
      <c r="S471" s="316">
        <f t="shared" ca="1" si="67"/>
        <v>18</v>
      </c>
      <c r="T471" s="720" t="str">
        <f>商办车库!H580</f>
        <v>车位</v>
      </c>
    </row>
    <row r="472" spans="1:20">
      <c r="A472" s="3539" t="str">
        <f>商办车库!E581</f>
        <v>B2072、B2073</v>
      </c>
      <c r="B472" s="54">
        <f>商办车库!F581</f>
        <v>80.86</v>
      </c>
      <c r="C472" s="3438">
        <v>1</v>
      </c>
      <c r="D472" s="662"/>
      <c r="E472" s="21">
        <f t="shared" si="69"/>
        <v>1</v>
      </c>
      <c r="F472" s="662"/>
      <c r="G472" s="21">
        <f t="shared" si="70"/>
        <v>1</v>
      </c>
      <c r="H472" s="662"/>
      <c r="I472" s="21">
        <f t="shared" si="71"/>
        <v>1</v>
      </c>
      <c r="J472" s="662"/>
      <c r="K472" s="21">
        <f t="shared" si="72"/>
        <v>1</v>
      </c>
      <c r="L472" s="662"/>
      <c r="M472" s="21">
        <f t="shared" si="73"/>
        <v>1</v>
      </c>
      <c r="N472" s="662"/>
      <c r="O472" s="21">
        <f t="shared" si="74"/>
        <v>1</v>
      </c>
      <c r="P472" s="662">
        <v>-2</v>
      </c>
      <c r="Q472" s="21">
        <f t="shared" si="75"/>
        <v>0.95</v>
      </c>
      <c r="R472" s="659">
        <f t="shared" ca="1" si="76"/>
        <v>4429</v>
      </c>
      <c r="S472" s="316">
        <f t="shared" ref="S472:S524" ca="1" si="77">ROUND(R472*B472/10000,0)</f>
        <v>36</v>
      </c>
      <c r="T472" s="720" t="str">
        <f>商办车库!H581</f>
        <v>车位</v>
      </c>
    </row>
    <row r="473" spans="1:20">
      <c r="A473" s="3539" t="str">
        <f>商办车库!E582</f>
        <v>B2074、B2075</v>
      </c>
      <c r="B473" s="54">
        <f>商办车库!F582</f>
        <v>80.86</v>
      </c>
      <c r="C473" s="3438">
        <v>1</v>
      </c>
      <c r="D473" s="662"/>
      <c r="E473" s="21">
        <f t="shared" si="69"/>
        <v>1</v>
      </c>
      <c r="F473" s="662"/>
      <c r="G473" s="21">
        <f t="shared" si="70"/>
        <v>1</v>
      </c>
      <c r="H473" s="662"/>
      <c r="I473" s="21">
        <f t="shared" si="71"/>
        <v>1</v>
      </c>
      <c r="J473" s="662"/>
      <c r="K473" s="21">
        <f t="shared" si="72"/>
        <v>1</v>
      </c>
      <c r="L473" s="662"/>
      <c r="M473" s="21">
        <f t="shared" si="73"/>
        <v>1</v>
      </c>
      <c r="N473" s="662"/>
      <c r="O473" s="21">
        <f t="shared" si="74"/>
        <v>1</v>
      </c>
      <c r="P473" s="662">
        <v>-2</v>
      </c>
      <c r="Q473" s="21">
        <f t="shared" si="75"/>
        <v>0.95</v>
      </c>
      <c r="R473" s="659">
        <f t="shared" ca="1" si="76"/>
        <v>4429</v>
      </c>
      <c r="S473" s="316">
        <f t="shared" ca="1" si="77"/>
        <v>36</v>
      </c>
      <c r="T473" s="720" t="str">
        <f>商办车库!H582</f>
        <v>车位</v>
      </c>
    </row>
    <row r="474" spans="1:20">
      <c r="A474" s="3539" t="str">
        <f>商办车库!E583</f>
        <v>B2076、B2077</v>
      </c>
      <c r="B474" s="54">
        <f>商办车库!F583</f>
        <v>80.86</v>
      </c>
      <c r="C474" s="3438">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4429</v>
      </c>
      <c r="S474" s="316">
        <f t="shared" ca="1" si="77"/>
        <v>36</v>
      </c>
      <c r="T474" s="720" t="str">
        <f>商办车库!H583</f>
        <v>车位</v>
      </c>
    </row>
    <row r="475" spans="1:20">
      <c r="A475" s="3539" t="str">
        <f>商办车库!E584</f>
        <v>B2078、B2079</v>
      </c>
      <c r="B475" s="54">
        <f>商办车库!F584</f>
        <v>80.86</v>
      </c>
      <c r="C475" s="3438">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4429</v>
      </c>
      <c r="S475" s="316">
        <f t="shared" ca="1" si="77"/>
        <v>36</v>
      </c>
      <c r="T475" s="720" t="str">
        <f>商办车库!H584</f>
        <v>车位</v>
      </c>
    </row>
    <row r="476" spans="1:20">
      <c r="A476" s="3539" t="str">
        <f>商办车库!E585</f>
        <v>B2080、B2081</v>
      </c>
      <c r="B476" s="54">
        <f>商办车库!F585</f>
        <v>80.86</v>
      </c>
      <c r="C476" s="3438">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4429</v>
      </c>
      <c r="S476" s="316">
        <f t="shared" ca="1" si="77"/>
        <v>36</v>
      </c>
      <c r="T476" s="720" t="str">
        <f>商办车库!H585</f>
        <v>车位</v>
      </c>
    </row>
    <row r="477" spans="1:20">
      <c r="A477" s="3539" t="str">
        <f>商办车库!E586</f>
        <v>B2082、B2083</v>
      </c>
      <c r="B477" s="54">
        <f>商办车库!F586</f>
        <v>80.86</v>
      </c>
      <c r="C477" s="3438">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4429</v>
      </c>
      <c r="S477" s="316">
        <f t="shared" ca="1" si="77"/>
        <v>36</v>
      </c>
      <c r="T477" s="720" t="str">
        <f>商办车库!H586</f>
        <v>车位</v>
      </c>
    </row>
    <row r="478" spans="1:20">
      <c r="A478" s="3539" t="str">
        <f>商办车库!E587</f>
        <v>B2084</v>
      </c>
      <c r="B478" s="54">
        <f>商办车库!F587</f>
        <v>40.43</v>
      </c>
      <c r="C478" s="21">
        <f t="shared" ref="C478:C524" si="86">IF(B478="",1,(LOOKUP(B478,$3:$3,$4:$4)-LOOKUP($B$24,$3:$3,$4:$4)+100)/100)</f>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4429</v>
      </c>
      <c r="S478" s="316">
        <f t="shared" ca="1" si="77"/>
        <v>18</v>
      </c>
      <c r="T478" s="720" t="str">
        <f>商办车库!H587</f>
        <v>车位</v>
      </c>
    </row>
    <row r="479" spans="1:20">
      <c r="A479" s="3539" t="str">
        <f>商办车库!E588</f>
        <v>B2085</v>
      </c>
      <c r="B479" s="54">
        <f>商办车库!F588</f>
        <v>40.43</v>
      </c>
      <c r="C479" s="21">
        <f t="shared" si="86"/>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4429</v>
      </c>
      <c r="S479" s="316">
        <f t="shared" ca="1" si="77"/>
        <v>18</v>
      </c>
      <c r="T479" s="720" t="str">
        <f>商办车库!H588</f>
        <v>车位</v>
      </c>
    </row>
    <row r="480" spans="1:20">
      <c r="A480" s="3539" t="str">
        <f>商办车库!E589</f>
        <v>B2086</v>
      </c>
      <c r="B480" s="54">
        <f>商办车库!F589</f>
        <v>40.43</v>
      </c>
      <c r="C480" s="21">
        <f t="shared" si="86"/>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4429</v>
      </c>
      <c r="S480" s="316">
        <f t="shared" ca="1" si="77"/>
        <v>18</v>
      </c>
      <c r="T480" s="720" t="str">
        <f>商办车库!H589</f>
        <v>车位</v>
      </c>
    </row>
    <row r="481" spans="1:20">
      <c r="A481" s="3539" t="str">
        <f>商办车库!E590</f>
        <v>B2087</v>
      </c>
      <c r="B481" s="54">
        <f>商办车库!F590</f>
        <v>40.43</v>
      </c>
      <c r="C481" s="21">
        <f t="shared" si="86"/>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4429</v>
      </c>
      <c r="S481" s="316">
        <f t="shared" ca="1" si="77"/>
        <v>18</v>
      </c>
      <c r="T481" s="720" t="str">
        <f>商办车库!H590</f>
        <v>车位</v>
      </c>
    </row>
    <row r="482" spans="1:20">
      <c r="A482" s="3539" t="str">
        <f>商办车库!E591</f>
        <v>B2088、B2089</v>
      </c>
      <c r="B482" s="54">
        <f>商办车库!F591</f>
        <v>80.86</v>
      </c>
      <c r="C482" s="3438">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4429</v>
      </c>
      <c r="S482" s="316">
        <f t="shared" ca="1" si="77"/>
        <v>36</v>
      </c>
      <c r="T482" s="720" t="str">
        <f>商办车库!H591</f>
        <v>车位</v>
      </c>
    </row>
    <row r="483" spans="1:20">
      <c r="A483" s="3539" t="str">
        <f>商办车库!E592</f>
        <v>B2090、B2091</v>
      </c>
      <c r="B483" s="54">
        <f>商办车库!F592</f>
        <v>80.86</v>
      </c>
      <c r="C483" s="3438">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4429</v>
      </c>
      <c r="S483" s="316">
        <f t="shared" ca="1" si="77"/>
        <v>36</v>
      </c>
      <c r="T483" s="720" t="str">
        <f>商办车库!H592</f>
        <v>车位</v>
      </c>
    </row>
    <row r="484" spans="1:20">
      <c r="A484" s="3539" t="str">
        <f>商办车库!E593</f>
        <v>B2092</v>
      </c>
      <c r="B484" s="54">
        <f>商办车库!F593</f>
        <v>40.43</v>
      </c>
      <c r="C484" s="21">
        <f t="shared" si="86"/>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4429</v>
      </c>
      <c r="S484" s="316">
        <f t="shared" ca="1" si="77"/>
        <v>18</v>
      </c>
      <c r="T484" s="720" t="str">
        <f>商办车库!H593</f>
        <v>车位</v>
      </c>
    </row>
    <row r="485" spans="1:20">
      <c r="A485" s="3539" t="str">
        <f>商办车库!E594</f>
        <v>B2093</v>
      </c>
      <c r="B485" s="54">
        <f>商办车库!F594</f>
        <v>40.43</v>
      </c>
      <c r="C485" s="21">
        <f t="shared" si="86"/>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4429</v>
      </c>
      <c r="S485" s="316">
        <f t="shared" ca="1" si="77"/>
        <v>18</v>
      </c>
      <c r="T485" s="720" t="str">
        <f>商办车库!H594</f>
        <v>车位</v>
      </c>
    </row>
    <row r="486" spans="1:20">
      <c r="A486" s="3539" t="str">
        <f>商办车库!E595</f>
        <v>B2094</v>
      </c>
      <c r="B486" s="54">
        <f>商办车库!F595</f>
        <v>40.43</v>
      </c>
      <c r="C486" s="21">
        <f t="shared" si="86"/>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4429</v>
      </c>
      <c r="S486" s="316">
        <f t="shared" ca="1" si="77"/>
        <v>18</v>
      </c>
      <c r="T486" s="720" t="str">
        <f>商办车库!H595</f>
        <v>车位</v>
      </c>
    </row>
    <row r="487" spans="1:20">
      <c r="A487" s="3539" t="str">
        <f>商办车库!E596</f>
        <v>B2095</v>
      </c>
      <c r="B487" s="54">
        <f>商办车库!F596</f>
        <v>40.43</v>
      </c>
      <c r="C487" s="21">
        <f t="shared" si="86"/>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4429</v>
      </c>
      <c r="S487" s="316">
        <f t="shared" ca="1" si="77"/>
        <v>18</v>
      </c>
      <c r="T487" s="720" t="str">
        <f>商办车库!H596</f>
        <v>车位</v>
      </c>
    </row>
    <row r="488" spans="1:20">
      <c r="A488" s="3539" t="str">
        <f>商办车库!E597</f>
        <v>B2096</v>
      </c>
      <c r="B488" s="54">
        <f>商办车库!F597</f>
        <v>40.43</v>
      </c>
      <c r="C488" s="21">
        <f t="shared" si="86"/>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4429</v>
      </c>
      <c r="S488" s="316">
        <f t="shared" ca="1" si="77"/>
        <v>18</v>
      </c>
      <c r="T488" s="720" t="str">
        <f>商办车库!H597</f>
        <v>车位</v>
      </c>
    </row>
    <row r="489" spans="1:20">
      <c r="A489" s="3539" t="str">
        <f>商办车库!E598</f>
        <v>B2097</v>
      </c>
      <c r="B489" s="54">
        <f>商办车库!F598</f>
        <v>40.43</v>
      </c>
      <c r="C489" s="21">
        <f t="shared" si="86"/>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4429</v>
      </c>
      <c r="S489" s="316">
        <f t="shared" ca="1" si="77"/>
        <v>18</v>
      </c>
      <c r="T489" s="720" t="str">
        <f>商办车库!H598</f>
        <v>车位</v>
      </c>
    </row>
    <row r="490" spans="1:20">
      <c r="A490" s="3539" t="str">
        <f>商办车库!E599</f>
        <v>B2098</v>
      </c>
      <c r="B490" s="54">
        <f>商办车库!F599</f>
        <v>40.43</v>
      </c>
      <c r="C490" s="21">
        <f t="shared" si="86"/>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4429</v>
      </c>
      <c r="S490" s="316">
        <f t="shared" ca="1" si="77"/>
        <v>18</v>
      </c>
      <c r="T490" s="720" t="str">
        <f>商办车库!H599</f>
        <v>车位</v>
      </c>
    </row>
    <row r="491" spans="1:20">
      <c r="A491" s="3539" t="str">
        <f>商办车库!E600</f>
        <v>B2099</v>
      </c>
      <c r="B491" s="54">
        <f>商办车库!F600</f>
        <v>40.43</v>
      </c>
      <c r="C491" s="21">
        <f t="shared" si="86"/>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4429</v>
      </c>
      <c r="S491" s="316">
        <f t="shared" ca="1" si="77"/>
        <v>18</v>
      </c>
      <c r="T491" s="720" t="str">
        <f>商办车库!H600</f>
        <v>车位</v>
      </c>
    </row>
    <row r="492" spans="1:20">
      <c r="A492" s="3539" t="str">
        <f>商办车库!E601</f>
        <v>B2100</v>
      </c>
      <c r="B492" s="54">
        <f>商办车库!F601</f>
        <v>40.43</v>
      </c>
      <c r="C492" s="21">
        <f t="shared" si="86"/>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4429</v>
      </c>
      <c r="S492" s="316">
        <f t="shared" ca="1" si="77"/>
        <v>18</v>
      </c>
      <c r="T492" s="720" t="str">
        <f>商办车库!H601</f>
        <v>车位</v>
      </c>
    </row>
    <row r="493" spans="1:20">
      <c r="A493" s="3539" t="str">
        <f>商办车库!E602</f>
        <v>B2101</v>
      </c>
      <c r="B493" s="54">
        <f>商办车库!F602</f>
        <v>40.43</v>
      </c>
      <c r="C493" s="21">
        <f t="shared" si="86"/>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4429</v>
      </c>
      <c r="S493" s="316">
        <f t="shared" ca="1" si="77"/>
        <v>18</v>
      </c>
      <c r="T493" s="720" t="str">
        <f>商办车库!H602</f>
        <v>车位</v>
      </c>
    </row>
    <row r="494" spans="1:20">
      <c r="A494" s="3539" t="str">
        <f>商办车库!E603</f>
        <v>B2102</v>
      </c>
      <c r="B494" s="54">
        <f>商办车库!F603</f>
        <v>40.43</v>
      </c>
      <c r="C494" s="21">
        <f t="shared" si="86"/>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4429</v>
      </c>
      <c r="S494" s="316">
        <f t="shared" ca="1" si="77"/>
        <v>18</v>
      </c>
      <c r="T494" s="720" t="str">
        <f>商办车库!H603</f>
        <v>车位</v>
      </c>
    </row>
    <row r="495" spans="1:20">
      <c r="A495" s="3539" t="str">
        <f>商办车库!E604</f>
        <v>B2103</v>
      </c>
      <c r="B495" s="54">
        <f>商办车库!F604</f>
        <v>40.43</v>
      </c>
      <c r="C495" s="21">
        <f t="shared" si="86"/>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4429</v>
      </c>
      <c r="S495" s="316">
        <f t="shared" ca="1" si="77"/>
        <v>18</v>
      </c>
      <c r="T495" s="720" t="str">
        <f>商办车库!H604</f>
        <v>车位</v>
      </c>
    </row>
    <row r="496" spans="1:20">
      <c r="A496" s="3539" t="str">
        <f>商办车库!E605</f>
        <v>B2104、B2105</v>
      </c>
      <c r="B496" s="54">
        <f>商办车库!F605</f>
        <v>80.86</v>
      </c>
      <c r="C496" s="3438">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4429</v>
      </c>
      <c r="S496" s="316">
        <f t="shared" ca="1" si="77"/>
        <v>36</v>
      </c>
      <c r="T496" s="720" t="str">
        <f>商办车库!H605</f>
        <v>车位</v>
      </c>
    </row>
    <row r="497" spans="1:20">
      <c r="A497" s="3539" t="str">
        <f>商办车库!E606</f>
        <v>B2106、B2107</v>
      </c>
      <c r="B497" s="54">
        <f>商办车库!F606</f>
        <v>80.86</v>
      </c>
      <c r="C497" s="3438">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4429</v>
      </c>
      <c r="S497" s="316">
        <f t="shared" ca="1" si="77"/>
        <v>36</v>
      </c>
      <c r="T497" s="720" t="str">
        <f>商办车库!H606</f>
        <v>车位</v>
      </c>
    </row>
    <row r="498" spans="1:20">
      <c r="A498" s="3539" t="str">
        <f>商办车库!E607</f>
        <v>B2108、B2109</v>
      </c>
      <c r="B498" s="54">
        <f>商办车库!F607</f>
        <v>80.86</v>
      </c>
      <c r="C498" s="3438">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4429</v>
      </c>
      <c r="S498" s="316">
        <f t="shared" ca="1" si="77"/>
        <v>36</v>
      </c>
      <c r="T498" s="720" t="str">
        <f>商办车库!H607</f>
        <v>车位</v>
      </c>
    </row>
    <row r="499" spans="1:20">
      <c r="A499" s="3539" t="str">
        <f>商办车库!E608</f>
        <v>B2110</v>
      </c>
      <c r="B499" s="54">
        <f>商办车库!F608</f>
        <v>40.43</v>
      </c>
      <c r="C499" s="21">
        <f t="shared" si="86"/>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4429</v>
      </c>
      <c r="S499" s="316">
        <f t="shared" ca="1" si="77"/>
        <v>18</v>
      </c>
      <c r="T499" s="720" t="str">
        <f>商办车库!H608</f>
        <v>车位</v>
      </c>
    </row>
    <row r="500" spans="1:20">
      <c r="A500" s="3539" t="str">
        <f>商办车库!E609</f>
        <v>B2111、B2112</v>
      </c>
      <c r="B500" s="54">
        <f>商办车库!F609</f>
        <v>80.86</v>
      </c>
      <c r="C500" s="3438">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4429</v>
      </c>
      <c r="S500" s="316">
        <f t="shared" ca="1" si="77"/>
        <v>36</v>
      </c>
      <c r="T500" s="720" t="str">
        <f>商办车库!H609</f>
        <v>车位</v>
      </c>
    </row>
    <row r="501" spans="1:20">
      <c r="A501" s="3539" t="str">
        <f>商办车库!E610</f>
        <v>B2113、B2114</v>
      </c>
      <c r="B501" s="54">
        <f>商办车库!F610</f>
        <v>80.86</v>
      </c>
      <c r="C501" s="3438">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4429</v>
      </c>
      <c r="S501" s="316">
        <f t="shared" ca="1" si="77"/>
        <v>36</v>
      </c>
      <c r="T501" s="720" t="str">
        <f>商办车库!H610</f>
        <v>车位</v>
      </c>
    </row>
    <row r="502" spans="1:20">
      <c r="A502" s="3539" t="str">
        <f>商办车库!E611</f>
        <v>B2115、B2116</v>
      </c>
      <c r="B502" s="54">
        <f>商办车库!F611</f>
        <v>80.86</v>
      </c>
      <c r="C502" s="3438">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4429</v>
      </c>
      <c r="S502" s="316">
        <f t="shared" ca="1" si="77"/>
        <v>36</v>
      </c>
      <c r="T502" s="720" t="str">
        <f>商办车库!H611</f>
        <v>车位</v>
      </c>
    </row>
    <row r="503" spans="1:20">
      <c r="A503" s="3539" t="str">
        <f>商办车库!E612</f>
        <v>B2117、B2118</v>
      </c>
      <c r="B503" s="54">
        <f>商办车库!F612</f>
        <v>80.86</v>
      </c>
      <c r="C503" s="3438">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4429</v>
      </c>
      <c r="S503" s="316">
        <f t="shared" ca="1" si="77"/>
        <v>36</v>
      </c>
      <c r="T503" s="720" t="str">
        <f>商办车库!H612</f>
        <v>车位</v>
      </c>
    </row>
    <row r="504" spans="1:20">
      <c r="A504" s="3539" t="str">
        <f>商办车库!E613</f>
        <v>B2119、B2120</v>
      </c>
      <c r="B504" s="54">
        <f>商办车库!F613</f>
        <v>80.86</v>
      </c>
      <c r="C504" s="3438">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4429</v>
      </c>
      <c r="S504" s="316">
        <f t="shared" ca="1" si="77"/>
        <v>36</v>
      </c>
      <c r="T504" s="720" t="str">
        <f>商办车库!H613</f>
        <v>车位</v>
      </c>
    </row>
    <row r="505" spans="1:20">
      <c r="A505" s="3539" t="str">
        <f>商办车库!E614</f>
        <v>B2121</v>
      </c>
      <c r="B505" s="54">
        <f>商办车库!F614</f>
        <v>40.43</v>
      </c>
      <c r="C505" s="21">
        <f t="shared" si="86"/>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4429</v>
      </c>
      <c r="S505" s="316">
        <f t="shared" ca="1" si="77"/>
        <v>18</v>
      </c>
      <c r="T505" s="720" t="str">
        <f>商办车库!H614</f>
        <v>车位</v>
      </c>
    </row>
    <row r="506" spans="1:20">
      <c r="A506" s="3539" t="str">
        <f>商办车库!E615</f>
        <v>B2122</v>
      </c>
      <c r="B506" s="54">
        <f>商办车库!F615</f>
        <v>40.43</v>
      </c>
      <c r="C506" s="21">
        <f t="shared" si="86"/>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4429</v>
      </c>
      <c r="S506" s="316">
        <f t="shared" ca="1" si="77"/>
        <v>18</v>
      </c>
      <c r="T506" s="720" t="str">
        <f>商办车库!H615</f>
        <v>车位</v>
      </c>
    </row>
    <row r="507" spans="1:20">
      <c r="A507" s="3539" t="str">
        <f>商办车库!E616</f>
        <v>B2123</v>
      </c>
      <c r="B507" s="54">
        <f>商办车库!F616</f>
        <v>40.43</v>
      </c>
      <c r="C507" s="21">
        <f t="shared" si="86"/>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4429</v>
      </c>
      <c r="S507" s="316">
        <f t="shared" ca="1" si="77"/>
        <v>18</v>
      </c>
      <c r="T507" s="720" t="str">
        <f>商办车库!H616</f>
        <v>车位</v>
      </c>
    </row>
    <row r="508" spans="1:20">
      <c r="A508" s="3539" t="str">
        <f>商办车库!E617</f>
        <v>B2124</v>
      </c>
      <c r="B508" s="54">
        <f>商办车库!F617</f>
        <v>40.43</v>
      </c>
      <c r="C508" s="21">
        <f t="shared" si="86"/>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4429</v>
      </c>
      <c r="S508" s="316">
        <f t="shared" ca="1" si="77"/>
        <v>18</v>
      </c>
      <c r="T508" s="720" t="str">
        <f>商办车库!H617</f>
        <v>车位</v>
      </c>
    </row>
    <row r="509" spans="1:20">
      <c r="A509" s="3539" t="str">
        <f>商办车库!E618</f>
        <v>B2125</v>
      </c>
      <c r="B509" s="54">
        <f>商办车库!F618</f>
        <v>68.27</v>
      </c>
      <c r="C509" s="21">
        <f t="shared" si="86"/>
        <v>1.01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4473</v>
      </c>
      <c r="S509" s="316">
        <f t="shared" ca="1" si="77"/>
        <v>31</v>
      </c>
      <c r="T509" s="720" t="str">
        <f>商办车库!H618</f>
        <v>车位</v>
      </c>
    </row>
    <row r="510" spans="1:20">
      <c r="A510" s="3539" t="str">
        <f>商办车库!E619</f>
        <v>B2126</v>
      </c>
      <c r="B510" s="54">
        <f>商办车库!F619</f>
        <v>40.43</v>
      </c>
      <c r="C510" s="21">
        <f t="shared" si="86"/>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4429</v>
      </c>
      <c r="S510" s="316">
        <f t="shared" ca="1" si="77"/>
        <v>18</v>
      </c>
      <c r="T510" s="720" t="str">
        <f>商办车库!H619</f>
        <v>车位</v>
      </c>
    </row>
    <row r="511" spans="1:20">
      <c r="A511" s="3539" t="str">
        <f>商办车库!E620</f>
        <v>B2127、B2128</v>
      </c>
      <c r="B511" s="54">
        <f>商办车库!F620</f>
        <v>80.86</v>
      </c>
      <c r="C511" s="3438">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4429</v>
      </c>
      <c r="S511" s="316">
        <f t="shared" ca="1" si="77"/>
        <v>36</v>
      </c>
      <c r="T511" s="720" t="str">
        <f>商办车库!H620</f>
        <v>车位</v>
      </c>
    </row>
    <row r="512" spans="1:20">
      <c r="A512" s="3539" t="str">
        <f>商办车库!E621</f>
        <v>B2129、B2130</v>
      </c>
      <c r="B512" s="54">
        <f>商办车库!F621</f>
        <v>80.86</v>
      </c>
      <c r="C512" s="3438">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4429</v>
      </c>
      <c r="S512" s="316">
        <f t="shared" ca="1" si="77"/>
        <v>36</v>
      </c>
      <c r="T512" s="720" t="str">
        <f>商办车库!H621</f>
        <v>车位</v>
      </c>
    </row>
    <row r="513" spans="1:20">
      <c r="A513" s="3539" t="str">
        <f>商办车库!E622</f>
        <v>B2131、B2132</v>
      </c>
      <c r="B513" s="54">
        <f>商办车库!F622</f>
        <v>80.86</v>
      </c>
      <c r="C513" s="3438">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4429</v>
      </c>
      <c r="S513" s="316">
        <f t="shared" ca="1" si="77"/>
        <v>36</v>
      </c>
      <c r="T513" s="720" t="str">
        <f>商办车库!H622</f>
        <v>车位</v>
      </c>
    </row>
    <row r="514" spans="1:20">
      <c r="A514" s="3539" t="str">
        <f>商办车库!E623</f>
        <v>B2133、B2134</v>
      </c>
      <c r="B514" s="54">
        <f>商办车库!F623</f>
        <v>80.86</v>
      </c>
      <c r="C514" s="3438">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4429</v>
      </c>
      <c r="S514" s="316">
        <f t="shared" ca="1" si="77"/>
        <v>36</v>
      </c>
      <c r="T514" s="720" t="str">
        <f>商办车库!H623</f>
        <v>车位</v>
      </c>
    </row>
    <row r="515" spans="1:20">
      <c r="A515" s="3539" t="str">
        <f>商办车库!E624</f>
        <v>B2135</v>
      </c>
      <c r="B515" s="54">
        <f>商办车库!F624</f>
        <v>68.27</v>
      </c>
      <c r="C515" s="21">
        <f t="shared" si="86"/>
        <v>1.01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4473</v>
      </c>
      <c r="S515" s="316">
        <f t="shared" ca="1" si="77"/>
        <v>31</v>
      </c>
      <c r="T515" s="720" t="str">
        <f>商办车库!H624</f>
        <v>车位</v>
      </c>
    </row>
    <row r="516" spans="1:20">
      <c r="A516" s="3539" t="str">
        <f>商办车库!E625</f>
        <v>B2136</v>
      </c>
      <c r="B516" s="54">
        <f>商办车库!F625</f>
        <v>40.43</v>
      </c>
      <c r="C516" s="21">
        <f t="shared" si="86"/>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4429</v>
      </c>
      <c r="S516" s="316">
        <f t="shared" ca="1" si="77"/>
        <v>18</v>
      </c>
      <c r="T516" s="720" t="str">
        <f>商办车库!H625</f>
        <v>车位</v>
      </c>
    </row>
    <row r="517" spans="1:20">
      <c r="A517" s="3539" t="str">
        <f>商办车库!E626</f>
        <v>B2137、B2138</v>
      </c>
      <c r="B517" s="54">
        <f>商办车库!F626</f>
        <v>80.86</v>
      </c>
      <c r="C517" s="3438">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4429</v>
      </c>
      <c r="S517" s="316">
        <f t="shared" ca="1" si="77"/>
        <v>36</v>
      </c>
      <c r="T517" s="720" t="str">
        <f>商办车库!H626</f>
        <v>车位</v>
      </c>
    </row>
    <row r="518" spans="1:20">
      <c r="A518" s="3539" t="str">
        <f>商办车库!E627</f>
        <v>B2139、B2140</v>
      </c>
      <c r="B518" s="54">
        <f>商办车库!F627</f>
        <v>80.86</v>
      </c>
      <c r="C518" s="3438">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4429</v>
      </c>
      <c r="S518" s="316">
        <f t="shared" ca="1" si="77"/>
        <v>36</v>
      </c>
      <c r="T518" s="720" t="str">
        <f>商办车库!H627</f>
        <v>车位</v>
      </c>
    </row>
    <row r="519" spans="1:20">
      <c r="A519" s="3539" t="str">
        <f>商办车库!E628</f>
        <v>B2141</v>
      </c>
      <c r="B519" s="54">
        <f>商办车库!F628</f>
        <v>40.43</v>
      </c>
      <c r="C519" s="21">
        <f t="shared" si="86"/>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4429</v>
      </c>
      <c r="S519" s="316">
        <f t="shared" ca="1" si="77"/>
        <v>18</v>
      </c>
      <c r="T519" s="720" t="str">
        <f>商办车库!H628</f>
        <v>车位</v>
      </c>
    </row>
    <row r="520" spans="1:20">
      <c r="A520" s="3539" t="str">
        <f>商办车库!E629</f>
        <v>B2142</v>
      </c>
      <c r="B520" s="54">
        <f>商办车库!F629</f>
        <v>40.43</v>
      </c>
      <c r="C520" s="21">
        <f t="shared" si="86"/>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4429</v>
      </c>
      <c r="S520" s="316">
        <f t="shared" ca="1" si="77"/>
        <v>18</v>
      </c>
      <c r="T520" s="720" t="str">
        <f>商办车库!H629</f>
        <v>车位</v>
      </c>
    </row>
    <row r="521" spans="1:20">
      <c r="A521" s="3539" t="str">
        <f>商办车库!E630</f>
        <v>B2143</v>
      </c>
      <c r="B521" s="54">
        <f>商办车库!F630</f>
        <v>40.43</v>
      </c>
      <c r="C521" s="21">
        <f t="shared" si="86"/>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4429</v>
      </c>
      <c r="S521" s="316">
        <f t="shared" ca="1" si="77"/>
        <v>18</v>
      </c>
      <c r="T521" s="720" t="str">
        <f>商办车库!H630</f>
        <v>车位</v>
      </c>
    </row>
    <row r="522" spans="1:20">
      <c r="A522" s="3539" t="str">
        <f>商办车库!E631</f>
        <v>B2144</v>
      </c>
      <c r="B522" s="54">
        <f>商办车库!F631</f>
        <v>40.43</v>
      </c>
      <c r="C522" s="21">
        <f t="shared" si="86"/>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4429</v>
      </c>
      <c r="S522" s="316">
        <f t="shared" ca="1" si="77"/>
        <v>18</v>
      </c>
      <c r="T522" s="720" t="str">
        <f>商办车库!H631</f>
        <v>车位</v>
      </c>
    </row>
    <row r="523" spans="1:20">
      <c r="A523" s="3539" t="str">
        <f>商办车库!E632</f>
        <v>B2145</v>
      </c>
      <c r="B523" s="54">
        <f>商办车库!F632</f>
        <v>40.43</v>
      </c>
      <c r="C523" s="21">
        <f t="shared" si="86"/>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4429</v>
      </c>
      <c r="S523" s="316">
        <f t="shared" ca="1" si="77"/>
        <v>18</v>
      </c>
      <c r="T523" s="720" t="str">
        <f>商办车库!H632</f>
        <v>车位</v>
      </c>
    </row>
    <row r="524" spans="1:20">
      <c r="A524" s="3539" t="str">
        <f>商办车库!E633</f>
        <v>B2146</v>
      </c>
      <c r="B524" s="54">
        <f>商办车库!F633</f>
        <v>40.43</v>
      </c>
      <c r="C524" s="21">
        <f t="shared" si="86"/>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4429</v>
      </c>
      <c r="S524" s="316">
        <f t="shared" ca="1" si="77"/>
        <v>18</v>
      </c>
      <c r="T524" s="720" t="str">
        <f>商办车库!H633</f>
        <v>车位</v>
      </c>
    </row>
    <row r="525" spans="1:20">
      <c r="A525" s="3539" t="str">
        <f>商办车库!E634</f>
        <v>B2147</v>
      </c>
      <c r="B525" s="54">
        <f>商办车库!F634</f>
        <v>40.43</v>
      </c>
      <c r="C525" s="21">
        <f t="shared" ref="C525:C541" si="87">IF(B525="",1,(LOOKUP(B525,$3:$3,$4:$4)-LOOKUP($B$24,$3:$3,$4:$4)+100)/100)</f>
        <v>1</v>
      </c>
      <c r="D525" s="662"/>
      <c r="E525" s="21">
        <f t="shared" ref="E525:E541" si="88">(SUMIF($5:$5,D525,$6:$6)-SUMIF($5:$5,$D$24,$6:$6)+100)/100</f>
        <v>1</v>
      </c>
      <c r="F525" s="662"/>
      <c r="G525" s="21">
        <f t="shared" ref="G525:G541" si="89">(SUMIF($7:$7,F525,$8:$8)-SUMIF($7:$7,$F$24,$8:$8)+100)/100</f>
        <v>1</v>
      </c>
      <c r="H525" s="662"/>
      <c r="I525" s="21">
        <f t="shared" ref="I525:I541" si="90">(SUMIF($9:$9,H525,$10:$10)-SUMIF($9:$9,$H$24,$10:$10)+100)/100</f>
        <v>1</v>
      </c>
      <c r="J525" s="662"/>
      <c r="K525" s="21">
        <f t="shared" ref="K525:K541" si="91">(SUMIF($11:$11,J525,$12:$12)-SUMIF($11:$11,$J$24,$12:$12)+100)/100</f>
        <v>1</v>
      </c>
      <c r="L525" s="662"/>
      <c r="M525" s="21">
        <f t="shared" ref="M525:M541" si="92">(SUMIF($13:$13,L525,$14:$14)-SUMIF($13:$13,$L$24,$14:$14)+100)/100</f>
        <v>1</v>
      </c>
      <c r="N525" s="662"/>
      <c r="O525" s="21">
        <f t="shared" ref="O525:O541" si="93">(SUMIF($15:$15,N525,$16:$16)-SUMIF($15:$15,$N$24,$16:$16)+100)/100</f>
        <v>1</v>
      </c>
      <c r="P525" s="662">
        <v>-2</v>
      </c>
      <c r="Q525" s="21">
        <f t="shared" ref="Q525:Q541" si="94">(SUMIF($17:$17,P525,$18:$18)-SUMIF($17:$17,$P$24,$18:$18)+100)/100</f>
        <v>0.95</v>
      </c>
      <c r="R525" s="659">
        <f t="shared" ref="R525:R541" ca="1" si="95">IF(B525="",0,ROUND($R$24*C525*E525*G525*I525*K525*M525*O525*Q525,0))</f>
        <v>4429</v>
      </c>
      <c r="S525" s="316">
        <f t="shared" ref="S525:S541" ca="1" si="96">ROUND(R525*B525/10000,0)</f>
        <v>18</v>
      </c>
      <c r="T525" s="720" t="str">
        <f>商办车库!H634</f>
        <v>车位</v>
      </c>
    </row>
    <row r="526" spans="1:20">
      <c r="A526" s="3539" t="str">
        <f>商办车库!E635</f>
        <v>B2148</v>
      </c>
      <c r="B526" s="54">
        <f>商办车库!F635</f>
        <v>40.43</v>
      </c>
      <c r="C526" s="21">
        <f t="shared" si="87"/>
        <v>1</v>
      </c>
      <c r="D526" s="662"/>
      <c r="E526" s="21">
        <f t="shared" si="88"/>
        <v>1</v>
      </c>
      <c r="F526" s="662"/>
      <c r="G526" s="21">
        <f t="shared" si="89"/>
        <v>1</v>
      </c>
      <c r="H526" s="662"/>
      <c r="I526" s="21">
        <f t="shared" si="90"/>
        <v>1</v>
      </c>
      <c r="J526" s="662"/>
      <c r="K526" s="21">
        <f t="shared" si="91"/>
        <v>1</v>
      </c>
      <c r="L526" s="662"/>
      <c r="M526" s="21">
        <f t="shared" si="92"/>
        <v>1</v>
      </c>
      <c r="N526" s="662"/>
      <c r="O526" s="21">
        <f t="shared" si="93"/>
        <v>1</v>
      </c>
      <c r="P526" s="662">
        <v>-2</v>
      </c>
      <c r="Q526" s="21">
        <f t="shared" si="94"/>
        <v>0.95</v>
      </c>
      <c r="R526" s="659">
        <f t="shared" ca="1" si="95"/>
        <v>4429</v>
      </c>
      <c r="S526" s="316">
        <f t="shared" ca="1" si="96"/>
        <v>18</v>
      </c>
      <c r="T526" s="720" t="str">
        <f>商办车库!H635</f>
        <v>车位</v>
      </c>
    </row>
    <row r="527" spans="1:20">
      <c r="A527" s="3539" t="str">
        <f>商办车库!E636</f>
        <v>B2149</v>
      </c>
      <c r="B527" s="54">
        <f>商办车库!F636</f>
        <v>40.43</v>
      </c>
      <c r="C527" s="21">
        <f t="shared" si="87"/>
        <v>1</v>
      </c>
      <c r="D527" s="662"/>
      <c r="E527" s="21">
        <f t="shared" si="88"/>
        <v>1</v>
      </c>
      <c r="F527" s="662"/>
      <c r="G527" s="21">
        <f t="shared" si="89"/>
        <v>1</v>
      </c>
      <c r="H527" s="662"/>
      <c r="I527" s="21">
        <f t="shared" si="90"/>
        <v>1</v>
      </c>
      <c r="J527" s="662"/>
      <c r="K527" s="21">
        <f t="shared" si="91"/>
        <v>1</v>
      </c>
      <c r="L527" s="662"/>
      <c r="M527" s="21">
        <f t="shared" si="92"/>
        <v>1</v>
      </c>
      <c r="N527" s="662"/>
      <c r="O527" s="21">
        <f t="shared" si="93"/>
        <v>1</v>
      </c>
      <c r="P527" s="662">
        <v>-2</v>
      </c>
      <c r="Q527" s="21">
        <f t="shared" si="94"/>
        <v>0.95</v>
      </c>
      <c r="R527" s="659">
        <f t="shared" ca="1" si="95"/>
        <v>4429</v>
      </c>
      <c r="S527" s="316">
        <f t="shared" ca="1" si="96"/>
        <v>18</v>
      </c>
      <c r="T527" s="720" t="str">
        <f>商办车库!H636</f>
        <v>车位</v>
      </c>
    </row>
    <row r="528" spans="1:20">
      <c r="A528" s="3539" t="str">
        <f>商办车库!E637</f>
        <v>B2150</v>
      </c>
      <c r="B528" s="54">
        <f>商办车库!F637</f>
        <v>40.43</v>
      </c>
      <c r="C528" s="21">
        <f t="shared" si="87"/>
        <v>1</v>
      </c>
      <c r="D528" s="662"/>
      <c r="E528" s="21">
        <f t="shared" si="88"/>
        <v>1</v>
      </c>
      <c r="F528" s="662"/>
      <c r="G528" s="21">
        <f t="shared" si="89"/>
        <v>1</v>
      </c>
      <c r="H528" s="662"/>
      <c r="I528" s="21">
        <f t="shared" si="90"/>
        <v>1</v>
      </c>
      <c r="J528" s="662"/>
      <c r="K528" s="21">
        <f t="shared" si="91"/>
        <v>1</v>
      </c>
      <c r="L528" s="662"/>
      <c r="M528" s="21">
        <f t="shared" si="92"/>
        <v>1</v>
      </c>
      <c r="N528" s="662"/>
      <c r="O528" s="21">
        <f t="shared" si="93"/>
        <v>1</v>
      </c>
      <c r="P528" s="662">
        <v>-2</v>
      </c>
      <c r="Q528" s="21">
        <f t="shared" si="94"/>
        <v>0.95</v>
      </c>
      <c r="R528" s="659">
        <f t="shared" ca="1" si="95"/>
        <v>4429</v>
      </c>
      <c r="S528" s="316">
        <f t="shared" ca="1" si="96"/>
        <v>18</v>
      </c>
      <c r="T528" s="720" t="str">
        <f>商办车库!H637</f>
        <v>车位</v>
      </c>
    </row>
    <row r="529" spans="1:20">
      <c r="A529" s="3539" t="str">
        <f>商办车库!E638</f>
        <v>B2151</v>
      </c>
      <c r="B529" s="54">
        <f>商办车库!F638</f>
        <v>40.43</v>
      </c>
      <c r="C529" s="21">
        <f t="shared" si="87"/>
        <v>1</v>
      </c>
      <c r="D529" s="662"/>
      <c r="E529" s="21">
        <f t="shared" si="88"/>
        <v>1</v>
      </c>
      <c r="F529" s="662"/>
      <c r="G529" s="21">
        <f t="shared" si="89"/>
        <v>1</v>
      </c>
      <c r="H529" s="662"/>
      <c r="I529" s="21">
        <f t="shared" si="90"/>
        <v>1</v>
      </c>
      <c r="J529" s="662"/>
      <c r="K529" s="21">
        <f t="shared" si="91"/>
        <v>1</v>
      </c>
      <c r="L529" s="662"/>
      <c r="M529" s="21">
        <f t="shared" si="92"/>
        <v>1</v>
      </c>
      <c r="N529" s="662"/>
      <c r="O529" s="21">
        <f t="shared" si="93"/>
        <v>1</v>
      </c>
      <c r="P529" s="662">
        <v>-2</v>
      </c>
      <c r="Q529" s="21">
        <f t="shared" si="94"/>
        <v>0.95</v>
      </c>
      <c r="R529" s="659">
        <f t="shared" ca="1" si="95"/>
        <v>4429</v>
      </c>
      <c r="S529" s="316">
        <f t="shared" ca="1" si="96"/>
        <v>18</v>
      </c>
      <c r="T529" s="720" t="str">
        <f>商办车库!H638</f>
        <v>车位</v>
      </c>
    </row>
    <row r="530" spans="1:20">
      <c r="A530" s="3539" t="str">
        <f>商办车库!E639</f>
        <v>B2152</v>
      </c>
      <c r="B530" s="54">
        <f>商办车库!F639</f>
        <v>40.43</v>
      </c>
      <c r="C530" s="21">
        <f t="shared" si="87"/>
        <v>1</v>
      </c>
      <c r="D530" s="662"/>
      <c r="E530" s="21">
        <f t="shared" si="88"/>
        <v>1</v>
      </c>
      <c r="F530" s="662"/>
      <c r="G530" s="21">
        <f t="shared" si="89"/>
        <v>1</v>
      </c>
      <c r="H530" s="662"/>
      <c r="I530" s="21">
        <f t="shared" si="90"/>
        <v>1</v>
      </c>
      <c r="J530" s="662"/>
      <c r="K530" s="21">
        <f t="shared" si="91"/>
        <v>1</v>
      </c>
      <c r="L530" s="662"/>
      <c r="M530" s="21">
        <f t="shared" si="92"/>
        <v>1</v>
      </c>
      <c r="N530" s="662"/>
      <c r="O530" s="21">
        <f t="shared" si="93"/>
        <v>1</v>
      </c>
      <c r="P530" s="662">
        <v>-2</v>
      </c>
      <c r="Q530" s="21">
        <f t="shared" si="94"/>
        <v>0.95</v>
      </c>
      <c r="R530" s="659">
        <f t="shared" ca="1" si="95"/>
        <v>4429</v>
      </c>
      <c r="S530" s="316">
        <f t="shared" ca="1" si="96"/>
        <v>18</v>
      </c>
      <c r="T530" s="720" t="str">
        <f>商办车库!H639</f>
        <v>车位</v>
      </c>
    </row>
    <row r="531" spans="1:20">
      <c r="A531" s="3539" t="str">
        <f>商办车库!E640</f>
        <v>B2153</v>
      </c>
      <c r="B531" s="54">
        <f>商办车库!F640</f>
        <v>40.43</v>
      </c>
      <c r="C531" s="21">
        <f t="shared" si="87"/>
        <v>1</v>
      </c>
      <c r="D531" s="662"/>
      <c r="E531" s="21">
        <f t="shared" si="88"/>
        <v>1</v>
      </c>
      <c r="F531" s="662"/>
      <c r="G531" s="21">
        <f t="shared" si="89"/>
        <v>1</v>
      </c>
      <c r="H531" s="662"/>
      <c r="I531" s="21">
        <f t="shared" si="90"/>
        <v>1</v>
      </c>
      <c r="J531" s="662"/>
      <c r="K531" s="21">
        <f t="shared" si="91"/>
        <v>1</v>
      </c>
      <c r="L531" s="662"/>
      <c r="M531" s="21">
        <f t="shared" si="92"/>
        <v>1</v>
      </c>
      <c r="N531" s="662"/>
      <c r="O531" s="21">
        <f t="shared" si="93"/>
        <v>1</v>
      </c>
      <c r="P531" s="662">
        <v>-2</v>
      </c>
      <c r="Q531" s="21">
        <f t="shared" si="94"/>
        <v>0.95</v>
      </c>
      <c r="R531" s="659">
        <f t="shared" ca="1" si="95"/>
        <v>4429</v>
      </c>
      <c r="S531" s="316">
        <f t="shared" ca="1" si="96"/>
        <v>18</v>
      </c>
      <c r="T531" s="720" t="str">
        <f>商办车库!H640</f>
        <v>车位</v>
      </c>
    </row>
    <row r="532" spans="1:20">
      <c r="A532" s="3539" t="str">
        <f>商办车库!E641</f>
        <v>B2154</v>
      </c>
      <c r="B532" s="54">
        <f>商办车库!F641</f>
        <v>40.43</v>
      </c>
      <c r="C532" s="21">
        <f t="shared" si="87"/>
        <v>1</v>
      </c>
      <c r="D532" s="662"/>
      <c r="E532" s="21">
        <f t="shared" si="88"/>
        <v>1</v>
      </c>
      <c r="F532" s="662"/>
      <c r="G532" s="21">
        <f t="shared" si="89"/>
        <v>1</v>
      </c>
      <c r="H532" s="662"/>
      <c r="I532" s="21">
        <f t="shared" si="90"/>
        <v>1</v>
      </c>
      <c r="J532" s="662"/>
      <c r="K532" s="21">
        <f t="shared" si="91"/>
        <v>1</v>
      </c>
      <c r="L532" s="662"/>
      <c r="M532" s="21">
        <f t="shared" si="92"/>
        <v>1</v>
      </c>
      <c r="N532" s="662"/>
      <c r="O532" s="21">
        <f t="shared" si="93"/>
        <v>1</v>
      </c>
      <c r="P532" s="662">
        <v>-2</v>
      </c>
      <c r="Q532" s="21">
        <f t="shared" si="94"/>
        <v>0.95</v>
      </c>
      <c r="R532" s="659">
        <f t="shared" ca="1" si="95"/>
        <v>4429</v>
      </c>
      <c r="S532" s="316">
        <f t="shared" ca="1" si="96"/>
        <v>18</v>
      </c>
      <c r="T532" s="720" t="str">
        <f>商办车库!H641</f>
        <v>车位</v>
      </c>
    </row>
    <row r="533" spans="1:20">
      <c r="A533" s="3539" t="str">
        <f>商办车库!E642</f>
        <v>B2155</v>
      </c>
      <c r="B533" s="54">
        <f>商办车库!F642</f>
        <v>40.43</v>
      </c>
      <c r="C533" s="21">
        <f t="shared" si="87"/>
        <v>1</v>
      </c>
      <c r="D533" s="662"/>
      <c r="E533" s="21">
        <f t="shared" si="88"/>
        <v>1</v>
      </c>
      <c r="F533" s="662"/>
      <c r="G533" s="21">
        <f t="shared" si="89"/>
        <v>1</v>
      </c>
      <c r="H533" s="662"/>
      <c r="I533" s="21">
        <f t="shared" si="90"/>
        <v>1</v>
      </c>
      <c r="J533" s="662"/>
      <c r="K533" s="21">
        <f t="shared" si="91"/>
        <v>1</v>
      </c>
      <c r="L533" s="662"/>
      <c r="M533" s="21">
        <f t="shared" si="92"/>
        <v>1</v>
      </c>
      <c r="N533" s="662"/>
      <c r="O533" s="21">
        <f t="shared" si="93"/>
        <v>1</v>
      </c>
      <c r="P533" s="662">
        <v>-2</v>
      </c>
      <c r="Q533" s="21">
        <f t="shared" si="94"/>
        <v>0.95</v>
      </c>
      <c r="R533" s="659">
        <f t="shared" ca="1" si="95"/>
        <v>4429</v>
      </c>
      <c r="S533" s="316">
        <f t="shared" ca="1" si="96"/>
        <v>18</v>
      </c>
      <c r="T533" s="720" t="str">
        <f>商办车库!H642</f>
        <v>车位</v>
      </c>
    </row>
    <row r="534" spans="1:20">
      <c r="A534" s="3539" t="str">
        <f>商办车库!E643</f>
        <v>B2156</v>
      </c>
      <c r="B534" s="54">
        <f>商办车库!F643</f>
        <v>40.43</v>
      </c>
      <c r="C534" s="21">
        <f t="shared" si="87"/>
        <v>1</v>
      </c>
      <c r="D534" s="662"/>
      <c r="E534" s="21">
        <f t="shared" si="88"/>
        <v>1</v>
      </c>
      <c r="F534" s="662"/>
      <c r="G534" s="21">
        <f t="shared" si="89"/>
        <v>1</v>
      </c>
      <c r="H534" s="662"/>
      <c r="I534" s="21">
        <f t="shared" si="90"/>
        <v>1</v>
      </c>
      <c r="J534" s="662"/>
      <c r="K534" s="21">
        <f t="shared" si="91"/>
        <v>1</v>
      </c>
      <c r="L534" s="662"/>
      <c r="M534" s="21">
        <f t="shared" si="92"/>
        <v>1</v>
      </c>
      <c r="N534" s="662"/>
      <c r="O534" s="21">
        <f t="shared" si="93"/>
        <v>1</v>
      </c>
      <c r="P534" s="662">
        <v>-2</v>
      </c>
      <c r="Q534" s="21">
        <f t="shared" si="94"/>
        <v>0.95</v>
      </c>
      <c r="R534" s="659">
        <f t="shared" ca="1" si="95"/>
        <v>4429</v>
      </c>
      <c r="S534" s="316">
        <f t="shared" ca="1" si="96"/>
        <v>18</v>
      </c>
      <c r="T534" s="720" t="str">
        <f>商办车库!H643</f>
        <v>车位</v>
      </c>
    </row>
    <row r="535" spans="1:20">
      <c r="A535" s="3539" t="str">
        <f>商办车库!E644</f>
        <v>B2157</v>
      </c>
      <c r="B535" s="54">
        <f>商办车库!F644</f>
        <v>40.43</v>
      </c>
      <c r="C535" s="21">
        <f t="shared" si="87"/>
        <v>1</v>
      </c>
      <c r="D535" s="662"/>
      <c r="E535" s="21">
        <f t="shared" si="88"/>
        <v>1</v>
      </c>
      <c r="F535" s="662"/>
      <c r="G535" s="21">
        <f t="shared" si="89"/>
        <v>1</v>
      </c>
      <c r="H535" s="662"/>
      <c r="I535" s="21">
        <f t="shared" si="90"/>
        <v>1</v>
      </c>
      <c r="J535" s="662"/>
      <c r="K535" s="21">
        <f t="shared" si="91"/>
        <v>1</v>
      </c>
      <c r="L535" s="662"/>
      <c r="M535" s="21">
        <f t="shared" si="92"/>
        <v>1</v>
      </c>
      <c r="N535" s="662"/>
      <c r="O535" s="21">
        <f t="shared" si="93"/>
        <v>1</v>
      </c>
      <c r="P535" s="662">
        <v>-2</v>
      </c>
      <c r="Q535" s="21">
        <f t="shared" si="94"/>
        <v>0.95</v>
      </c>
      <c r="R535" s="659">
        <f t="shared" ca="1" si="95"/>
        <v>4429</v>
      </c>
      <c r="S535" s="316">
        <f t="shared" ca="1" si="96"/>
        <v>18</v>
      </c>
      <c r="T535" s="720" t="str">
        <f>商办车库!H644</f>
        <v>车位</v>
      </c>
    </row>
    <row r="536" spans="1:20">
      <c r="A536" s="3539" t="str">
        <f>商办车库!E645</f>
        <v>B2158</v>
      </c>
      <c r="B536" s="54">
        <f>商办车库!F645</f>
        <v>40.43</v>
      </c>
      <c r="C536" s="21">
        <f t="shared" si="87"/>
        <v>1</v>
      </c>
      <c r="D536" s="662"/>
      <c r="E536" s="21">
        <f t="shared" si="88"/>
        <v>1</v>
      </c>
      <c r="F536" s="662"/>
      <c r="G536" s="21">
        <f t="shared" si="89"/>
        <v>1</v>
      </c>
      <c r="H536" s="662"/>
      <c r="I536" s="21">
        <f t="shared" si="90"/>
        <v>1</v>
      </c>
      <c r="J536" s="662"/>
      <c r="K536" s="21">
        <f t="shared" si="91"/>
        <v>1</v>
      </c>
      <c r="L536" s="662"/>
      <c r="M536" s="21">
        <f t="shared" si="92"/>
        <v>1</v>
      </c>
      <c r="N536" s="662"/>
      <c r="O536" s="21">
        <f t="shared" si="93"/>
        <v>1</v>
      </c>
      <c r="P536" s="662">
        <v>-2</v>
      </c>
      <c r="Q536" s="21">
        <f t="shared" si="94"/>
        <v>0.95</v>
      </c>
      <c r="R536" s="659">
        <f t="shared" ca="1" si="95"/>
        <v>4429</v>
      </c>
      <c r="S536" s="316">
        <f t="shared" ca="1" si="96"/>
        <v>18</v>
      </c>
      <c r="T536" s="720" t="str">
        <f>商办车库!H645</f>
        <v>车位</v>
      </c>
    </row>
    <row r="537" spans="1:20">
      <c r="A537" s="3539" t="str">
        <f>商办车库!E646</f>
        <v>B2159</v>
      </c>
      <c r="B537" s="54">
        <f>商办车库!F646</f>
        <v>40.43</v>
      </c>
      <c r="C537" s="21">
        <f t="shared" si="87"/>
        <v>1</v>
      </c>
      <c r="D537" s="662"/>
      <c r="E537" s="21">
        <f t="shared" si="88"/>
        <v>1</v>
      </c>
      <c r="F537" s="662"/>
      <c r="G537" s="21">
        <f t="shared" si="89"/>
        <v>1</v>
      </c>
      <c r="H537" s="662"/>
      <c r="I537" s="21">
        <f t="shared" si="90"/>
        <v>1</v>
      </c>
      <c r="J537" s="662"/>
      <c r="K537" s="21">
        <f t="shared" si="91"/>
        <v>1</v>
      </c>
      <c r="L537" s="662"/>
      <c r="M537" s="21">
        <f t="shared" si="92"/>
        <v>1</v>
      </c>
      <c r="N537" s="662"/>
      <c r="O537" s="21">
        <f t="shared" si="93"/>
        <v>1</v>
      </c>
      <c r="P537" s="662">
        <v>-2</v>
      </c>
      <c r="Q537" s="21">
        <f t="shared" si="94"/>
        <v>0.95</v>
      </c>
      <c r="R537" s="659">
        <f t="shared" ca="1" si="95"/>
        <v>4429</v>
      </c>
      <c r="S537" s="316">
        <f t="shared" ca="1" si="96"/>
        <v>18</v>
      </c>
      <c r="T537" s="720" t="str">
        <f>商办车库!H646</f>
        <v>车位</v>
      </c>
    </row>
    <row r="538" spans="1:20">
      <c r="A538" s="3539" t="str">
        <f>商办车库!E647</f>
        <v>B2160</v>
      </c>
      <c r="B538" s="54">
        <f>商办车库!F647</f>
        <v>40.43</v>
      </c>
      <c r="C538" s="21">
        <f t="shared" si="87"/>
        <v>1</v>
      </c>
      <c r="D538" s="662"/>
      <c r="E538" s="21">
        <f t="shared" si="88"/>
        <v>1</v>
      </c>
      <c r="F538" s="662"/>
      <c r="G538" s="21">
        <f t="shared" si="89"/>
        <v>1</v>
      </c>
      <c r="H538" s="662"/>
      <c r="I538" s="21">
        <f t="shared" si="90"/>
        <v>1</v>
      </c>
      <c r="J538" s="662"/>
      <c r="K538" s="21">
        <f t="shared" si="91"/>
        <v>1</v>
      </c>
      <c r="L538" s="662"/>
      <c r="M538" s="21">
        <f t="shared" si="92"/>
        <v>1</v>
      </c>
      <c r="N538" s="662"/>
      <c r="O538" s="21">
        <f t="shared" si="93"/>
        <v>1</v>
      </c>
      <c r="P538" s="662">
        <v>-2</v>
      </c>
      <c r="Q538" s="21">
        <f t="shared" si="94"/>
        <v>0.95</v>
      </c>
      <c r="R538" s="659">
        <f t="shared" ca="1" si="95"/>
        <v>4429</v>
      </c>
      <c r="S538" s="316">
        <f t="shared" ca="1" si="96"/>
        <v>18</v>
      </c>
      <c r="T538" s="720" t="str">
        <f>商办车库!H647</f>
        <v>车位</v>
      </c>
    </row>
    <row r="539" spans="1:20">
      <c r="A539" s="3539" t="str">
        <f>商办车库!E648</f>
        <v>B2161</v>
      </c>
      <c r="B539" s="54">
        <f>商办车库!F648</f>
        <v>40.43</v>
      </c>
      <c r="C539" s="21">
        <f t="shared" si="87"/>
        <v>1</v>
      </c>
      <c r="D539" s="662"/>
      <c r="E539" s="21">
        <f t="shared" si="88"/>
        <v>1</v>
      </c>
      <c r="F539" s="662"/>
      <c r="G539" s="21">
        <f t="shared" si="89"/>
        <v>1</v>
      </c>
      <c r="H539" s="662"/>
      <c r="I539" s="21">
        <f t="shared" si="90"/>
        <v>1</v>
      </c>
      <c r="J539" s="662"/>
      <c r="K539" s="21">
        <f t="shared" si="91"/>
        <v>1</v>
      </c>
      <c r="L539" s="662"/>
      <c r="M539" s="21">
        <f t="shared" si="92"/>
        <v>1</v>
      </c>
      <c r="N539" s="662"/>
      <c r="O539" s="21">
        <f t="shared" si="93"/>
        <v>1</v>
      </c>
      <c r="P539" s="662">
        <v>-2</v>
      </c>
      <c r="Q539" s="21">
        <f t="shared" si="94"/>
        <v>0.95</v>
      </c>
      <c r="R539" s="659">
        <f t="shared" ca="1" si="95"/>
        <v>4429</v>
      </c>
      <c r="S539" s="316">
        <f t="shared" ca="1" si="96"/>
        <v>18</v>
      </c>
      <c r="T539" s="720" t="str">
        <f>商办车库!H648</f>
        <v>车位</v>
      </c>
    </row>
    <row r="540" spans="1:20">
      <c r="A540" s="3539" t="str">
        <f>商办车库!E649</f>
        <v>B2162</v>
      </c>
      <c r="B540" s="54">
        <f>商办车库!F649</f>
        <v>40.43</v>
      </c>
      <c r="C540" s="21">
        <f t="shared" si="87"/>
        <v>1</v>
      </c>
      <c r="D540" s="662"/>
      <c r="E540" s="21">
        <f t="shared" si="88"/>
        <v>1</v>
      </c>
      <c r="F540" s="662"/>
      <c r="G540" s="21">
        <f t="shared" si="89"/>
        <v>1</v>
      </c>
      <c r="H540" s="662"/>
      <c r="I540" s="21">
        <f t="shared" si="90"/>
        <v>1</v>
      </c>
      <c r="J540" s="662"/>
      <c r="K540" s="21">
        <f t="shared" si="91"/>
        <v>1</v>
      </c>
      <c r="L540" s="662"/>
      <c r="M540" s="21">
        <f t="shared" si="92"/>
        <v>1</v>
      </c>
      <c r="N540" s="662"/>
      <c r="O540" s="21">
        <f t="shared" si="93"/>
        <v>1</v>
      </c>
      <c r="P540" s="662">
        <v>-2</v>
      </c>
      <c r="Q540" s="21">
        <f t="shared" si="94"/>
        <v>0.95</v>
      </c>
      <c r="R540" s="659">
        <f t="shared" ca="1" si="95"/>
        <v>4429</v>
      </c>
      <c r="S540" s="316">
        <f t="shared" ca="1" si="96"/>
        <v>18</v>
      </c>
      <c r="T540" s="720" t="str">
        <f>商办车库!H649</f>
        <v>车位</v>
      </c>
    </row>
    <row r="541" spans="1:20">
      <c r="A541" s="3539" t="str">
        <f>商办车库!E650</f>
        <v>B2163</v>
      </c>
      <c r="B541" s="54">
        <f>商办车库!F650</f>
        <v>40.43</v>
      </c>
      <c r="C541" s="21">
        <f t="shared" si="87"/>
        <v>1</v>
      </c>
      <c r="D541" s="662"/>
      <c r="E541" s="21">
        <f t="shared" si="88"/>
        <v>1</v>
      </c>
      <c r="F541" s="662"/>
      <c r="G541" s="21">
        <f t="shared" si="89"/>
        <v>1</v>
      </c>
      <c r="H541" s="662"/>
      <c r="I541" s="21">
        <f t="shared" si="90"/>
        <v>1</v>
      </c>
      <c r="J541" s="662"/>
      <c r="K541" s="21">
        <f t="shared" si="91"/>
        <v>1</v>
      </c>
      <c r="L541" s="662"/>
      <c r="M541" s="21">
        <f t="shared" si="92"/>
        <v>1</v>
      </c>
      <c r="N541" s="662"/>
      <c r="O541" s="21">
        <f t="shared" si="93"/>
        <v>1</v>
      </c>
      <c r="P541" s="662">
        <v>-2</v>
      </c>
      <c r="Q541" s="21">
        <f t="shared" si="94"/>
        <v>0.95</v>
      </c>
      <c r="R541" s="659">
        <f t="shared" ca="1" si="95"/>
        <v>4429</v>
      </c>
      <c r="S541" s="316">
        <f t="shared" ca="1" si="96"/>
        <v>18</v>
      </c>
      <c r="T541" s="720" t="str">
        <f>商办车库!H650</f>
        <v>车位</v>
      </c>
    </row>
    <row r="542" spans="1:20">
      <c r="A542" s="3539" t="str">
        <f>商办车库!E651</f>
        <v>B2164</v>
      </c>
      <c r="B542" s="54">
        <f>商办车库!F651</f>
        <v>40.43</v>
      </c>
      <c r="C542" s="21">
        <f t="shared" ref="C542:C605" si="97">IF(B542="",1,(LOOKUP(B542,$3:$3,$4:$4)-LOOKUP($B$24,$3:$3,$4:$4)+100)/100)</f>
        <v>1</v>
      </c>
      <c r="D542" s="662"/>
      <c r="E542" s="21">
        <f t="shared" ref="E542:E605" si="98">(SUMIF($5:$5,D542,$6:$6)-SUMIF($5:$5,$D$24,$6:$6)+100)/100</f>
        <v>1</v>
      </c>
      <c r="F542" s="662"/>
      <c r="G542" s="21">
        <f t="shared" ref="G542:G605" si="99">(SUMIF($7:$7,F542,$8:$8)-SUMIF($7:$7,$F$24,$8:$8)+100)/100</f>
        <v>1</v>
      </c>
      <c r="H542" s="662"/>
      <c r="I542" s="21">
        <f t="shared" ref="I542:I605" si="100">(SUMIF($9:$9,H542,$10:$10)-SUMIF($9:$9,$H$24,$10:$10)+100)/100</f>
        <v>1</v>
      </c>
      <c r="J542" s="662"/>
      <c r="K542" s="21">
        <f t="shared" ref="K542:K605" si="101">(SUMIF($11:$11,J542,$12:$12)-SUMIF($11:$11,$J$24,$12:$12)+100)/100</f>
        <v>1</v>
      </c>
      <c r="L542" s="662"/>
      <c r="M542" s="21">
        <f t="shared" ref="M542:M605" si="102">(SUMIF($13:$13,L542,$14:$14)-SUMIF($13:$13,$L$24,$14:$14)+100)/100</f>
        <v>1</v>
      </c>
      <c r="N542" s="662"/>
      <c r="O542" s="21">
        <f t="shared" ref="O542:O605" si="103">(SUMIF($15:$15,N542,$16:$16)-SUMIF($15:$15,$N$24,$16:$16)+100)/100</f>
        <v>1</v>
      </c>
      <c r="P542" s="662">
        <v>-2</v>
      </c>
      <c r="Q542" s="21">
        <f t="shared" ref="Q542:Q605" si="104">(SUMIF($17:$17,P542,$18:$18)-SUMIF($17:$17,$P$24,$18:$18)+100)/100</f>
        <v>0.95</v>
      </c>
      <c r="R542" s="659">
        <f t="shared" ref="R542:R605" ca="1" si="105">IF(B542="",0,ROUND($R$24*C542*E542*G542*I542*K542*M542*O542*Q542,0))</f>
        <v>4429</v>
      </c>
      <c r="S542" s="316">
        <f t="shared" ref="S542:S605" ca="1" si="106">ROUND(R542*B542/10000,0)</f>
        <v>18</v>
      </c>
      <c r="T542" s="720" t="str">
        <f>商办车库!H651</f>
        <v>车位</v>
      </c>
    </row>
    <row r="543" spans="1:20">
      <c r="A543" s="3539" t="str">
        <f>商办车库!E652</f>
        <v>B2165</v>
      </c>
      <c r="B543" s="54">
        <f>商办车库!F652</f>
        <v>40.43</v>
      </c>
      <c r="C543" s="21">
        <f t="shared" si="97"/>
        <v>1</v>
      </c>
      <c r="D543" s="662"/>
      <c r="E543" s="21">
        <f t="shared" si="98"/>
        <v>1</v>
      </c>
      <c r="F543" s="662"/>
      <c r="G543" s="21">
        <f t="shared" si="99"/>
        <v>1</v>
      </c>
      <c r="H543" s="662"/>
      <c r="I543" s="21">
        <f t="shared" si="100"/>
        <v>1</v>
      </c>
      <c r="J543" s="662"/>
      <c r="K543" s="21">
        <f t="shared" si="101"/>
        <v>1</v>
      </c>
      <c r="L543" s="662"/>
      <c r="M543" s="21">
        <f t="shared" si="102"/>
        <v>1</v>
      </c>
      <c r="N543" s="662"/>
      <c r="O543" s="21">
        <f t="shared" si="103"/>
        <v>1</v>
      </c>
      <c r="P543" s="662">
        <v>-2</v>
      </c>
      <c r="Q543" s="21">
        <f t="shared" si="104"/>
        <v>0.95</v>
      </c>
      <c r="R543" s="659">
        <f t="shared" ca="1" si="105"/>
        <v>4429</v>
      </c>
      <c r="S543" s="316">
        <f t="shared" ca="1" si="106"/>
        <v>18</v>
      </c>
      <c r="T543" s="720" t="str">
        <f>商办车库!H652</f>
        <v>车位</v>
      </c>
    </row>
    <row r="544" spans="1:20">
      <c r="A544" s="3539" t="str">
        <f>商办车库!E653</f>
        <v>B2166</v>
      </c>
      <c r="B544" s="54">
        <f>商办车库!F653</f>
        <v>40.43</v>
      </c>
      <c r="C544" s="21">
        <f t="shared" si="97"/>
        <v>1</v>
      </c>
      <c r="D544" s="662"/>
      <c r="E544" s="21">
        <f t="shared" si="98"/>
        <v>1</v>
      </c>
      <c r="F544" s="662"/>
      <c r="G544" s="21">
        <f t="shared" si="99"/>
        <v>1</v>
      </c>
      <c r="H544" s="662"/>
      <c r="I544" s="21">
        <f t="shared" si="100"/>
        <v>1</v>
      </c>
      <c r="J544" s="662"/>
      <c r="K544" s="21">
        <f t="shared" si="101"/>
        <v>1</v>
      </c>
      <c r="L544" s="662"/>
      <c r="M544" s="21">
        <f t="shared" si="102"/>
        <v>1</v>
      </c>
      <c r="N544" s="662"/>
      <c r="O544" s="21">
        <f t="shared" si="103"/>
        <v>1</v>
      </c>
      <c r="P544" s="662">
        <v>-2</v>
      </c>
      <c r="Q544" s="21">
        <f t="shared" si="104"/>
        <v>0.95</v>
      </c>
      <c r="R544" s="659">
        <f t="shared" ca="1" si="105"/>
        <v>4429</v>
      </c>
      <c r="S544" s="316">
        <f t="shared" ca="1" si="106"/>
        <v>18</v>
      </c>
      <c r="T544" s="720" t="str">
        <f>商办车库!H653</f>
        <v>车位</v>
      </c>
    </row>
    <row r="545" spans="1:20">
      <c r="A545" s="3539" t="str">
        <f>商办车库!E654</f>
        <v>B2167</v>
      </c>
      <c r="B545" s="54">
        <f>商办车库!F654</f>
        <v>40.43</v>
      </c>
      <c r="C545" s="21">
        <f t="shared" si="97"/>
        <v>1</v>
      </c>
      <c r="D545" s="662"/>
      <c r="E545" s="21">
        <f t="shared" si="98"/>
        <v>1</v>
      </c>
      <c r="F545" s="662"/>
      <c r="G545" s="21">
        <f t="shared" si="99"/>
        <v>1</v>
      </c>
      <c r="H545" s="662"/>
      <c r="I545" s="21">
        <f t="shared" si="100"/>
        <v>1</v>
      </c>
      <c r="J545" s="662"/>
      <c r="K545" s="21">
        <f t="shared" si="101"/>
        <v>1</v>
      </c>
      <c r="L545" s="662"/>
      <c r="M545" s="21">
        <f t="shared" si="102"/>
        <v>1</v>
      </c>
      <c r="N545" s="662"/>
      <c r="O545" s="21">
        <f t="shared" si="103"/>
        <v>1</v>
      </c>
      <c r="P545" s="662">
        <v>-2</v>
      </c>
      <c r="Q545" s="21">
        <f t="shared" si="104"/>
        <v>0.95</v>
      </c>
      <c r="R545" s="659">
        <f t="shared" ca="1" si="105"/>
        <v>4429</v>
      </c>
      <c r="S545" s="316">
        <f t="shared" ca="1" si="106"/>
        <v>18</v>
      </c>
      <c r="T545" s="720" t="str">
        <f>商办车库!H654</f>
        <v>车位</v>
      </c>
    </row>
    <row r="546" spans="1:20">
      <c r="A546" s="3539" t="str">
        <f>商办车库!E655</f>
        <v>B2168</v>
      </c>
      <c r="B546" s="54">
        <f>商办车库!F655</f>
        <v>40.43</v>
      </c>
      <c r="C546" s="21">
        <f t="shared" si="97"/>
        <v>1</v>
      </c>
      <c r="D546" s="662"/>
      <c r="E546" s="21">
        <f t="shared" si="98"/>
        <v>1</v>
      </c>
      <c r="F546" s="662"/>
      <c r="G546" s="21">
        <f t="shared" si="99"/>
        <v>1</v>
      </c>
      <c r="H546" s="662"/>
      <c r="I546" s="21">
        <f t="shared" si="100"/>
        <v>1</v>
      </c>
      <c r="J546" s="662"/>
      <c r="K546" s="21">
        <f t="shared" si="101"/>
        <v>1</v>
      </c>
      <c r="L546" s="662"/>
      <c r="M546" s="21">
        <f t="shared" si="102"/>
        <v>1</v>
      </c>
      <c r="N546" s="662"/>
      <c r="O546" s="21">
        <f t="shared" si="103"/>
        <v>1</v>
      </c>
      <c r="P546" s="662">
        <v>-2</v>
      </c>
      <c r="Q546" s="21">
        <f t="shared" si="104"/>
        <v>0.95</v>
      </c>
      <c r="R546" s="659">
        <f t="shared" ca="1" si="105"/>
        <v>4429</v>
      </c>
      <c r="S546" s="316">
        <f t="shared" ca="1" si="106"/>
        <v>18</v>
      </c>
      <c r="T546" s="720" t="str">
        <f>商办车库!H655</f>
        <v>车位</v>
      </c>
    </row>
    <row r="547" spans="1:20">
      <c r="A547" s="3539" t="str">
        <f>商办车库!E656</f>
        <v>B2169</v>
      </c>
      <c r="B547" s="54">
        <f>商办车库!F656</f>
        <v>40.43</v>
      </c>
      <c r="C547" s="21">
        <f t="shared" si="97"/>
        <v>1</v>
      </c>
      <c r="D547" s="662"/>
      <c r="E547" s="21">
        <f t="shared" si="98"/>
        <v>1</v>
      </c>
      <c r="F547" s="662"/>
      <c r="G547" s="21">
        <f t="shared" si="99"/>
        <v>1</v>
      </c>
      <c r="H547" s="662"/>
      <c r="I547" s="21">
        <f t="shared" si="100"/>
        <v>1</v>
      </c>
      <c r="J547" s="662"/>
      <c r="K547" s="21">
        <f t="shared" si="101"/>
        <v>1</v>
      </c>
      <c r="L547" s="662"/>
      <c r="M547" s="21">
        <f t="shared" si="102"/>
        <v>1</v>
      </c>
      <c r="N547" s="662"/>
      <c r="O547" s="21">
        <f t="shared" si="103"/>
        <v>1</v>
      </c>
      <c r="P547" s="662">
        <v>-2</v>
      </c>
      <c r="Q547" s="21">
        <f t="shared" si="104"/>
        <v>0.95</v>
      </c>
      <c r="R547" s="659">
        <f t="shared" ca="1" si="105"/>
        <v>4429</v>
      </c>
      <c r="S547" s="316">
        <f t="shared" ca="1" si="106"/>
        <v>18</v>
      </c>
      <c r="T547" s="720" t="str">
        <f>商办车库!H656</f>
        <v>车位</v>
      </c>
    </row>
    <row r="548" spans="1:20">
      <c r="A548" s="3539" t="str">
        <f>商办车库!E657</f>
        <v>B2170</v>
      </c>
      <c r="B548" s="54">
        <f>商办车库!F657</f>
        <v>40.43</v>
      </c>
      <c r="C548" s="21">
        <f t="shared" si="97"/>
        <v>1</v>
      </c>
      <c r="D548" s="662"/>
      <c r="E548" s="21">
        <f t="shared" si="98"/>
        <v>1</v>
      </c>
      <c r="F548" s="662"/>
      <c r="G548" s="21">
        <f t="shared" si="99"/>
        <v>1</v>
      </c>
      <c r="H548" s="662"/>
      <c r="I548" s="21">
        <f t="shared" si="100"/>
        <v>1</v>
      </c>
      <c r="J548" s="662"/>
      <c r="K548" s="21">
        <f t="shared" si="101"/>
        <v>1</v>
      </c>
      <c r="L548" s="662"/>
      <c r="M548" s="21">
        <f t="shared" si="102"/>
        <v>1</v>
      </c>
      <c r="N548" s="662"/>
      <c r="O548" s="21">
        <f t="shared" si="103"/>
        <v>1</v>
      </c>
      <c r="P548" s="662">
        <v>-2</v>
      </c>
      <c r="Q548" s="21">
        <f t="shared" si="104"/>
        <v>0.95</v>
      </c>
      <c r="R548" s="659">
        <f t="shared" ca="1" si="105"/>
        <v>4429</v>
      </c>
      <c r="S548" s="316">
        <f t="shared" ca="1" si="106"/>
        <v>18</v>
      </c>
      <c r="T548" s="720" t="str">
        <f>商办车库!H657</f>
        <v>车位</v>
      </c>
    </row>
    <row r="549" spans="1:20">
      <c r="A549" s="3539" t="str">
        <f>商办车库!E658</f>
        <v>B2171</v>
      </c>
      <c r="B549" s="54">
        <f>商办车库!F658</f>
        <v>40.43</v>
      </c>
      <c r="C549" s="21">
        <f t="shared" si="97"/>
        <v>1</v>
      </c>
      <c r="D549" s="662"/>
      <c r="E549" s="21">
        <f t="shared" si="98"/>
        <v>1</v>
      </c>
      <c r="F549" s="662"/>
      <c r="G549" s="21">
        <f t="shared" si="99"/>
        <v>1</v>
      </c>
      <c r="H549" s="662"/>
      <c r="I549" s="21">
        <f t="shared" si="100"/>
        <v>1</v>
      </c>
      <c r="J549" s="662"/>
      <c r="K549" s="21">
        <f t="shared" si="101"/>
        <v>1</v>
      </c>
      <c r="L549" s="662"/>
      <c r="M549" s="21">
        <f t="shared" si="102"/>
        <v>1</v>
      </c>
      <c r="N549" s="662"/>
      <c r="O549" s="21">
        <f t="shared" si="103"/>
        <v>1</v>
      </c>
      <c r="P549" s="662">
        <v>-2</v>
      </c>
      <c r="Q549" s="21">
        <f t="shared" si="104"/>
        <v>0.95</v>
      </c>
      <c r="R549" s="659">
        <f t="shared" ca="1" si="105"/>
        <v>4429</v>
      </c>
      <c r="S549" s="316">
        <f t="shared" ca="1" si="106"/>
        <v>18</v>
      </c>
      <c r="T549" s="720" t="str">
        <f>商办车库!H658</f>
        <v>车位</v>
      </c>
    </row>
    <row r="550" spans="1:20">
      <c r="A550" s="3539" t="str">
        <f>商办车库!E659</f>
        <v>B2172</v>
      </c>
      <c r="B550" s="54">
        <f>商办车库!F659</f>
        <v>40.43</v>
      </c>
      <c r="C550" s="21">
        <f t="shared" si="97"/>
        <v>1</v>
      </c>
      <c r="D550" s="662"/>
      <c r="E550" s="21">
        <f t="shared" si="98"/>
        <v>1</v>
      </c>
      <c r="F550" s="662"/>
      <c r="G550" s="21">
        <f t="shared" si="99"/>
        <v>1</v>
      </c>
      <c r="H550" s="662"/>
      <c r="I550" s="21">
        <f t="shared" si="100"/>
        <v>1</v>
      </c>
      <c r="J550" s="662"/>
      <c r="K550" s="21">
        <f t="shared" si="101"/>
        <v>1</v>
      </c>
      <c r="L550" s="662"/>
      <c r="M550" s="21">
        <f t="shared" si="102"/>
        <v>1</v>
      </c>
      <c r="N550" s="662"/>
      <c r="O550" s="21">
        <f t="shared" si="103"/>
        <v>1</v>
      </c>
      <c r="P550" s="662">
        <v>-2</v>
      </c>
      <c r="Q550" s="21">
        <f t="shared" si="104"/>
        <v>0.95</v>
      </c>
      <c r="R550" s="659">
        <f t="shared" ca="1" si="105"/>
        <v>4429</v>
      </c>
      <c r="S550" s="316">
        <f t="shared" ca="1" si="106"/>
        <v>18</v>
      </c>
      <c r="T550" s="720" t="str">
        <f>商办车库!H659</f>
        <v>车位</v>
      </c>
    </row>
    <row r="551" spans="1:20">
      <c r="A551" s="3539" t="str">
        <f>商办车库!E660</f>
        <v>B2173</v>
      </c>
      <c r="B551" s="54">
        <f>商办车库!F660</f>
        <v>40.43</v>
      </c>
      <c r="C551" s="21">
        <f t="shared" si="97"/>
        <v>1</v>
      </c>
      <c r="D551" s="662"/>
      <c r="E551" s="21">
        <f t="shared" si="98"/>
        <v>1</v>
      </c>
      <c r="F551" s="662"/>
      <c r="G551" s="21">
        <f t="shared" si="99"/>
        <v>1</v>
      </c>
      <c r="H551" s="662"/>
      <c r="I551" s="21">
        <f t="shared" si="100"/>
        <v>1</v>
      </c>
      <c r="J551" s="662"/>
      <c r="K551" s="21">
        <f t="shared" si="101"/>
        <v>1</v>
      </c>
      <c r="L551" s="662"/>
      <c r="M551" s="21">
        <f t="shared" si="102"/>
        <v>1</v>
      </c>
      <c r="N551" s="662"/>
      <c r="O551" s="21">
        <f t="shared" si="103"/>
        <v>1</v>
      </c>
      <c r="P551" s="662">
        <v>-2</v>
      </c>
      <c r="Q551" s="21">
        <f t="shared" si="104"/>
        <v>0.95</v>
      </c>
      <c r="R551" s="659">
        <f t="shared" ca="1" si="105"/>
        <v>4429</v>
      </c>
      <c r="S551" s="316">
        <f t="shared" ca="1" si="106"/>
        <v>18</v>
      </c>
      <c r="T551" s="720" t="str">
        <f>商办车库!H660</f>
        <v>车位</v>
      </c>
    </row>
    <row r="552" spans="1:20">
      <c r="A552" s="3539" t="str">
        <f>商办车库!E661</f>
        <v>B2174</v>
      </c>
      <c r="B552" s="54">
        <f>商办车库!F661</f>
        <v>40.43</v>
      </c>
      <c r="C552" s="21">
        <f t="shared" si="97"/>
        <v>1</v>
      </c>
      <c r="D552" s="662"/>
      <c r="E552" s="21">
        <f t="shared" si="98"/>
        <v>1</v>
      </c>
      <c r="F552" s="662"/>
      <c r="G552" s="21">
        <f t="shared" si="99"/>
        <v>1</v>
      </c>
      <c r="H552" s="662"/>
      <c r="I552" s="21">
        <f t="shared" si="100"/>
        <v>1</v>
      </c>
      <c r="J552" s="662"/>
      <c r="K552" s="21">
        <f t="shared" si="101"/>
        <v>1</v>
      </c>
      <c r="L552" s="662"/>
      <c r="M552" s="21">
        <f t="shared" si="102"/>
        <v>1</v>
      </c>
      <c r="N552" s="662"/>
      <c r="O552" s="21">
        <f t="shared" si="103"/>
        <v>1</v>
      </c>
      <c r="P552" s="662">
        <v>-2</v>
      </c>
      <c r="Q552" s="21">
        <f t="shared" si="104"/>
        <v>0.95</v>
      </c>
      <c r="R552" s="659">
        <f t="shared" ca="1" si="105"/>
        <v>4429</v>
      </c>
      <c r="S552" s="316">
        <f t="shared" ca="1" si="106"/>
        <v>18</v>
      </c>
      <c r="T552" s="720" t="str">
        <f>商办车库!H661</f>
        <v>车位</v>
      </c>
    </row>
    <row r="553" spans="1:20">
      <c r="A553" s="3539" t="str">
        <f>商办车库!E662</f>
        <v>B2175</v>
      </c>
      <c r="B553" s="54">
        <f>商办车库!F662</f>
        <v>40.43</v>
      </c>
      <c r="C553" s="21">
        <f t="shared" si="97"/>
        <v>1</v>
      </c>
      <c r="D553" s="662"/>
      <c r="E553" s="21">
        <f t="shared" si="98"/>
        <v>1</v>
      </c>
      <c r="F553" s="662"/>
      <c r="G553" s="21">
        <f t="shared" si="99"/>
        <v>1</v>
      </c>
      <c r="H553" s="662"/>
      <c r="I553" s="21">
        <f t="shared" si="100"/>
        <v>1</v>
      </c>
      <c r="J553" s="662"/>
      <c r="K553" s="21">
        <f t="shared" si="101"/>
        <v>1</v>
      </c>
      <c r="L553" s="662"/>
      <c r="M553" s="21">
        <f t="shared" si="102"/>
        <v>1</v>
      </c>
      <c r="N553" s="662"/>
      <c r="O553" s="21">
        <f t="shared" si="103"/>
        <v>1</v>
      </c>
      <c r="P553" s="662">
        <v>-2</v>
      </c>
      <c r="Q553" s="21">
        <f t="shared" si="104"/>
        <v>0.95</v>
      </c>
      <c r="R553" s="659">
        <f t="shared" ca="1" si="105"/>
        <v>4429</v>
      </c>
      <c r="S553" s="316">
        <f t="shared" ca="1" si="106"/>
        <v>18</v>
      </c>
      <c r="T553" s="720" t="str">
        <f>商办车库!H662</f>
        <v>车位</v>
      </c>
    </row>
    <row r="554" spans="1:20">
      <c r="A554" s="3539" t="str">
        <f>商办车库!E663</f>
        <v>B2176</v>
      </c>
      <c r="B554" s="54">
        <f>商办车库!F663</f>
        <v>40.43</v>
      </c>
      <c r="C554" s="21">
        <f t="shared" si="97"/>
        <v>1</v>
      </c>
      <c r="D554" s="662"/>
      <c r="E554" s="21">
        <f t="shared" si="98"/>
        <v>1</v>
      </c>
      <c r="F554" s="662"/>
      <c r="G554" s="21">
        <f t="shared" si="99"/>
        <v>1</v>
      </c>
      <c r="H554" s="662"/>
      <c r="I554" s="21">
        <f t="shared" si="100"/>
        <v>1</v>
      </c>
      <c r="J554" s="662"/>
      <c r="K554" s="21">
        <f t="shared" si="101"/>
        <v>1</v>
      </c>
      <c r="L554" s="662"/>
      <c r="M554" s="21">
        <f t="shared" si="102"/>
        <v>1</v>
      </c>
      <c r="N554" s="662"/>
      <c r="O554" s="21">
        <f t="shared" si="103"/>
        <v>1</v>
      </c>
      <c r="P554" s="662">
        <v>-2</v>
      </c>
      <c r="Q554" s="21">
        <f t="shared" si="104"/>
        <v>0.95</v>
      </c>
      <c r="R554" s="659">
        <f t="shared" ca="1" si="105"/>
        <v>4429</v>
      </c>
      <c r="S554" s="316">
        <f t="shared" ca="1" si="106"/>
        <v>18</v>
      </c>
      <c r="T554" s="720" t="str">
        <f>商办车库!H663</f>
        <v>车位</v>
      </c>
    </row>
    <row r="555" spans="1:20">
      <c r="A555" s="3539" t="str">
        <f>商办车库!E664</f>
        <v>B2177</v>
      </c>
      <c r="B555" s="54">
        <f>商办车库!F664</f>
        <v>40.43</v>
      </c>
      <c r="C555" s="21">
        <f t="shared" si="97"/>
        <v>1</v>
      </c>
      <c r="D555" s="662"/>
      <c r="E555" s="21">
        <f t="shared" si="98"/>
        <v>1</v>
      </c>
      <c r="F555" s="662"/>
      <c r="G555" s="21">
        <f t="shared" si="99"/>
        <v>1</v>
      </c>
      <c r="H555" s="662"/>
      <c r="I555" s="21">
        <f t="shared" si="100"/>
        <v>1</v>
      </c>
      <c r="J555" s="662"/>
      <c r="K555" s="21">
        <f t="shared" si="101"/>
        <v>1</v>
      </c>
      <c r="L555" s="662"/>
      <c r="M555" s="21">
        <f t="shared" si="102"/>
        <v>1</v>
      </c>
      <c r="N555" s="662"/>
      <c r="O555" s="21">
        <f t="shared" si="103"/>
        <v>1</v>
      </c>
      <c r="P555" s="662">
        <v>-2</v>
      </c>
      <c r="Q555" s="21">
        <f t="shared" si="104"/>
        <v>0.95</v>
      </c>
      <c r="R555" s="659">
        <f t="shared" ca="1" si="105"/>
        <v>4429</v>
      </c>
      <c r="S555" s="316">
        <f t="shared" ca="1" si="106"/>
        <v>18</v>
      </c>
      <c r="T555" s="720" t="str">
        <f>商办车库!H664</f>
        <v>车位</v>
      </c>
    </row>
    <row r="556" spans="1:20">
      <c r="A556" s="3539" t="str">
        <f>商办车库!E665</f>
        <v>B2178</v>
      </c>
      <c r="B556" s="54">
        <f>商办车库!F665</f>
        <v>40.43</v>
      </c>
      <c r="C556" s="21">
        <f t="shared" si="97"/>
        <v>1</v>
      </c>
      <c r="D556" s="662"/>
      <c r="E556" s="21">
        <f t="shared" si="98"/>
        <v>1</v>
      </c>
      <c r="F556" s="662"/>
      <c r="G556" s="21">
        <f t="shared" si="99"/>
        <v>1</v>
      </c>
      <c r="H556" s="662"/>
      <c r="I556" s="21">
        <f t="shared" si="100"/>
        <v>1</v>
      </c>
      <c r="J556" s="662"/>
      <c r="K556" s="21">
        <f t="shared" si="101"/>
        <v>1</v>
      </c>
      <c r="L556" s="662"/>
      <c r="M556" s="21">
        <f t="shared" si="102"/>
        <v>1</v>
      </c>
      <c r="N556" s="662"/>
      <c r="O556" s="21">
        <f t="shared" si="103"/>
        <v>1</v>
      </c>
      <c r="P556" s="662">
        <v>-2</v>
      </c>
      <c r="Q556" s="21">
        <f t="shared" si="104"/>
        <v>0.95</v>
      </c>
      <c r="R556" s="659">
        <f t="shared" ca="1" si="105"/>
        <v>4429</v>
      </c>
      <c r="S556" s="316">
        <f t="shared" ca="1" si="106"/>
        <v>18</v>
      </c>
      <c r="T556" s="720" t="str">
        <f>商办车库!H665</f>
        <v>车位</v>
      </c>
    </row>
    <row r="557" spans="1:20">
      <c r="A557" s="3539" t="str">
        <f>商办车库!E666</f>
        <v>B2179</v>
      </c>
      <c r="B557" s="54">
        <f>商办车库!F666</f>
        <v>40.43</v>
      </c>
      <c r="C557" s="21">
        <f t="shared" si="97"/>
        <v>1</v>
      </c>
      <c r="D557" s="662"/>
      <c r="E557" s="21">
        <f t="shared" si="98"/>
        <v>1</v>
      </c>
      <c r="F557" s="662"/>
      <c r="G557" s="21">
        <f t="shared" si="99"/>
        <v>1</v>
      </c>
      <c r="H557" s="662"/>
      <c r="I557" s="21">
        <f t="shared" si="100"/>
        <v>1</v>
      </c>
      <c r="J557" s="662"/>
      <c r="K557" s="21">
        <f t="shared" si="101"/>
        <v>1</v>
      </c>
      <c r="L557" s="662"/>
      <c r="M557" s="21">
        <f t="shared" si="102"/>
        <v>1</v>
      </c>
      <c r="N557" s="662"/>
      <c r="O557" s="21">
        <f t="shared" si="103"/>
        <v>1</v>
      </c>
      <c r="P557" s="662">
        <v>-2</v>
      </c>
      <c r="Q557" s="21">
        <f t="shared" si="104"/>
        <v>0.95</v>
      </c>
      <c r="R557" s="659">
        <f t="shared" ca="1" si="105"/>
        <v>4429</v>
      </c>
      <c r="S557" s="316">
        <f t="shared" ca="1" si="106"/>
        <v>18</v>
      </c>
      <c r="T557" s="720" t="str">
        <f>商办车库!H666</f>
        <v>车位</v>
      </c>
    </row>
    <row r="558" spans="1:20">
      <c r="A558" s="3539" t="str">
        <f>商办车库!E667</f>
        <v>B2180</v>
      </c>
      <c r="B558" s="54">
        <f>商办车库!F667</f>
        <v>40.43</v>
      </c>
      <c r="C558" s="21">
        <f t="shared" si="97"/>
        <v>1</v>
      </c>
      <c r="D558" s="662"/>
      <c r="E558" s="21">
        <f t="shared" si="98"/>
        <v>1</v>
      </c>
      <c r="F558" s="662"/>
      <c r="G558" s="21">
        <f t="shared" si="99"/>
        <v>1</v>
      </c>
      <c r="H558" s="662"/>
      <c r="I558" s="21">
        <f t="shared" si="100"/>
        <v>1</v>
      </c>
      <c r="J558" s="662"/>
      <c r="K558" s="21">
        <f t="shared" si="101"/>
        <v>1</v>
      </c>
      <c r="L558" s="662"/>
      <c r="M558" s="21">
        <f t="shared" si="102"/>
        <v>1</v>
      </c>
      <c r="N558" s="662"/>
      <c r="O558" s="21">
        <f t="shared" si="103"/>
        <v>1</v>
      </c>
      <c r="P558" s="662">
        <v>-2</v>
      </c>
      <c r="Q558" s="21">
        <f t="shared" si="104"/>
        <v>0.95</v>
      </c>
      <c r="R558" s="659">
        <f t="shared" ca="1" si="105"/>
        <v>4429</v>
      </c>
      <c r="S558" s="316">
        <f t="shared" ca="1" si="106"/>
        <v>18</v>
      </c>
      <c r="T558" s="720" t="str">
        <f>商办车库!H667</f>
        <v>车位</v>
      </c>
    </row>
    <row r="559" spans="1:20">
      <c r="A559" s="3539" t="str">
        <f>商办车库!E668</f>
        <v>B2181</v>
      </c>
      <c r="B559" s="54">
        <f>商办车库!F668</f>
        <v>40.43</v>
      </c>
      <c r="C559" s="21">
        <f t="shared" si="97"/>
        <v>1</v>
      </c>
      <c r="D559" s="662"/>
      <c r="E559" s="21">
        <f t="shared" si="98"/>
        <v>1</v>
      </c>
      <c r="F559" s="662"/>
      <c r="G559" s="21">
        <f t="shared" si="99"/>
        <v>1</v>
      </c>
      <c r="H559" s="662"/>
      <c r="I559" s="21">
        <f t="shared" si="100"/>
        <v>1</v>
      </c>
      <c r="J559" s="662"/>
      <c r="K559" s="21">
        <f t="shared" si="101"/>
        <v>1</v>
      </c>
      <c r="L559" s="662"/>
      <c r="M559" s="21">
        <f t="shared" si="102"/>
        <v>1</v>
      </c>
      <c r="N559" s="662"/>
      <c r="O559" s="21">
        <f t="shared" si="103"/>
        <v>1</v>
      </c>
      <c r="P559" s="662">
        <v>-2</v>
      </c>
      <c r="Q559" s="21">
        <f t="shared" si="104"/>
        <v>0.95</v>
      </c>
      <c r="R559" s="659">
        <f t="shared" ca="1" si="105"/>
        <v>4429</v>
      </c>
      <c r="S559" s="316">
        <f t="shared" ca="1" si="106"/>
        <v>18</v>
      </c>
      <c r="T559" s="720" t="str">
        <f>商办车库!H668</f>
        <v>车位</v>
      </c>
    </row>
    <row r="560" spans="1:20">
      <c r="A560" s="3539" t="str">
        <f>商办车库!E669</f>
        <v>B2182</v>
      </c>
      <c r="B560" s="54">
        <f>商办车库!F669</f>
        <v>40.43</v>
      </c>
      <c r="C560" s="21">
        <f t="shared" si="97"/>
        <v>1</v>
      </c>
      <c r="D560" s="662"/>
      <c r="E560" s="21">
        <f t="shared" si="98"/>
        <v>1</v>
      </c>
      <c r="F560" s="662"/>
      <c r="G560" s="21">
        <f t="shared" si="99"/>
        <v>1</v>
      </c>
      <c r="H560" s="662"/>
      <c r="I560" s="21">
        <f t="shared" si="100"/>
        <v>1</v>
      </c>
      <c r="J560" s="662"/>
      <c r="K560" s="21">
        <f t="shared" si="101"/>
        <v>1</v>
      </c>
      <c r="L560" s="662"/>
      <c r="M560" s="21">
        <f t="shared" si="102"/>
        <v>1</v>
      </c>
      <c r="N560" s="662"/>
      <c r="O560" s="21">
        <f t="shared" si="103"/>
        <v>1</v>
      </c>
      <c r="P560" s="662">
        <v>-2</v>
      </c>
      <c r="Q560" s="21">
        <f t="shared" si="104"/>
        <v>0.95</v>
      </c>
      <c r="R560" s="659">
        <f t="shared" ca="1" si="105"/>
        <v>4429</v>
      </c>
      <c r="S560" s="316">
        <f t="shared" ca="1" si="106"/>
        <v>18</v>
      </c>
      <c r="T560" s="720" t="str">
        <f>商办车库!H669</f>
        <v>车位</v>
      </c>
    </row>
    <row r="561" spans="1:20">
      <c r="A561" s="3539" t="str">
        <f>商办车库!E670</f>
        <v>B2183</v>
      </c>
      <c r="B561" s="54">
        <f>商办车库!F670</f>
        <v>40.43</v>
      </c>
      <c r="C561" s="21">
        <f t="shared" si="97"/>
        <v>1</v>
      </c>
      <c r="D561" s="662"/>
      <c r="E561" s="21">
        <f t="shared" si="98"/>
        <v>1</v>
      </c>
      <c r="F561" s="662"/>
      <c r="G561" s="21">
        <f t="shared" si="99"/>
        <v>1</v>
      </c>
      <c r="H561" s="662"/>
      <c r="I561" s="21">
        <f t="shared" si="100"/>
        <v>1</v>
      </c>
      <c r="J561" s="662"/>
      <c r="K561" s="21">
        <f t="shared" si="101"/>
        <v>1</v>
      </c>
      <c r="L561" s="662"/>
      <c r="M561" s="21">
        <f t="shared" si="102"/>
        <v>1</v>
      </c>
      <c r="N561" s="662"/>
      <c r="O561" s="21">
        <f t="shared" si="103"/>
        <v>1</v>
      </c>
      <c r="P561" s="662">
        <v>-2</v>
      </c>
      <c r="Q561" s="21">
        <f t="shared" si="104"/>
        <v>0.95</v>
      </c>
      <c r="R561" s="659">
        <f t="shared" ca="1" si="105"/>
        <v>4429</v>
      </c>
      <c r="S561" s="316">
        <f t="shared" ca="1" si="106"/>
        <v>18</v>
      </c>
      <c r="T561" s="720" t="str">
        <f>商办车库!H670</f>
        <v>车位</v>
      </c>
    </row>
    <row r="562" spans="1:20">
      <c r="A562" s="3539" t="str">
        <f>商办车库!E671</f>
        <v>B2184</v>
      </c>
      <c r="B562" s="54">
        <f>商办车库!F671</f>
        <v>40.43</v>
      </c>
      <c r="C562" s="21">
        <f t="shared" si="97"/>
        <v>1</v>
      </c>
      <c r="D562" s="662"/>
      <c r="E562" s="21">
        <f t="shared" si="98"/>
        <v>1</v>
      </c>
      <c r="F562" s="662"/>
      <c r="G562" s="21">
        <f t="shared" si="99"/>
        <v>1</v>
      </c>
      <c r="H562" s="662"/>
      <c r="I562" s="21">
        <f t="shared" si="100"/>
        <v>1</v>
      </c>
      <c r="J562" s="662"/>
      <c r="K562" s="21">
        <f t="shared" si="101"/>
        <v>1</v>
      </c>
      <c r="L562" s="662"/>
      <c r="M562" s="21">
        <f t="shared" si="102"/>
        <v>1</v>
      </c>
      <c r="N562" s="662"/>
      <c r="O562" s="21">
        <f t="shared" si="103"/>
        <v>1</v>
      </c>
      <c r="P562" s="662">
        <v>-2</v>
      </c>
      <c r="Q562" s="21">
        <f t="shared" si="104"/>
        <v>0.95</v>
      </c>
      <c r="R562" s="659">
        <f t="shared" ca="1" si="105"/>
        <v>4429</v>
      </c>
      <c r="S562" s="316">
        <f t="shared" ca="1" si="106"/>
        <v>18</v>
      </c>
      <c r="T562" s="720" t="str">
        <f>商办车库!H671</f>
        <v>车位</v>
      </c>
    </row>
    <row r="563" spans="1:20">
      <c r="A563" s="3539" t="str">
        <f>商办车库!E672</f>
        <v>B2185</v>
      </c>
      <c r="B563" s="54">
        <f>商办车库!F672</f>
        <v>40.43</v>
      </c>
      <c r="C563" s="21">
        <f t="shared" si="97"/>
        <v>1</v>
      </c>
      <c r="D563" s="662"/>
      <c r="E563" s="21">
        <f t="shared" si="98"/>
        <v>1</v>
      </c>
      <c r="F563" s="662"/>
      <c r="G563" s="21">
        <f t="shared" si="99"/>
        <v>1</v>
      </c>
      <c r="H563" s="662"/>
      <c r="I563" s="21">
        <f t="shared" si="100"/>
        <v>1</v>
      </c>
      <c r="J563" s="662"/>
      <c r="K563" s="21">
        <f t="shared" si="101"/>
        <v>1</v>
      </c>
      <c r="L563" s="662"/>
      <c r="M563" s="21">
        <f t="shared" si="102"/>
        <v>1</v>
      </c>
      <c r="N563" s="662"/>
      <c r="O563" s="21">
        <f t="shared" si="103"/>
        <v>1</v>
      </c>
      <c r="P563" s="662">
        <v>-2</v>
      </c>
      <c r="Q563" s="21">
        <f t="shared" si="104"/>
        <v>0.95</v>
      </c>
      <c r="R563" s="659">
        <f t="shared" ca="1" si="105"/>
        <v>4429</v>
      </c>
      <c r="S563" s="316">
        <f t="shared" ca="1" si="106"/>
        <v>18</v>
      </c>
      <c r="T563" s="720" t="str">
        <f>商办车库!H672</f>
        <v>车位</v>
      </c>
    </row>
    <row r="564" spans="1:20">
      <c r="A564" s="3539" t="str">
        <f>商办车库!E673</f>
        <v>B2186</v>
      </c>
      <c r="B564" s="54">
        <f>商办车库!F673</f>
        <v>40.43</v>
      </c>
      <c r="C564" s="21">
        <f t="shared" si="97"/>
        <v>1</v>
      </c>
      <c r="D564" s="662"/>
      <c r="E564" s="21">
        <f t="shared" si="98"/>
        <v>1</v>
      </c>
      <c r="F564" s="662"/>
      <c r="G564" s="21">
        <f t="shared" si="99"/>
        <v>1</v>
      </c>
      <c r="H564" s="662"/>
      <c r="I564" s="21">
        <f t="shared" si="100"/>
        <v>1</v>
      </c>
      <c r="J564" s="662"/>
      <c r="K564" s="21">
        <f t="shared" si="101"/>
        <v>1</v>
      </c>
      <c r="L564" s="662"/>
      <c r="M564" s="21">
        <f t="shared" si="102"/>
        <v>1</v>
      </c>
      <c r="N564" s="662"/>
      <c r="O564" s="21">
        <f t="shared" si="103"/>
        <v>1</v>
      </c>
      <c r="P564" s="662">
        <v>-2</v>
      </c>
      <c r="Q564" s="21">
        <f t="shared" si="104"/>
        <v>0.95</v>
      </c>
      <c r="R564" s="659">
        <f t="shared" ca="1" si="105"/>
        <v>4429</v>
      </c>
      <c r="S564" s="316">
        <f t="shared" ca="1" si="106"/>
        <v>18</v>
      </c>
      <c r="T564" s="720" t="str">
        <f>商办车库!H673</f>
        <v>车位</v>
      </c>
    </row>
    <row r="565" spans="1:20">
      <c r="A565" s="3539" t="str">
        <f>商办车库!E674</f>
        <v>B2187</v>
      </c>
      <c r="B565" s="54">
        <f>商办车库!F674</f>
        <v>40.43</v>
      </c>
      <c r="C565" s="21">
        <f t="shared" si="97"/>
        <v>1</v>
      </c>
      <c r="D565" s="662"/>
      <c r="E565" s="21">
        <f t="shared" si="98"/>
        <v>1</v>
      </c>
      <c r="F565" s="662"/>
      <c r="G565" s="21">
        <f t="shared" si="99"/>
        <v>1</v>
      </c>
      <c r="H565" s="662"/>
      <c r="I565" s="21">
        <f t="shared" si="100"/>
        <v>1</v>
      </c>
      <c r="J565" s="662"/>
      <c r="K565" s="21">
        <f t="shared" si="101"/>
        <v>1</v>
      </c>
      <c r="L565" s="662"/>
      <c r="M565" s="21">
        <f t="shared" si="102"/>
        <v>1</v>
      </c>
      <c r="N565" s="662"/>
      <c r="O565" s="21">
        <f t="shared" si="103"/>
        <v>1</v>
      </c>
      <c r="P565" s="662">
        <v>-2</v>
      </c>
      <c r="Q565" s="21">
        <f t="shared" si="104"/>
        <v>0.95</v>
      </c>
      <c r="R565" s="659">
        <f t="shared" ca="1" si="105"/>
        <v>4429</v>
      </c>
      <c r="S565" s="316">
        <f t="shared" ca="1" si="106"/>
        <v>18</v>
      </c>
      <c r="T565" s="720" t="str">
        <f>商办车库!H674</f>
        <v>车位</v>
      </c>
    </row>
    <row r="566" spans="1:20">
      <c r="A566" s="3539" t="str">
        <f>商办车库!E675</f>
        <v>B2188</v>
      </c>
      <c r="B566" s="54">
        <f>商办车库!F675</f>
        <v>40.43</v>
      </c>
      <c r="C566" s="21">
        <f t="shared" si="97"/>
        <v>1</v>
      </c>
      <c r="D566" s="662"/>
      <c r="E566" s="21">
        <f t="shared" si="98"/>
        <v>1</v>
      </c>
      <c r="F566" s="662"/>
      <c r="G566" s="21">
        <f t="shared" si="99"/>
        <v>1</v>
      </c>
      <c r="H566" s="662"/>
      <c r="I566" s="21">
        <f t="shared" si="100"/>
        <v>1</v>
      </c>
      <c r="J566" s="662"/>
      <c r="K566" s="21">
        <f t="shared" si="101"/>
        <v>1</v>
      </c>
      <c r="L566" s="662"/>
      <c r="M566" s="21">
        <f t="shared" si="102"/>
        <v>1</v>
      </c>
      <c r="N566" s="662"/>
      <c r="O566" s="21">
        <f t="shared" si="103"/>
        <v>1</v>
      </c>
      <c r="P566" s="662">
        <v>-2</v>
      </c>
      <c r="Q566" s="21">
        <f t="shared" si="104"/>
        <v>0.95</v>
      </c>
      <c r="R566" s="659">
        <f t="shared" ca="1" si="105"/>
        <v>4429</v>
      </c>
      <c r="S566" s="316">
        <f t="shared" ca="1" si="106"/>
        <v>18</v>
      </c>
      <c r="T566" s="720" t="str">
        <f>商办车库!H675</f>
        <v>车位</v>
      </c>
    </row>
    <row r="567" spans="1:20">
      <c r="A567" s="3539" t="str">
        <f>商办车库!E676</f>
        <v>B2189</v>
      </c>
      <c r="B567" s="54">
        <f>商办车库!F676</f>
        <v>40.43</v>
      </c>
      <c r="C567" s="21">
        <f t="shared" si="97"/>
        <v>1</v>
      </c>
      <c r="D567" s="662"/>
      <c r="E567" s="21">
        <f t="shared" si="98"/>
        <v>1</v>
      </c>
      <c r="F567" s="662"/>
      <c r="G567" s="21">
        <f t="shared" si="99"/>
        <v>1</v>
      </c>
      <c r="H567" s="662"/>
      <c r="I567" s="21">
        <f t="shared" si="100"/>
        <v>1</v>
      </c>
      <c r="J567" s="662"/>
      <c r="K567" s="21">
        <f t="shared" si="101"/>
        <v>1</v>
      </c>
      <c r="L567" s="662"/>
      <c r="M567" s="21">
        <f t="shared" si="102"/>
        <v>1</v>
      </c>
      <c r="N567" s="662"/>
      <c r="O567" s="21">
        <f t="shared" si="103"/>
        <v>1</v>
      </c>
      <c r="P567" s="662">
        <v>-2</v>
      </c>
      <c r="Q567" s="21">
        <f t="shared" si="104"/>
        <v>0.95</v>
      </c>
      <c r="R567" s="659">
        <f t="shared" ca="1" si="105"/>
        <v>4429</v>
      </c>
      <c r="S567" s="316">
        <f t="shared" ca="1" si="106"/>
        <v>18</v>
      </c>
      <c r="T567" s="720" t="str">
        <f>商办车库!H676</f>
        <v>车位</v>
      </c>
    </row>
    <row r="568" spans="1:20">
      <c r="A568" s="3539" t="str">
        <f>商办车库!E677</f>
        <v>B2190</v>
      </c>
      <c r="B568" s="54">
        <f>商办车库!F677</f>
        <v>40.43</v>
      </c>
      <c r="C568" s="21">
        <f t="shared" si="97"/>
        <v>1</v>
      </c>
      <c r="D568" s="662"/>
      <c r="E568" s="21">
        <f t="shared" si="98"/>
        <v>1</v>
      </c>
      <c r="F568" s="662"/>
      <c r="G568" s="21">
        <f t="shared" si="99"/>
        <v>1</v>
      </c>
      <c r="H568" s="662"/>
      <c r="I568" s="21">
        <f t="shared" si="100"/>
        <v>1</v>
      </c>
      <c r="J568" s="662"/>
      <c r="K568" s="21">
        <f t="shared" si="101"/>
        <v>1</v>
      </c>
      <c r="L568" s="662"/>
      <c r="M568" s="21">
        <f t="shared" si="102"/>
        <v>1</v>
      </c>
      <c r="N568" s="662"/>
      <c r="O568" s="21">
        <f t="shared" si="103"/>
        <v>1</v>
      </c>
      <c r="P568" s="662">
        <v>-2</v>
      </c>
      <c r="Q568" s="21">
        <f t="shared" si="104"/>
        <v>0.95</v>
      </c>
      <c r="R568" s="659">
        <f t="shared" ca="1" si="105"/>
        <v>4429</v>
      </c>
      <c r="S568" s="316">
        <f t="shared" ca="1" si="106"/>
        <v>18</v>
      </c>
      <c r="T568" s="720" t="str">
        <f>商办车库!H677</f>
        <v>车位</v>
      </c>
    </row>
    <row r="569" spans="1:20">
      <c r="A569" s="3539" t="str">
        <f>商办车库!E678</f>
        <v>B2191</v>
      </c>
      <c r="B569" s="54">
        <f>商办车库!F678</f>
        <v>40.43</v>
      </c>
      <c r="C569" s="21">
        <f t="shared" si="97"/>
        <v>1</v>
      </c>
      <c r="D569" s="662"/>
      <c r="E569" s="21">
        <f t="shared" si="98"/>
        <v>1</v>
      </c>
      <c r="F569" s="662"/>
      <c r="G569" s="21">
        <f t="shared" si="99"/>
        <v>1</v>
      </c>
      <c r="H569" s="662"/>
      <c r="I569" s="21">
        <f t="shared" si="100"/>
        <v>1</v>
      </c>
      <c r="J569" s="662"/>
      <c r="K569" s="21">
        <f t="shared" si="101"/>
        <v>1</v>
      </c>
      <c r="L569" s="662"/>
      <c r="M569" s="21">
        <f t="shared" si="102"/>
        <v>1</v>
      </c>
      <c r="N569" s="662"/>
      <c r="O569" s="21">
        <f t="shared" si="103"/>
        <v>1</v>
      </c>
      <c r="P569" s="662">
        <v>-2</v>
      </c>
      <c r="Q569" s="21">
        <f t="shared" si="104"/>
        <v>0.95</v>
      </c>
      <c r="R569" s="659">
        <f t="shared" ca="1" si="105"/>
        <v>4429</v>
      </c>
      <c r="S569" s="316">
        <f t="shared" ca="1" si="106"/>
        <v>18</v>
      </c>
      <c r="T569" s="720" t="str">
        <f>商办车库!H678</f>
        <v>车位</v>
      </c>
    </row>
    <row r="570" spans="1:20">
      <c r="A570" s="3539" t="str">
        <f>商办车库!E679</f>
        <v>B2192</v>
      </c>
      <c r="B570" s="54">
        <f>商办车库!F679</f>
        <v>40.43</v>
      </c>
      <c r="C570" s="21">
        <f t="shared" si="97"/>
        <v>1</v>
      </c>
      <c r="D570" s="662"/>
      <c r="E570" s="21">
        <f t="shared" si="98"/>
        <v>1</v>
      </c>
      <c r="F570" s="662"/>
      <c r="G570" s="21">
        <f t="shared" si="99"/>
        <v>1</v>
      </c>
      <c r="H570" s="662"/>
      <c r="I570" s="21">
        <f t="shared" si="100"/>
        <v>1</v>
      </c>
      <c r="J570" s="662"/>
      <c r="K570" s="21">
        <f t="shared" si="101"/>
        <v>1</v>
      </c>
      <c r="L570" s="662"/>
      <c r="M570" s="21">
        <f t="shared" si="102"/>
        <v>1</v>
      </c>
      <c r="N570" s="662"/>
      <c r="O570" s="21">
        <f t="shared" si="103"/>
        <v>1</v>
      </c>
      <c r="P570" s="662">
        <v>-2</v>
      </c>
      <c r="Q570" s="21">
        <f t="shared" si="104"/>
        <v>0.95</v>
      </c>
      <c r="R570" s="659">
        <f t="shared" ca="1" si="105"/>
        <v>4429</v>
      </c>
      <c r="S570" s="316">
        <f t="shared" ca="1" si="106"/>
        <v>18</v>
      </c>
      <c r="T570" s="720" t="str">
        <f>商办车库!H679</f>
        <v>车位</v>
      </c>
    </row>
    <row r="571" spans="1:20">
      <c r="A571" s="3539" t="str">
        <f>商办车库!E680</f>
        <v>B2193</v>
      </c>
      <c r="B571" s="54">
        <f>商办车库!F680</f>
        <v>40.43</v>
      </c>
      <c r="C571" s="21">
        <f t="shared" si="97"/>
        <v>1</v>
      </c>
      <c r="D571" s="662"/>
      <c r="E571" s="21">
        <f t="shared" si="98"/>
        <v>1</v>
      </c>
      <c r="F571" s="662"/>
      <c r="G571" s="21">
        <f t="shared" si="99"/>
        <v>1</v>
      </c>
      <c r="H571" s="662"/>
      <c r="I571" s="21">
        <f t="shared" si="100"/>
        <v>1</v>
      </c>
      <c r="J571" s="662"/>
      <c r="K571" s="21">
        <f t="shared" si="101"/>
        <v>1</v>
      </c>
      <c r="L571" s="662"/>
      <c r="M571" s="21">
        <f t="shared" si="102"/>
        <v>1</v>
      </c>
      <c r="N571" s="662"/>
      <c r="O571" s="21">
        <f t="shared" si="103"/>
        <v>1</v>
      </c>
      <c r="P571" s="662">
        <v>-2</v>
      </c>
      <c r="Q571" s="21">
        <f t="shared" si="104"/>
        <v>0.95</v>
      </c>
      <c r="R571" s="659">
        <f t="shared" ca="1" si="105"/>
        <v>4429</v>
      </c>
      <c r="S571" s="316">
        <f t="shared" ca="1" si="106"/>
        <v>18</v>
      </c>
      <c r="T571" s="720" t="str">
        <f>商办车库!H680</f>
        <v>车位</v>
      </c>
    </row>
    <row r="572" spans="1:20">
      <c r="A572" s="3539" t="str">
        <f>商办车库!E681</f>
        <v>B2194</v>
      </c>
      <c r="B572" s="54">
        <f>商办车库!F681</f>
        <v>40.43</v>
      </c>
      <c r="C572" s="21">
        <f t="shared" si="97"/>
        <v>1</v>
      </c>
      <c r="D572" s="662"/>
      <c r="E572" s="21">
        <f t="shared" si="98"/>
        <v>1</v>
      </c>
      <c r="F572" s="662"/>
      <c r="G572" s="21">
        <f t="shared" si="99"/>
        <v>1</v>
      </c>
      <c r="H572" s="662"/>
      <c r="I572" s="21">
        <f t="shared" si="100"/>
        <v>1</v>
      </c>
      <c r="J572" s="662"/>
      <c r="K572" s="21">
        <f t="shared" si="101"/>
        <v>1</v>
      </c>
      <c r="L572" s="662"/>
      <c r="M572" s="21">
        <f t="shared" si="102"/>
        <v>1</v>
      </c>
      <c r="N572" s="662"/>
      <c r="O572" s="21">
        <f t="shared" si="103"/>
        <v>1</v>
      </c>
      <c r="P572" s="662">
        <v>-2</v>
      </c>
      <c r="Q572" s="21">
        <f t="shared" si="104"/>
        <v>0.95</v>
      </c>
      <c r="R572" s="659">
        <f t="shared" ca="1" si="105"/>
        <v>4429</v>
      </c>
      <c r="S572" s="316">
        <f t="shared" ca="1" si="106"/>
        <v>18</v>
      </c>
      <c r="T572" s="720" t="str">
        <f>商办车库!H681</f>
        <v>车位</v>
      </c>
    </row>
    <row r="573" spans="1:20">
      <c r="A573" s="3539" t="str">
        <f>商办车库!E682</f>
        <v>B2195</v>
      </c>
      <c r="B573" s="54">
        <f>商办车库!F682</f>
        <v>40.43</v>
      </c>
      <c r="C573" s="21">
        <f t="shared" si="97"/>
        <v>1</v>
      </c>
      <c r="D573" s="662"/>
      <c r="E573" s="21">
        <f t="shared" si="98"/>
        <v>1</v>
      </c>
      <c r="F573" s="662"/>
      <c r="G573" s="21">
        <f t="shared" si="99"/>
        <v>1</v>
      </c>
      <c r="H573" s="662"/>
      <c r="I573" s="21">
        <f t="shared" si="100"/>
        <v>1</v>
      </c>
      <c r="J573" s="662"/>
      <c r="K573" s="21">
        <f t="shared" si="101"/>
        <v>1</v>
      </c>
      <c r="L573" s="662"/>
      <c r="M573" s="21">
        <f t="shared" si="102"/>
        <v>1</v>
      </c>
      <c r="N573" s="662"/>
      <c r="O573" s="21">
        <f t="shared" si="103"/>
        <v>1</v>
      </c>
      <c r="P573" s="662">
        <v>-2</v>
      </c>
      <c r="Q573" s="21">
        <f t="shared" si="104"/>
        <v>0.95</v>
      </c>
      <c r="R573" s="659">
        <f t="shared" ca="1" si="105"/>
        <v>4429</v>
      </c>
      <c r="S573" s="316">
        <f t="shared" ca="1" si="106"/>
        <v>18</v>
      </c>
      <c r="T573" s="720" t="str">
        <f>商办车库!H682</f>
        <v>车位</v>
      </c>
    </row>
    <row r="574" spans="1:20">
      <c r="A574" s="3539" t="str">
        <f>商办车库!E683</f>
        <v>B2196</v>
      </c>
      <c r="B574" s="54">
        <f>商办车库!F683</f>
        <v>40.43</v>
      </c>
      <c r="C574" s="21">
        <f t="shared" si="97"/>
        <v>1</v>
      </c>
      <c r="D574" s="662"/>
      <c r="E574" s="21">
        <f t="shared" si="98"/>
        <v>1</v>
      </c>
      <c r="F574" s="662"/>
      <c r="G574" s="21">
        <f t="shared" si="99"/>
        <v>1</v>
      </c>
      <c r="H574" s="662"/>
      <c r="I574" s="21">
        <f t="shared" si="100"/>
        <v>1</v>
      </c>
      <c r="J574" s="662"/>
      <c r="K574" s="21">
        <f t="shared" si="101"/>
        <v>1</v>
      </c>
      <c r="L574" s="662"/>
      <c r="M574" s="21">
        <f t="shared" si="102"/>
        <v>1</v>
      </c>
      <c r="N574" s="662"/>
      <c r="O574" s="21">
        <f t="shared" si="103"/>
        <v>1</v>
      </c>
      <c r="P574" s="662">
        <v>-2</v>
      </c>
      <c r="Q574" s="21">
        <f t="shared" si="104"/>
        <v>0.95</v>
      </c>
      <c r="R574" s="659">
        <f t="shared" ca="1" si="105"/>
        <v>4429</v>
      </c>
      <c r="S574" s="316">
        <f t="shared" ca="1" si="106"/>
        <v>18</v>
      </c>
      <c r="T574" s="720" t="str">
        <f>商办车库!H683</f>
        <v>车位</v>
      </c>
    </row>
    <row r="575" spans="1:20">
      <c r="A575" s="3539" t="str">
        <f>商办车库!E684</f>
        <v>B2197</v>
      </c>
      <c r="B575" s="54">
        <f>商办车库!F684</f>
        <v>40.43</v>
      </c>
      <c r="C575" s="21">
        <f t="shared" si="97"/>
        <v>1</v>
      </c>
      <c r="D575" s="662"/>
      <c r="E575" s="21">
        <f t="shared" si="98"/>
        <v>1</v>
      </c>
      <c r="F575" s="662"/>
      <c r="G575" s="21">
        <f t="shared" si="99"/>
        <v>1</v>
      </c>
      <c r="H575" s="662"/>
      <c r="I575" s="21">
        <f t="shared" si="100"/>
        <v>1</v>
      </c>
      <c r="J575" s="662"/>
      <c r="K575" s="21">
        <f t="shared" si="101"/>
        <v>1</v>
      </c>
      <c r="L575" s="662"/>
      <c r="M575" s="21">
        <f t="shared" si="102"/>
        <v>1</v>
      </c>
      <c r="N575" s="662"/>
      <c r="O575" s="21">
        <f t="shared" si="103"/>
        <v>1</v>
      </c>
      <c r="P575" s="662">
        <v>-2</v>
      </c>
      <c r="Q575" s="21">
        <f t="shared" si="104"/>
        <v>0.95</v>
      </c>
      <c r="R575" s="659">
        <f t="shared" ca="1" si="105"/>
        <v>4429</v>
      </c>
      <c r="S575" s="316">
        <f t="shared" ca="1" si="106"/>
        <v>18</v>
      </c>
      <c r="T575" s="720" t="str">
        <f>商办车库!H684</f>
        <v>车位</v>
      </c>
    </row>
    <row r="576" spans="1:20">
      <c r="A576" s="3539" t="str">
        <f>商办车库!E685</f>
        <v>B2198</v>
      </c>
      <c r="B576" s="54">
        <f>商办车库!F685</f>
        <v>40.43</v>
      </c>
      <c r="C576" s="21">
        <f t="shared" si="97"/>
        <v>1</v>
      </c>
      <c r="D576" s="662"/>
      <c r="E576" s="21">
        <f t="shared" si="98"/>
        <v>1</v>
      </c>
      <c r="F576" s="662"/>
      <c r="G576" s="21">
        <f t="shared" si="99"/>
        <v>1</v>
      </c>
      <c r="H576" s="662"/>
      <c r="I576" s="21">
        <f t="shared" si="100"/>
        <v>1</v>
      </c>
      <c r="J576" s="662"/>
      <c r="K576" s="21">
        <f t="shared" si="101"/>
        <v>1</v>
      </c>
      <c r="L576" s="662"/>
      <c r="M576" s="21">
        <f t="shared" si="102"/>
        <v>1</v>
      </c>
      <c r="N576" s="662"/>
      <c r="O576" s="21">
        <f t="shared" si="103"/>
        <v>1</v>
      </c>
      <c r="P576" s="662">
        <v>-2</v>
      </c>
      <c r="Q576" s="21">
        <f t="shared" si="104"/>
        <v>0.95</v>
      </c>
      <c r="R576" s="659">
        <f t="shared" ca="1" si="105"/>
        <v>4429</v>
      </c>
      <c r="S576" s="316">
        <f t="shared" ca="1" si="106"/>
        <v>18</v>
      </c>
      <c r="T576" s="720" t="str">
        <f>商办车库!H685</f>
        <v>车位</v>
      </c>
    </row>
    <row r="577" spans="1:20">
      <c r="A577" s="3539" t="str">
        <f>商办车库!E686</f>
        <v>B2199</v>
      </c>
      <c r="B577" s="54">
        <f>商办车库!F686</f>
        <v>40.43</v>
      </c>
      <c r="C577" s="21">
        <f t="shared" si="97"/>
        <v>1</v>
      </c>
      <c r="D577" s="662"/>
      <c r="E577" s="21">
        <f t="shared" si="98"/>
        <v>1</v>
      </c>
      <c r="F577" s="662"/>
      <c r="G577" s="21">
        <f t="shared" si="99"/>
        <v>1</v>
      </c>
      <c r="H577" s="662"/>
      <c r="I577" s="21">
        <f t="shared" si="100"/>
        <v>1</v>
      </c>
      <c r="J577" s="662"/>
      <c r="K577" s="21">
        <f t="shared" si="101"/>
        <v>1</v>
      </c>
      <c r="L577" s="662"/>
      <c r="M577" s="21">
        <f t="shared" si="102"/>
        <v>1</v>
      </c>
      <c r="N577" s="662"/>
      <c r="O577" s="21">
        <f t="shared" si="103"/>
        <v>1</v>
      </c>
      <c r="P577" s="662">
        <v>-2</v>
      </c>
      <c r="Q577" s="21">
        <f t="shared" si="104"/>
        <v>0.95</v>
      </c>
      <c r="R577" s="659">
        <f t="shared" ca="1" si="105"/>
        <v>4429</v>
      </c>
      <c r="S577" s="316">
        <f t="shared" ca="1" si="106"/>
        <v>18</v>
      </c>
      <c r="T577" s="720" t="str">
        <f>商办车库!H686</f>
        <v>车位</v>
      </c>
    </row>
    <row r="578" spans="1:20">
      <c r="A578" s="3539" t="str">
        <f>商办车库!E687</f>
        <v>B2200</v>
      </c>
      <c r="B578" s="54">
        <f>商办车库!F687</f>
        <v>40.43</v>
      </c>
      <c r="C578" s="21">
        <f t="shared" si="97"/>
        <v>1</v>
      </c>
      <c r="D578" s="662"/>
      <c r="E578" s="21">
        <f t="shared" si="98"/>
        <v>1</v>
      </c>
      <c r="F578" s="662"/>
      <c r="G578" s="21">
        <f t="shared" si="99"/>
        <v>1</v>
      </c>
      <c r="H578" s="662"/>
      <c r="I578" s="21">
        <f t="shared" si="100"/>
        <v>1</v>
      </c>
      <c r="J578" s="662"/>
      <c r="K578" s="21">
        <f t="shared" si="101"/>
        <v>1</v>
      </c>
      <c r="L578" s="662"/>
      <c r="M578" s="21">
        <f t="shared" si="102"/>
        <v>1</v>
      </c>
      <c r="N578" s="662"/>
      <c r="O578" s="21">
        <f t="shared" si="103"/>
        <v>1</v>
      </c>
      <c r="P578" s="662">
        <v>-2</v>
      </c>
      <c r="Q578" s="21">
        <f t="shared" si="104"/>
        <v>0.95</v>
      </c>
      <c r="R578" s="659">
        <f t="shared" ca="1" si="105"/>
        <v>4429</v>
      </c>
      <c r="S578" s="316">
        <f t="shared" ca="1" si="106"/>
        <v>18</v>
      </c>
      <c r="T578" s="720" t="str">
        <f>商办车库!H687</f>
        <v>车位</v>
      </c>
    </row>
    <row r="579" spans="1:20">
      <c r="A579" s="3539" t="str">
        <f>商办车库!E688</f>
        <v>B2201</v>
      </c>
      <c r="B579" s="54">
        <f>商办车库!F688</f>
        <v>40.43</v>
      </c>
      <c r="C579" s="21">
        <f t="shared" si="97"/>
        <v>1</v>
      </c>
      <c r="D579" s="662"/>
      <c r="E579" s="21">
        <f t="shared" si="98"/>
        <v>1</v>
      </c>
      <c r="F579" s="662"/>
      <c r="G579" s="21">
        <f t="shared" si="99"/>
        <v>1</v>
      </c>
      <c r="H579" s="662"/>
      <c r="I579" s="21">
        <f t="shared" si="100"/>
        <v>1</v>
      </c>
      <c r="J579" s="662"/>
      <c r="K579" s="21">
        <f t="shared" si="101"/>
        <v>1</v>
      </c>
      <c r="L579" s="662"/>
      <c r="M579" s="21">
        <f t="shared" si="102"/>
        <v>1</v>
      </c>
      <c r="N579" s="662"/>
      <c r="O579" s="21">
        <f t="shared" si="103"/>
        <v>1</v>
      </c>
      <c r="P579" s="662">
        <v>-2</v>
      </c>
      <c r="Q579" s="21">
        <f t="shared" si="104"/>
        <v>0.95</v>
      </c>
      <c r="R579" s="659">
        <f t="shared" ca="1" si="105"/>
        <v>4429</v>
      </c>
      <c r="S579" s="316">
        <f t="shared" ca="1" si="106"/>
        <v>18</v>
      </c>
      <c r="T579" s="720" t="str">
        <f>商办车库!H688</f>
        <v>车位</v>
      </c>
    </row>
    <row r="580" spans="1:20">
      <c r="A580" s="3539" t="str">
        <f>商办车库!E689</f>
        <v>B2202</v>
      </c>
      <c r="B580" s="54">
        <f>商办车库!F689</f>
        <v>40.43</v>
      </c>
      <c r="C580" s="21">
        <f t="shared" si="97"/>
        <v>1</v>
      </c>
      <c r="D580" s="662"/>
      <c r="E580" s="21">
        <f t="shared" si="98"/>
        <v>1</v>
      </c>
      <c r="F580" s="662"/>
      <c r="G580" s="21">
        <f t="shared" si="99"/>
        <v>1</v>
      </c>
      <c r="H580" s="662"/>
      <c r="I580" s="21">
        <f t="shared" si="100"/>
        <v>1</v>
      </c>
      <c r="J580" s="662"/>
      <c r="K580" s="21">
        <f t="shared" si="101"/>
        <v>1</v>
      </c>
      <c r="L580" s="662"/>
      <c r="M580" s="21">
        <f t="shared" si="102"/>
        <v>1</v>
      </c>
      <c r="N580" s="662"/>
      <c r="O580" s="21">
        <f t="shared" si="103"/>
        <v>1</v>
      </c>
      <c r="P580" s="662">
        <v>-2</v>
      </c>
      <c r="Q580" s="21">
        <f t="shared" si="104"/>
        <v>0.95</v>
      </c>
      <c r="R580" s="659">
        <f t="shared" ca="1" si="105"/>
        <v>4429</v>
      </c>
      <c r="S580" s="316">
        <f t="shared" ca="1" si="106"/>
        <v>18</v>
      </c>
      <c r="T580" s="720" t="str">
        <f>商办车库!H689</f>
        <v>车位</v>
      </c>
    </row>
    <row r="581" spans="1:20">
      <c r="A581" s="3539" t="str">
        <f>商办车库!E690</f>
        <v>B2203</v>
      </c>
      <c r="B581" s="54">
        <f>商办车库!F690</f>
        <v>40.43</v>
      </c>
      <c r="C581" s="21">
        <f t="shared" si="97"/>
        <v>1</v>
      </c>
      <c r="D581" s="662"/>
      <c r="E581" s="21">
        <f t="shared" si="98"/>
        <v>1</v>
      </c>
      <c r="F581" s="662"/>
      <c r="G581" s="21">
        <f t="shared" si="99"/>
        <v>1</v>
      </c>
      <c r="H581" s="662"/>
      <c r="I581" s="21">
        <f t="shared" si="100"/>
        <v>1</v>
      </c>
      <c r="J581" s="662"/>
      <c r="K581" s="21">
        <f t="shared" si="101"/>
        <v>1</v>
      </c>
      <c r="L581" s="662"/>
      <c r="M581" s="21">
        <f t="shared" si="102"/>
        <v>1</v>
      </c>
      <c r="N581" s="662"/>
      <c r="O581" s="21">
        <f t="shared" si="103"/>
        <v>1</v>
      </c>
      <c r="P581" s="662">
        <v>-2</v>
      </c>
      <c r="Q581" s="21">
        <f t="shared" si="104"/>
        <v>0.95</v>
      </c>
      <c r="R581" s="659">
        <f t="shared" ca="1" si="105"/>
        <v>4429</v>
      </c>
      <c r="S581" s="316">
        <f t="shared" ca="1" si="106"/>
        <v>18</v>
      </c>
      <c r="T581" s="720" t="str">
        <f>商办车库!H690</f>
        <v>车位</v>
      </c>
    </row>
    <row r="582" spans="1:20">
      <c r="A582" s="3539" t="str">
        <f>商办车库!E691</f>
        <v>B2204</v>
      </c>
      <c r="B582" s="54">
        <f>商办车库!F691</f>
        <v>40.43</v>
      </c>
      <c r="C582" s="21">
        <f t="shared" si="97"/>
        <v>1</v>
      </c>
      <c r="D582" s="662"/>
      <c r="E582" s="21">
        <f t="shared" si="98"/>
        <v>1</v>
      </c>
      <c r="F582" s="662"/>
      <c r="G582" s="21">
        <f t="shared" si="99"/>
        <v>1</v>
      </c>
      <c r="H582" s="662"/>
      <c r="I582" s="21">
        <f t="shared" si="100"/>
        <v>1</v>
      </c>
      <c r="J582" s="662"/>
      <c r="K582" s="21">
        <f t="shared" si="101"/>
        <v>1</v>
      </c>
      <c r="L582" s="662"/>
      <c r="M582" s="21">
        <f t="shared" si="102"/>
        <v>1</v>
      </c>
      <c r="N582" s="662"/>
      <c r="O582" s="21">
        <f t="shared" si="103"/>
        <v>1</v>
      </c>
      <c r="P582" s="662">
        <v>-2</v>
      </c>
      <c r="Q582" s="21">
        <f t="shared" si="104"/>
        <v>0.95</v>
      </c>
      <c r="R582" s="659">
        <f t="shared" ca="1" si="105"/>
        <v>4429</v>
      </c>
      <c r="S582" s="316">
        <f t="shared" ca="1" si="106"/>
        <v>18</v>
      </c>
      <c r="T582" s="720" t="str">
        <f>商办车库!H691</f>
        <v>车位</v>
      </c>
    </row>
    <row r="583" spans="1:20">
      <c r="A583" s="3539" t="str">
        <f>商办车库!E692</f>
        <v>B2205</v>
      </c>
      <c r="B583" s="54">
        <f>商办车库!F692</f>
        <v>40.43</v>
      </c>
      <c r="C583" s="21">
        <f t="shared" si="97"/>
        <v>1</v>
      </c>
      <c r="D583" s="662"/>
      <c r="E583" s="21">
        <f t="shared" si="98"/>
        <v>1</v>
      </c>
      <c r="F583" s="662"/>
      <c r="G583" s="21">
        <f t="shared" si="99"/>
        <v>1</v>
      </c>
      <c r="H583" s="662"/>
      <c r="I583" s="21">
        <f t="shared" si="100"/>
        <v>1</v>
      </c>
      <c r="J583" s="662"/>
      <c r="K583" s="21">
        <f t="shared" si="101"/>
        <v>1</v>
      </c>
      <c r="L583" s="662"/>
      <c r="M583" s="21">
        <f t="shared" si="102"/>
        <v>1</v>
      </c>
      <c r="N583" s="662"/>
      <c r="O583" s="21">
        <f t="shared" si="103"/>
        <v>1</v>
      </c>
      <c r="P583" s="662">
        <v>-2</v>
      </c>
      <c r="Q583" s="21">
        <f t="shared" si="104"/>
        <v>0.95</v>
      </c>
      <c r="R583" s="659">
        <f t="shared" ca="1" si="105"/>
        <v>4429</v>
      </c>
      <c r="S583" s="316">
        <f t="shared" ca="1" si="106"/>
        <v>18</v>
      </c>
      <c r="T583" s="720" t="str">
        <f>商办车库!H692</f>
        <v>车位</v>
      </c>
    </row>
    <row r="584" spans="1:20">
      <c r="A584" s="3539" t="str">
        <f>商办车库!E693</f>
        <v>B2206</v>
      </c>
      <c r="B584" s="54">
        <f>商办车库!F693</f>
        <v>40.43</v>
      </c>
      <c r="C584" s="21">
        <f t="shared" si="97"/>
        <v>1</v>
      </c>
      <c r="D584" s="662"/>
      <c r="E584" s="21">
        <f t="shared" si="98"/>
        <v>1</v>
      </c>
      <c r="F584" s="662"/>
      <c r="G584" s="21">
        <f t="shared" si="99"/>
        <v>1</v>
      </c>
      <c r="H584" s="662"/>
      <c r="I584" s="21">
        <f t="shared" si="100"/>
        <v>1</v>
      </c>
      <c r="J584" s="662"/>
      <c r="K584" s="21">
        <f t="shared" si="101"/>
        <v>1</v>
      </c>
      <c r="L584" s="662"/>
      <c r="M584" s="21">
        <f t="shared" si="102"/>
        <v>1</v>
      </c>
      <c r="N584" s="662"/>
      <c r="O584" s="21">
        <f t="shared" si="103"/>
        <v>1</v>
      </c>
      <c r="P584" s="662">
        <v>-2</v>
      </c>
      <c r="Q584" s="21">
        <f t="shared" si="104"/>
        <v>0.95</v>
      </c>
      <c r="R584" s="659">
        <f t="shared" ca="1" si="105"/>
        <v>4429</v>
      </c>
      <c r="S584" s="316">
        <f t="shared" ca="1" si="106"/>
        <v>18</v>
      </c>
      <c r="T584" s="720" t="str">
        <f>商办车库!H693</f>
        <v>车位</v>
      </c>
    </row>
    <row r="585" spans="1:20">
      <c r="A585" s="3539" t="str">
        <f>商办车库!E694</f>
        <v>B2207</v>
      </c>
      <c r="B585" s="54">
        <f>商办车库!F694</f>
        <v>40.43</v>
      </c>
      <c r="C585" s="21">
        <f t="shared" si="97"/>
        <v>1</v>
      </c>
      <c r="D585" s="662"/>
      <c r="E585" s="21">
        <f t="shared" si="98"/>
        <v>1</v>
      </c>
      <c r="F585" s="662"/>
      <c r="G585" s="21">
        <f t="shared" si="99"/>
        <v>1</v>
      </c>
      <c r="H585" s="662"/>
      <c r="I585" s="21">
        <f t="shared" si="100"/>
        <v>1</v>
      </c>
      <c r="J585" s="662"/>
      <c r="K585" s="21">
        <f t="shared" si="101"/>
        <v>1</v>
      </c>
      <c r="L585" s="662"/>
      <c r="M585" s="21">
        <f t="shared" si="102"/>
        <v>1</v>
      </c>
      <c r="N585" s="662"/>
      <c r="O585" s="21">
        <f t="shared" si="103"/>
        <v>1</v>
      </c>
      <c r="P585" s="662">
        <v>-2</v>
      </c>
      <c r="Q585" s="21">
        <f t="shared" si="104"/>
        <v>0.95</v>
      </c>
      <c r="R585" s="659">
        <f t="shared" ca="1" si="105"/>
        <v>4429</v>
      </c>
      <c r="S585" s="316">
        <f t="shared" ca="1" si="106"/>
        <v>18</v>
      </c>
      <c r="T585" s="720" t="str">
        <f>商办车库!H694</f>
        <v>车位</v>
      </c>
    </row>
    <row r="586" spans="1:20">
      <c r="A586" s="3539" t="str">
        <f>商办车库!E695</f>
        <v>B2208</v>
      </c>
      <c r="B586" s="54">
        <f>商办车库!F695</f>
        <v>40.43</v>
      </c>
      <c r="C586" s="21">
        <f t="shared" si="97"/>
        <v>1</v>
      </c>
      <c r="D586" s="662"/>
      <c r="E586" s="21">
        <f t="shared" si="98"/>
        <v>1</v>
      </c>
      <c r="F586" s="662"/>
      <c r="G586" s="21">
        <f t="shared" si="99"/>
        <v>1</v>
      </c>
      <c r="H586" s="662"/>
      <c r="I586" s="21">
        <f t="shared" si="100"/>
        <v>1</v>
      </c>
      <c r="J586" s="662"/>
      <c r="K586" s="21">
        <f t="shared" si="101"/>
        <v>1</v>
      </c>
      <c r="L586" s="662"/>
      <c r="M586" s="21">
        <f t="shared" si="102"/>
        <v>1</v>
      </c>
      <c r="N586" s="662"/>
      <c r="O586" s="21">
        <f t="shared" si="103"/>
        <v>1</v>
      </c>
      <c r="P586" s="662">
        <v>-2</v>
      </c>
      <c r="Q586" s="21">
        <f t="shared" si="104"/>
        <v>0.95</v>
      </c>
      <c r="R586" s="659">
        <f t="shared" ca="1" si="105"/>
        <v>4429</v>
      </c>
      <c r="S586" s="316">
        <f t="shared" ca="1" si="106"/>
        <v>18</v>
      </c>
      <c r="T586" s="720" t="str">
        <f>商办车库!H695</f>
        <v>车位</v>
      </c>
    </row>
    <row r="587" spans="1:20">
      <c r="A587" s="3539" t="str">
        <f>商办车库!E696</f>
        <v>B2209</v>
      </c>
      <c r="B587" s="54">
        <f>商办车库!F696</f>
        <v>40.43</v>
      </c>
      <c r="C587" s="21">
        <f t="shared" si="97"/>
        <v>1</v>
      </c>
      <c r="D587" s="662"/>
      <c r="E587" s="21">
        <f t="shared" si="98"/>
        <v>1</v>
      </c>
      <c r="F587" s="662"/>
      <c r="G587" s="21">
        <f t="shared" si="99"/>
        <v>1</v>
      </c>
      <c r="H587" s="662"/>
      <c r="I587" s="21">
        <f t="shared" si="100"/>
        <v>1</v>
      </c>
      <c r="J587" s="662"/>
      <c r="K587" s="21">
        <f t="shared" si="101"/>
        <v>1</v>
      </c>
      <c r="L587" s="662"/>
      <c r="M587" s="21">
        <f t="shared" si="102"/>
        <v>1</v>
      </c>
      <c r="N587" s="662"/>
      <c r="O587" s="21">
        <f t="shared" si="103"/>
        <v>1</v>
      </c>
      <c r="P587" s="662">
        <v>-2</v>
      </c>
      <c r="Q587" s="21">
        <f t="shared" si="104"/>
        <v>0.95</v>
      </c>
      <c r="R587" s="659">
        <f t="shared" ca="1" si="105"/>
        <v>4429</v>
      </c>
      <c r="S587" s="316">
        <f t="shared" ca="1" si="106"/>
        <v>18</v>
      </c>
      <c r="T587" s="720" t="str">
        <f>商办车库!H696</f>
        <v>车位</v>
      </c>
    </row>
    <row r="588" spans="1:20">
      <c r="A588" s="3539" t="str">
        <f>商办车库!E697</f>
        <v>B2210</v>
      </c>
      <c r="B588" s="54">
        <f>商办车库!F697</f>
        <v>40.43</v>
      </c>
      <c r="C588" s="21">
        <f t="shared" si="97"/>
        <v>1</v>
      </c>
      <c r="D588" s="662"/>
      <c r="E588" s="21">
        <f t="shared" si="98"/>
        <v>1</v>
      </c>
      <c r="F588" s="662"/>
      <c r="G588" s="21">
        <f t="shared" si="99"/>
        <v>1</v>
      </c>
      <c r="H588" s="662"/>
      <c r="I588" s="21">
        <f t="shared" si="100"/>
        <v>1</v>
      </c>
      <c r="J588" s="662"/>
      <c r="K588" s="21">
        <f t="shared" si="101"/>
        <v>1</v>
      </c>
      <c r="L588" s="662"/>
      <c r="M588" s="21">
        <f t="shared" si="102"/>
        <v>1</v>
      </c>
      <c r="N588" s="662"/>
      <c r="O588" s="21">
        <f t="shared" si="103"/>
        <v>1</v>
      </c>
      <c r="P588" s="662">
        <v>-2</v>
      </c>
      <c r="Q588" s="21">
        <f t="shared" si="104"/>
        <v>0.95</v>
      </c>
      <c r="R588" s="659">
        <f t="shared" ca="1" si="105"/>
        <v>4429</v>
      </c>
      <c r="S588" s="316">
        <f t="shared" ca="1" si="106"/>
        <v>18</v>
      </c>
      <c r="T588" s="720" t="str">
        <f>商办车库!H697</f>
        <v>车位</v>
      </c>
    </row>
    <row r="589" spans="1:20">
      <c r="A589" s="3539" t="str">
        <f>商办车库!E698</f>
        <v>B2211</v>
      </c>
      <c r="B589" s="54">
        <f>商办车库!F698</f>
        <v>40.43</v>
      </c>
      <c r="C589" s="21">
        <f t="shared" si="97"/>
        <v>1</v>
      </c>
      <c r="D589" s="662"/>
      <c r="E589" s="21">
        <f t="shared" si="98"/>
        <v>1</v>
      </c>
      <c r="F589" s="662"/>
      <c r="G589" s="21">
        <f t="shared" si="99"/>
        <v>1</v>
      </c>
      <c r="H589" s="662"/>
      <c r="I589" s="21">
        <f t="shared" si="100"/>
        <v>1</v>
      </c>
      <c r="J589" s="662"/>
      <c r="K589" s="21">
        <f t="shared" si="101"/>
        <v>1</v>
      </c>
      <c r="L589" s="662"/>
      <c r="M589" s="21">
        <f t="shared" si="102"/>
        <v>1</v>
      </c>
      <c r="N589" s="662"/>
      <c r="O589" s="21">
        <f t="shared" si="103"/>
        <v>1</v>
      </c>
      <c r="P589" s="662">
        <v>-2</v>
      </c>
      <c r="Q589" s="21">
        <f t="shared" si="104"/>
        <v>0.95</v>
      </c>
      <c r="R589" s="659">
        <f t="shared" ca="1" si="105"/>
        <v>4429</v>
      </c>
      <c r="S589" s="316">
        <f t="shared" ca="1" si="106"/>
        <v>18</v>
      </c>
      <c r="T589" s="720" t="str">
        <f>商办车库!H698</f>
        <v>车位</v>
      </c>
    </row>
    <row r="590" spans="1:20">
      <c r="A590" s="3539" t="str">
        <f>商办车库!E699</f>
        <v>B2212</v>
      </c>
      <c r="B590" s="54">
        <f>商办车库!F699</f>
        <v>40.43</v>
      </c>
      <c r="C590" s="21">
        <f t="shared" si="97"/>
        <v>1</v>
      </c>
      <c r="D590" s="662"/>
      <c r="E590" s="21">
        <f t="shared" si="98"/>
        <v>1</v>
      </c>
      <c r="F590" s="662"/>
      <c r="G590" s="21">
        <f t="shared" si="99"/>
        <v>1</v>
      </c>
      <c r="H590" s="662"/>
      <c r="I590" s="21">
        <f t="shared" si="100"/>
        <v>1</v>
      </c>
      <c r="J590" s="662"/>
      <c r="K590" s="21">
        <f t="shared" si="101"/>
        <v>1</v>
      </c>
      <c r="L590" s="662"/>
      <c r="M590" s="21">
        <f t="shared" si="102"/>
        <v>1</v>
      </c>
      <c r="N590" s="662"/>
      <c r="O590" s="21">
        <f t="shared" si="103"/>
        <v>1</v>
      </c>
      <c r="P590" s="662">
        <v>-2</v>
      </c>
      <c r="Q590" s="21">
        <f t="shared" si="104"/>
        <v>0.95</v>
      </c>
      <c r="R590" s="659">
        <f t="shared" ca="1" si="105"/>
        <v>4429</v>
      </c>
      <c r="S590" s="316">
        <f t="shared" ca="1" si="106"/>
        <v>18</v>
      </c>
      <c r="T590" s="720" t="str">
        <f>商办车库!H699</f>
        <v>车位</v>
      </c>
    </row>
    <row r="591" spans="1:20">
      <c r="A591" s="3539" t="str">
        <f>商办车库!E700</f>
        <v>B2213</v>
      </c>
      <c r="B591" s="54">
        <f>商办车库!F700</f>
        <v>40.43</v>
      </c>
      <c r="C591" s="21">
        <f t="shared" si="97"/>
        <v>1</v>
      </c>
      <c r="D591" s="662"/>
      <c r="E591" s="21">
        <f t="shared" si="98"/>
        <v>1</v>
      </c>
      <c r="F591" s="662"/>
      <c r="G591" s="21">
        <f t="shared" si="99"/>
        <v>1</v>
      </c>
      <c r="H591" s="662"/>
      <c r="I591" s="21">
        <f t="shared" si="100"/>
        <v>1</v>
      </c>
      <c r="J591" s="662"/>
      <c r="K591" s="21">
        <f t="shared" si="101"/>
        <v>1</v>
      </c>
      <c r="L591" s="662"/>
      <c r="M591" s="21">
        <f t="shared" si="102"/>
        <v>1</v>
      </c>
      <c r="N591" s="662"/>
      <c r="O591" s="21">
        <f t="shared" si="103"/>
        <v>1</v>
      </c>
      <c r="P591" s="662">
        <v>-2</v>
      </c>
      <c r="Q591" s="21">
        <f t="shared" si="104"/>
        <v>0.95</v>
      </c>
      <c r="R591" s="659">
        <f t="shared" ca="1" si="105"/>
        <v>4429</v>
      </c>
      <c r="S591" s="316">
        <f t="shared" ca="1" si="106"/>
        <v>18</v>
      </c>
      <c r="T591" s="720" t="str">
        <f>商办车库!H700</f>
        <v>车位</v>
      </c>
    </row>
    <row r="592" spans="1:20">
      <c r="A592" s="3539" t="str">
        <f>商办车库!E701</f>
        <v>B2214</v>
      </c>
      <c r="B592" s="54">
        <f>商办车库!F701</f>
        <v>40.43</v>
      </c>
      <c r="C592" s="21">
        <f t="shared" si="97"/>
        <v>1</v>
      </c>
      <c r="D592" s="662"/>
      <c r="E592" s="21">
        <f t="shared" si="98"/>
        <v>1</v>
      </c>
      <c r="F592" s="662"/>
      <c r="G592" s="21">
        <f t="shared" si="99"/>
        <v>1</v>
      </c>
      <c r="H592" s="662"/>
      <c r="I592" s="21">
        <f t="shared" si="100"/>
        <v>1</v>
      </c>
      <c r="J592" s="662"/>
      <c r="K592" s="21">
        <f t="shared" si="101"/>
        <v>1</v>
      </c>
      <c r="L592" s="662"/>
      <c r="M592" s="21">
        <f t="shared" si="102"/>
        <v>1</v>
      </c>
      <c r="N592" s="662"/>
      <c r="O592" s="21">
        <f t="shared" si="103"/>
        <v>1</v>
      </c>
      <c r="P592" s="662">
        <v>-2</v>
      </c>
      <c r="Q592" s="21">
        <f t="shared" si="104"/>
        <v>0.95</v>
      </c>
      <c r="R592" s="659">
        <f t="shared" ca="1" si="105"/>
        <v>4429</v>
      </c>
      <c r="S592" s="316">
        <f t="shared" ca="1" si="106"/>
        <v>18</v>
      </c>
      <c r="T592" s="720" t="str">
        <f>商办车库!H701</f>
        <v>车位</v>
      </c>
    </row>
    <row r="593" spans="1:20">
      <c r="A593" s="3539" t="str">
        <f>商办车库!E702</f>
        <v>B2215</v>
      </c>
      <c r="B593" s="54">
        <f>商办车库!F702</f>
        <v>40.43</v>
      </c>
      <c r="C593" s="21">
        <f t="shared" si="97"/>
        <v>1</v>
      </c>
      <c r="D593" s="662"/>
      <c r="E593" s="21">
        <f t="shared" si="98"/>
        <v>1</v>
      </c>
      <c r="F593" s="662"/>
      <c r="G593" s="21">
        <f t="shared" si="99"/>
        <v>1</v>
      </c>
      <c r="H593" s="662"/>
      <c r="I593" s="21">
        <f t="shared" si="100"/>
        <v>1</v>
      </c>
      <c r="J593" s="662"/>
      <c r="K593" s="21">
        <f t="shared" si="101"/>
        <v>1</v>
      </c>
      <c r="L593" s="662"/>
      <c r="M593" s="21">
        <f t="shared" si="102"/>
        <v>1</v>
      </c>
      <c r="N593" s="662"/>
      <c r="O593" s="21">
        <f t="shared" si="103"/>
        <v>1</v>
      </c>
      <c r="P593" s="662">
        <v>-2</v>
      </c>
      <c r="Q593" s="21">
        <f t="shared" si="104"/>
        <v>0.95</v>
      </c>
      <c r="R593" s="659">
        <f t="shared" ca="1" si="105"/>
        <v>4429</v>
      </c>
      <c r="S593" s="316">
        <f t="shared" ca="1" si="106"/>
        <v>18</v>
      </c>
      <c r="T593" s="720" t="str">
        <f>商办车库!H702</f>
        <v>车位</v>
      </c>
    </row>
    <row r="594" spans="1:20">
      <c r="A594" s="3539" t="str">
        <f>商办车库!E703</f>
        <v>B2216</v>
      </c>
      <c r="B594" s="54">
        <f>商办车库!F703</f>
        <v>40.43</v>
      </c>
      <c r="C594" s="21">
        <f t="shared" si="97"/>
        <v>1</v>
      </c>
      <c r="D594" s="662"/>
      <c r="E594" s="21">
        <f t="shared" si="98"/>
        <v>1</v>
      </c>
      <c r="F594" s="662"/>
      <c r="G594" s="21">
        <f t="shared" si="99"/>
        <v>1</v>
      </c>
      <c r="H594" s="662"/>
      <c r="I594" s="21">
        <f t="shared" si="100"/>
        <v>1</v>
      </c>
      <c r="J594" s="662"/>
      <c r="K594" s="21">
        <f t="shared" si="101"/>
        <v>1</v>
      </c>
      <c r="L594" s="662"/>
      <c r="M594" s="21">
        <f t="shared" si="102"/>
        <v>1</v>
      </c>
      <c r="N594" s="662"/>
      <c r="O594" s="21">
        <f t="shared" si="103"/>
        <v>1</v>
      </c>
      <c r="P594" s="662">
        <v>-2</v>
      </c>
      <c r="Q594" s="21">
        <f t="shared" si="104"/>
        <v>0.95</v>
      </c>
      <c r="R594" s="659">
        <f t="shared" ca="1" si="105"/>
        <v>4429</v>
      </c>
      <c r="S594" s="316">
        <f t="shared" ca="1" si="106"/>
        <v>18</v>
      </c>
      <c r="T594" s="720" t="str">
        <f>商办车库!H703</f>
        <v>车位</v>
      </c>
    </row>
    <row r="595" spans="1:20">
      <c r="A595" s="3539" t="str">
        <f>商办车库!E704</f>
        <v>B2217</v>
      </c>
      <c r="B595" s="54">
        <f>商办车库!F704</f>
        <v>40.43</v>
      </c>
      <c r="C595" s="21">
        <f t="shared" si="97"/>
        <v>1</v>
      </c>
      <c r="D595" s="662"/>
      <c r="E595" s="21">
        <f t="shared" si="98"/>
        <v>1</v>
      </c>
      <c r="F595" s="662"/>
      <c r="G595" s="21">
        <f t="shared" si="99"/>
        <v>1</v>
      </c>
      <c r="H595" s="662"/>
      <c r="I595" s="21">
        <f t="shared" si="100"/>
        <v>1</v>
      </c>
      <c r="J595" s="662"/>
      <c r="K595" s="21">
        <f t="shared" si="101"/>
        <v>1</v>
      </c>
      <c r="L595" s="662"/>
      <c r="M595" s="21">
        <f t="shared" si="102"/>
        <v>1</v>
      </c>
      <c r="N595" s="662"/>
      <c r="O595" s="21">
        <f t="shared" si="103"/>
        <v>1</v>
      </c>
      <c r="P595" s="662">
        <v>-2</v>
      </c>
      <c r="Q595" s="21">
        <f t="shared" si="104"/>
        <v>0.95</v>
      </c>
      <c r="R595" s="659">
        <f t="shared" ca="1" si="105"/>
        <v>4429</v>
      </c>
      <c r="S595" s="316">
        <f t="shared" ca="1" si="106"/>
        <v>18</v>
      </c>
      <c r="T595" s="720" t="str">
        <f>商办车库!H704</f>
        <v>车位</v>
      </c>
    </row>
    <row r="596" spans="1:20">
      <c r="A596" s="3539" t="str">
        <f>商办车库!E705</f>
        <v>B2218</v>
      </c>
      <c r="B596" s="54">
        <f>商办车库!F705</f>
        <v>40.43</v>
      </c>
      <c r="C596" s="21">
        <f t="shared" si="97"/>
        <v>1</v>
      </c>
      <c r="D596" s="662"/>
      <c r="E596" s="21">
        <f t="shared" si="98"/>
        <v>1</v>
      </c>
      <c r="F596" s="662"/>
      <c r="G596" s="21">
        <f t="shared" si="99"/>
        <v>1</v>
      </c>
      <c r="H596" s="662"/>
      <c r="I596" s="21">
        <f t="shared" si="100"/>
        <v>1</v>
      </c>
      <c r="J596" s="662"/>
      <c r="K596" s="21">
        <f t="shared" si="101"/>
        <v>1</v>
      </c>
      <c r="L596" s="662"/>
      <c r="M596" s="21">
        <f t="shared" si="102"/>
        <v>1</v>
      </c>
      <c r="N596" s="662"/>
      <c r="O596" s="21">
        <f t="shared" si="103"/>
        <v>1</v>
      </c>
      <c r="P596" s="662">
        <v>-2</v>
      </c>
      <c r="Q596" s="21">
        <f t="shared" si="104"/>
        <v>0.95</v>
      </c>
      <c r="R596" s="659">
        <f t="shared" ca="1" si="105"/>
        <v>4429</v>
      </c>
      <c r="S596" s="316">
        <f t="shared" ca="1" si="106"/>
        <v>18</v>
      </c>
      <c r="T596" s="720" t="str">
        <f>商办车库!H705</f>
        <v>车位</v>
      </c>
    </row>
    <row r="597" spans="1:20">
      <c r="A597" s="3539" t="str">
        <f>商办车库!E706</f>
        <v>B2219</v>
      </c>
      <c r="B597" s="54">
        <f>商办车库!F706</f>
        <v>40.43</v>
      </c>
      <c r="C597" s="21">
        <f t="shared" si="97"/>
        <v>1</v>
      </c>
      <c r="D597" s="662"/>
      <c r="E597" s="21">
        <f t="shared" si="98"/>
        <v>1</v>
      </c>
      <c r="F597" s="662"/>
      <c r="G597" s="21">
        <f t="shared" si="99"/>
        <v>1</v>
      </c>
      <c r="H597" s="662"/>
      <c r="I597" s="21">
        <f t="shared" si="100"/>
        <v>1</v>
      </c>
      <c r="J597" s="662"/>
      <c r="K597" s="21">
        <f t="shared" si="101"/>
        <v>1</v>
      </c>
      <c r="L597" s="662"/>
      <c r="M597" s="21">
        <f t="shared" si="102"/>
        <v>1</v>
      </c>
      <c r="N597" s="662"/>
      <c r="O597" s="21">
        <f t="shared" si="103"/>
        <v>1</v>
      </c>
      <c r="P597" s="662">
        <v>-2</v>
      </c>
      <c r="Q597" s="21">
        <f t="shared" si="104"/>
        <v>0.95</v>
      </c>
      <c r="R597" s="659">
        <f t="shared" ca="1" si="105"/>
        <v>4429</v>
      </c>
      <c r="S597" s="316">
        <f t="shared" ca="1" si="106"/>
        <v>18</v>
      </c>
      <c r="T597" s="720" t="str">
        <f>商办车库!H706</f>
        <v>车位</v>
      </c>
    </row>
    <row r="598" spans="1:20">
      <c r="A598" s="3539" t="str">
        <f>商办车库!E707</f>
        <v>B2220</v>
      </c>
      <c r="B598" s="54">
        <f>商办车库!F707</f>
        <v>40.43</v>
      </c>
      <c r="C598" s="21">
        <f t="shared" si="97"/>
        <v>1</v>
      </c>
      <c r="D598" s="662"/>
      <c r="E598" s="21">
        <f t="shared" si="98"/>
        <v>1</v>
      </c>
      <c r="F598" s="662"/>
      <c r="G598" s="21">
        <f t="shared" si="99"/>
        <v>1</v>
      </c>
      <c r="H598" s="662"/>
      <c r="I598" s="21">
        <f t="shared" si="100"/>
        <v>1</v>
      </c>
      <c r="J598" s="662"/>
      <c r="K598" s="21">
        <f t="shared" si="101"/>
        <v>1</v>
      </c>
      <c r="L598" s="662"/>
      <c r="M598" s="21">
        <f t="shared" si="102"/>
        <v>1</v>
      </c>
      <c r="N598" s="662"/>
      <c r="O598" s="21">
        <f t="shared" si="103"/>
        <v>1</v>
      </c>
      <c r="P598" s="662">
        <v>-2</v>
      </c>
      <c r="Q598" s="21">
        <f t="shared" si="104"/>
        <v>0.95</v>
      </c>
      <c r="R598" s="659">
        <f t="shared" ca="1" si="105"/>
        <v>4429</v>
      </c>
      <c r="S598" s="316">
        <f t="shared" ca="1" si="106"/>
        <v>18</v>
      </c>
      <c r="T598" s="720" t="str">
        <f>商办车库!H707</f>
        <v>车位</v>
      </c>
    </row>
    <row r="599" spans="1:20">
      <c r="A599" s="3539" t="str">
        <f>商办车库!E708</f>
        <v>B2221</v>
      </c>
      <c r="B599" s="54">
        <f>商办车库!F708</f>
        <v>40.43</v>
      </c>
      <c r="C599" s="21">
        <f t="shared" si="97"/>
        <v>1</v>
      </c>
      <c r="D599" s="662"/>
      <c r="E599" s="21">
        <f t="shared" si="98"/>
        <v>1</v>
      </c>
      <c r="F599" s="662"/>
      <c r="G599" s="21">
        <f t="shared" si="99"/>
        <v>1</v>
      </c>
      <c r="H599" s="662"/>
      <c r="I599" s="21">
        <f t="shared" si="100"/>
        <v>1</v>
      </c>
      <c r="J599" s="662"/>
      <c r="K599" s="21">
        <f t="shared" si="101"/>
        <v>1</v>
      </c>
      <c r="L599" s="662"/>
      <c r="M599" s="21">
        <f t="shared" si="102"/>
        <v>1</v>
      </c>
      <c r="N599" s="662"/>
      <c r="O599" s="21">
        <f t="shared" si="103"/>
        <v>1</v>
      </c>
      <c r="P599" s="662">
        <v>-2</v>
      </c>
      <c r="Q599" s="21">
        <f t="shared" si="104"/>
        <v>0.95</v>
      </c>
      <c r="R599" s="659">
        <f t="shared" ca="1" si="105"/>
        <v>4429</v>
      </c>
      <c r="S599" s="316">
        <f t="shared" ca="1" si="106"/>
        <v>18</v>
      </c>
      <c r="T599" s="720" t="str">
        <f>商办车库!H708</f>
        <v>车位</v>
      </c>
    </row>
    <row r="600" spans="1:20">
      <c r="A600" s="3539" t="str">
        <f>商办车库!E709</f>
        <v>B2222</v>
      </c>
      <c r="B600" s="54">
        <f>商办车库!F709</f>
        <v>40.43</v>
      </c>
      <c r="C600" s="21">
        <f t="shared" si="97"/>
        <v>1</v>
      </c>
      <c r="D600" s="662"/>
      <c r="E600" s="21">
        <f t="shared" si="98"/>
        <v>1</v>
      </c>
      <c r="F600" s="662"/>
      <c r="G600" s="21">
        <f t="shared" si="99"/>
        <v>1</v>
      </c>
      <c r="H600" s="662"/>
      <c r="I600" s="21">
        <f t="shared" si="100"/>
        <v>1</v>
      </c>
      <c r="J600" s="662"/>
      <c r="K600" s="21">
        <f t="shared" si="101"/>
        <v>1</v>
      </c>
      <c r="L600" s="662"/>
      <c r="M600" s="21">
        <f t="shared" si="102"/>
        <v>1</v>
      </c>
      <c r="N600" s="662"/>
      <c r="O600" s="21">
        <f t="shared" si="103"/>
        <v>1</v>
      </c>
      <c r="P600" s="662">
        <v>-2</v>
      </c>
      <c r="Q600" s="21">
        <f t="shared" si="104"/>
        <v>0.95</v>
      </c>
      <c r="R600" s="659">
        <f t="shared" ca="1" si="105"/>
        <v>4429</v>
      </c>
      <c r="S600" s="316">
        <f t="shared" ca="1" si="106"/>
        <v>18</v>
      </c>
      <c r="T600" s="720" t="str">
        <f>商办车库!H709</f>
        <v>车位</v>
      </c>
    </row>
    <row r="601" spans="1:20">
      <c r="A601" s="3539" t="str">
        <f>商办车库!E710</f>
        <v>B2223</v>
      </c>
      <c r="B601" s="54">
        <f>商办车库!F710</f>
        <v>40.43</v>
      </c>
      <c r="C601" s="21">
        <f t="shared" si="97"/>
        <v>1</v>
      </c>
      <c r="D601" s="662"/>
      <c r="E601" s="21">
        <f t="shared" si="98"/>
        <v>1</v>
      </c>
      <c r="F601" s="662"/>
      <c r="G601" s="21">
        <f t="shared" si="99"/>
        <v>1</v>
      </c>
      <c r="H601" s="662"/>
      <c r="I601" s="21">
        <f t="shared" si="100"/>
        <v>1</v>
      </c>
      <c r="J601" s="662"/>
      <c r="K601" s="21">
        <f t="shared" si="101"/>
        <v>1</v>
      </c>
      <c r="L601" s="662"/>
      <c r="M601" s="21">
        <f t="shared" si="102"/>
        <v>1</v>
      </c>
      <c r="N601" s="662"/>
      <c r="O601" s="21">
        <f t="shared" si="103"/>
        <v>1</v>
      </c>
      <c r="P601" s="662">
        <v>-2</v>
      </c>
      <c r="Q601" s="21">
        <f t="shared" si="104"/>
        <v>0.95</v>
      </c>
      <c r="R601" s="659">
        <f t="shared" ca="1" si="105"/>
        <v>4429</v>
      </c>
      <c r="S601" s="316">
        <f t="shared" ca="1" si="106"/>
        <v>18</v>
      </c>
      <c r="T601" s="720" t="str">
        <f>商办车库!H710</f>
        <v>车位</v>
      </c>
    </row>
    <row r="602" spans="1:20">
      <c r="A602" s="3539" t="str">
        <f>商办车库!E711</f>
        <v>B2224</v>
      </c>
      <c r="B602" s="54">
        <f>商办车库!F711</f>
        <v>40.43</v>
      </c>
      <c r="C602" s="21">
        <f t="shared" si="97"/>
        <v>1</v>
      </c>
      <c r="D602" s="662"/>
      <c r="E602" s="21">
        <f t="shared" si="98"/>
        <v>1</v>
      </c>
      <c r="F602" s="662"/>
      <c r="G602" s="21">
        <f t="shared" si="99"/>
        <v>1</v>
      </c>
      <c r="H602" s="662"/>
      <c r="I602" s="21">
        <f t="shared" si="100"/>
        <v>1</v>
      </c>
      <c r="J602" s="662"/>
      <c r="K602" s="21">
        <f t="shared" si="101"/>
        <v>1</v>
      </c>
      <c r="L602" s="662"/>
      <c r="M602" s="21">
        <f t="shared" si="102"/>
        <v>1</v>
      </c>
      <c r="N602" s="662"/>
      <c r="O602" s="21">
        <f t="shared" si="103"/>
        <v>1</v>
      </c>
      <c r="P602" s="662">
        <v>-2</v>
      </c>
      <c r="Q602" s="21">
        <f t="shared" si="104"/>
        <v>0.95</v>
      </c>
      <c r="R602" s="659">
        <f t="shared" ca="1" si="105"/>
        <v>4429</v>
      </c>
      <c r="S602" s="316">
        <f t="shared" ca="1" si="106"/>
        <v>18</v>
      </c>
      <c r="T602" s="720" t="str">
        <f>商办车库!H711</f>
        <v>车位</v>
      </c>
    </row>
    <row r="603" spans="1:20">
      <c r="A603" s="3539" t="str">
        <f>商办车库!E712</f>
        <v>B2225</v>
      </c>
      <c r="B603" s="54">
        <f>商办车库!F712</f>
        <v>40.43</v>
      </c>
      <c r="C603" s="21">
        <f t="shared" si="97"/>
        <v>1</v>
      </c>
      <c r="D603" s="662"/>
      <c r="E603" s="21">
        <f t="shared" si="98"/>
        <v>1</v>
      </c>
      <c r="F603" s="662"/>
      <c r="G603" s="21">
        <f t="shared" si="99"/>
        <v>1</v>
      </c>
      <c r="H603" s="662"/>
      <c r="I603" s="21">
        <f t="shared" si="100"/>
        <v>1</v>
      </c>
      <c r="J603" s="662"/>
      <c r="K603" s="21">
        <f t="shared" si="101"/>
        <v>1</v>
      </c>
      <c r="L603" s="662"/>
      <c r="M603" s="21">
        <f t="shared" si="102"/>
        <v>1</v>
      </c>
      <c r="N603" s="662"/>
      <c r="O603" s="21">
        <f t="shared" si="103"/>
        <v>1</v>
      </c>
      <c r="P603" s="662">
        <v>-2</v>
      </c>
      <c r="Q603" s="21">
        <f t="shared" si="104"/>
        <v>0.95</v>
      </c>
      <c r="R603" s="659">
        <f t="shared" ca="1" si="105"/>
        <v>4429</v>
      </c>
      <c r="S603" s="316">
        <f t="shared" ca="1" si="106"/>
        <v>18</v>
      </c>
      <c r="T603" s="720" t="str">
        <f>商办车库!H712</f>
        <v>车位</v>
      </c>
    </row>
    <row r="604" spans="1:20">
      <c r="A604" s="3539" t="str">
        <f>商办车库!E713</f>
        <v>B2226</v>
      </c>
      <c r="B604" s="54">
        <f>商办车库!F713</f>
        <v>40.43</v>
      </c>
      <c r="C604" s="21">
        <f t="shared" si="97"/>
        <v>1</v>
      </c>
      <c r="D604" s="662"/>
      <c r="E604" s="21">
        <f t="shared" si="98"/>
        <v>1</v>
      </c>
      <c r="F604" s="662"/>
      <c r="G604" s="21">
        <f t="shared" si="99"/>
        <v>1</v>
      </c>
      <c r="H604" s="662"/>
      <c r="I604" s="21">
        <f t="shared" si="100"/>
        <v>1</v>
      </c>
      <c r="J604" s="662"/>
      <c r="K604" s="21">
        <f t="shared" si="101"/>
        <v>1</v>
      </c>
      <c r="L604" s="662"/>
      <c r="M604" s="21">
        <f t="shared" si="102"/>
        <v>1</v>
      </c>
      <c r="N604" s="662"/>
      <c r="O604" s="21">
        <f t="shared" si="103"/>
        <v>1</v>
      </c>
      <c r="P604" s="662">
        <v>-2</v>
      </c>
      <c r="Q604" s="21">
        <f t="shared" si="104"/>
        <v>0.95</v>
      </c>
      <c r="R604" s="659">
        <f t="shared" ca="1" si="105"/>
        <v>4429</v>
      </c>
      <c r="S604" s="316">
        <f t="shared" ca="1" si="106"/>
        <v>18</v>
      </c>
      <c r="T604" s="720" t="str">
        <f>商办车库!H713</f>
        <v>车位</v>
      </c>
    </row>
    <row r="605" spans="1:20">
      <c r="A605" s="3539" t="str">
        <f>商办车库!E714</f>
        <v>B2227</v>
      </c>
      <c r="B605" s="54">
        <f>商办车库!F714</f>
        <v>40.43</v>
      </c>
      <c r="C605" s="21">
        <f t="shared" si="97"/>
        <v>1</v>
      </c>
      <c r="D605" s="662"/>
      <c r="E605" s="21">
        <f t="shared" si="98"/>
        <v>1</v>
      </c>
      <c r="F605" s="662"/>
      <c r="G605" s="21">
        <f t="shared" si="99"/>
        <v>1</v>
      </c>
      <c r="H605" s="662"/>
      <c r="I605" s="21">
        <f t="shared" si="100"/>
        <v>1</v>
      </c>
      <c r="J605" s="662"/>
      <c r="K605" s="21">
        <f t="shared" si="101"/>
        <v>1</v>
      </c>
      <c r="L605" s="662"/>
      <c r="M605" s="21">
        <f t="shared" si="102"/>
        <v>1</v>
      </c>
      <c r="N605" s="662"/>
      <c r="O605" s="21">
        <f t="shared" si="103"/>
        <v>1</v>
      </c>
      <c r="P605" s="662">
        <v>-2</v>
      </c>
      <c r="Q605" s="21">
        <f t="shared" si="104"/>
        <v>0.95</v>
      </c>
      <c r="R605" s="659">
        <f t="shared" ca="1" si="105"/>
        <v>4429</v>
      </c>
      <c r="S605" s="316">
        <f t="shared" ca="1" si="106"/>
        <v>18</v>
      </c>
      <c r="T605" s="720" t="str">
        <f>商办车库!H714</f>
        <v>车位</v>
      </c>
    </row>
    <row r="606" spans="1:20">
      <c r="A606" s="3539" t="str">
        <f>商办车库!E715</f>
        <v>B2228</v>
      </c>
      <c r="B606" s="54">
        <f>商办车库!F715</f>
        <v>40.43</v>
      </c>
      <c r="C606" s="21">
        <f t="shared" ref="C606:C669" si="107">IF(B606="",1,(LOOKUP(B606,$3:$3,$4:$4)-LOOKUP($B$24,$3:$3,$4:$4)+100)/100)</f>
        <v>1</v>
      </c>
      <c r="D606" s="662"/>
      <c r="E606" s="21">
        <f t="shared" ref="E606:E669" si="108">(SUMIF($5:$5,D606,$6:$6)-SUMIF($5:$5,$D$24,$6:$6)+100)/100</f>
        <v>1</v>
      </c>
      <c r="F606" s="662"/>
      <c r="G606" s="21">
        <f t="shared" ref="G606:G669" si="109">(SUMIF($7:$7,F606,$8:$8)-SUMIF($7:$7,$F$24,$8:$8)+100)/100</f>
        <v>1</v>
      </c>
      <c r="H606" s="662"/>
      <c r="I606" s="21">
        <f t="shared" ref="I606:I669" si="110">(SUMIF($9:$9,H606,$10:$10)-SUMIF($9:$9,$H$24,$10:$10)+100)/100</f>
        <v>1</v>
      </c>
      <c r="J606" s="662"/>
      <c r="K606" s="21">
        <f t="shared" ref="K606:K669" si="111">(SUMIF($11:$11,J606,$12:$12)-SUMIF($11:$11,$J$24,$12:$12)+100)/100</f>
        <v>1</v>
      </c>
      <c r="L606" s="662"/>
      <c r="M606" s="21">
        <f t="shared" ref="M606:M669" si="112">(SUMIF($13:$13,L606,$14:$14)-SUMIF($13:$13,$L$24,$14:$14)+100)/100</f>
        <v>1</v>
      </c>
      <c r="N606" s="662"/>
      <c r="O606" s="21">
        <f t="shared" ref="O606:O669" si="113">(SUMIF($15:$15,N606,$16:$16)-SUMIF($15:$15,$N$24,$16:$16)+100)/100</f>
        <v>1</v>
      </c>
      <c r="P606" s="662">
        <v>-2</v>
      </c>
      <c r="Q606" s="21">
        <f t="shared" ref="Q606:Q669" si="114">(SUMIF($17:$17,P606,$18:$18)-SUMIF($17:$17,$P$24,$18:$18)+100)/100</f>
        <v>0.95</v>
      </c>
      <c r="R606" s="659">
        <f t="shared" ref="R606:R669" ca="1" si="115">IF(B606="",0,ROUND($R$24*C606*E606*G606*I606*K606*M606*O606*Q606,0))</f>
        <v>4429</v>
      </c>
      <c r="S606" s="316">
        <f t="shared" ref="S606:S669" ca="1" si="116">ROUND(R606*B606/10000,0)</f>
        <v>18</v>
      </c>
      <c r="T606" s="720" t="str">
        <f>商办车库!H715</f>
        <v>车位</v>
      </c>
    </row>
    <row r="607" spans="1:20">
      <c r="A607" s="3539" t="str">
        <f>商办车库!E716</f>
        <v>B2229</v>
      </c>
      <c r="B607" s="54">
        <f>商办车库!F716</f>
        <v>40.43</v>
      </c>
      <c r="C607" s="21">
        <f t="shared" si="107"/>
        <v>1</v>
      </c>
      <c r="D607" s="662"/>
      <c r="E607" s="21">
        <f t="shared" si="108"/>
        <v>1</v>
      </c>
      <c r="F607" s="662"/>
      <c r="G607" s="21">
        <f t="shared" si="109"/>
        <v>1</v>
      </c>
      <c r="H607" s="662"/>
      <c r="I607" s="21">
        <f t="shared" si="110"/>
        <v>1</v>
      </c>
      <c r="J607" s="662"/>
      <c r="K607" s="21">
        <f t="shared" si="111"/>
        <v>1</v>
      </c>
      <c r="L607" s="662"/>
      <c r="M607" s="21">
        <f t="shared" si="112"/>
        <v>1</v>
      </c>
      <c r="N607" s="662"/>
      <c r="O607" s="21">
        <f t="shared" si="113"/>
        <v>1</v>
      </c>
      <c r="P607" s="662">
        <v>-2</v>
      </c>
      <c r="Q607" s="21">
        <f t="shared" si="114"/>
        <v>0.95</v>
      </c>
      <c r="R607" s="659">
        <f t="shared" ca="1" si="115"/>
        <v>4429</v>
      </c>
      <c r="S607" s="316">
        <f t="shared" ca="1" si="116"/>
        <v>18</v>
      </c>
      <c r="T607" s="720" t="str">
        <f>商办车库!H716</f>
        <v>车位</v>
      </c>
    </row>
    <row r="608" spans="1:20">
      <c r="A608" s="3539" t="str">
        <f>商办车库!E717</f>
        <v>B2230</v>
      </c>
      <c r="B608" s="54">
        <f>商办车库!F717</f>
        <v>40.43</v>
      </c>
      <c r="C608" s="21">
        <f t="shared" si="107"/>
        <v>1</v>
      </c>
      <c r="D608" s="662"/>
      <c r="E608" s="21">
        <f t="shared" si="108"/>
        <v>1</v>
      </c>
      <c r="F608" s="662"/>
      <c r="G608" s="21">
        <f t="shared" si="109"/>
        <v>1</v>
      </c>
      <c r="H608" s="662"/>
      <c r="I608" s="21">
        <f t="shared" si="110"/>
        <v>1</v>
      </c>
      <c r="J608" s="662"/>
      <c r="K608" s="21">
        <f t="shared" si="111"/>
        <v>1</v>
      </c>
      <c r="L608" s="662"/>
      <c r="M608" s="21">
        <f t="shared" si="112"/>
        <v>1</v>
      </c>
      <c r="N608" s="662"/>
      <c r="O608" s="21">
        <f t="shared" si="113"/>
        <v>1</v>
      </c>
      <c r="P608" s="662">
        <v>-2</v>
      </c>
      <c r="Q608" s="21">
        <f t="shared" si="114"/>
        <v>0.95</v>
      </c>
      <c r="R608" s="659">
        <f t="shared" ca="1" si="115"/>
        <v>4429</v>
      </c>
      <c r="S608" s="316">
        <f t="shared" ca="1" si="116"/>
        <v>18</v>
      </c>
      <c r="T608" s="720" t="str">
        <f>商办车库!H717</f>
        <v>车位</v>
      </c>
    </row>
    <row r="609" spans="1:20">
      <c r="A609" s="3539" t="str">
        <f>商办车库!E718</f>
        <v>B2231</v>
      </c>
      <c r="B609" s="54">
        <f>商办车库!F718</f>
        <v>40.43</v>
      </c>
      <c r="C609" s="21">
        <f t="shared" si="107"/>
        <v>1</v>
      </c>
      <c r="D609" s="662"/>
      <c r="E609" s="21">
        <f t="shared" si="108"/>
        <v>1</v>
      </c>
      <c r="F609" s="662"/>
      <c r="G609" s="21">
        <f t="shared" si="109"/>
        <v>1</v>
      </c>
      <c r="H609" s="662"/>
      <c r="I609" s="21">
        <f t="shared" si="110"/>
        <v>1</v>
      </c>
      <c r="J609" s="662"/>
      <c r="K609" s="21">
        <f t="shared" si="111"/>
        <v>1</v>
      </c>
      <c r="L609" s="662"/>
      <c r="M609" s="21">
        <f t="shared" si="112"/>
        <v>1</v>
      </c>
      <c r="N609" s="662"/>
      <c r="O609" s="21">
        <f t="shared" si="113"/>
        <v>1</v>
      </c>
      <c r="P609" s="662">
        <v>-2</v>
      </c>
      <c r="Q609" s="21">
        <f t="shared" si="114"/>
        <v>0.95</v>
      </c>
      <c r="R609" s="659">
        <f t="shared" ca="1" si="115"/>
        <v>4429</v>
      </c>
      <c r="S609" s="316">
        <f t="shared" ca="1" si="116"/>
        <v>18</v>
      </c>
      <c r="T609" s="720" t="str">
        <f>商办车库!H718</f>
        <v>车位</v>
      </c>
    </row>
    <row r="610" spans="1:20">
      <c r="A610" s="3539" t="str">
        <f>商办车库!E719</f>
        <v>B2232</v>
      </c>
      <c r="B610" s="54">
        <f>商办车库!F719</f>
        <v>40.43</v>
      </c>
      <c r="C610" s="21">
        <f t="shared" si="107"/>
        <v>1</v>
      </c>
      <c r="D610" s="662"/>
      <c r="E610" s="21">
        <f t="shared" si="108"/>
        <v>1</v>
      </c>
      <c r="F610" s="662"/>
      <c r="G610" s="21">
        <f t="shared" si="109"/>
        <v>1</v>
      </c>
      <c r="H610" s="662"/>
      <c r="I610" s="21">
        <f t="shared" si="110"/>
        <v>1</v>
      </c>
      <c r="J610" s="662"/>
      <c r="K610" s="21">
        <f t="shared" si="111"/>
        <v>1</v>
      </c>
      <c r="L610" s="662"/>
      <c r="M610" s="21">
        <f t="shared" si="112"/>
        <v>1</v>
      </c>
      <c r="N610" s="662"/>
      <c r="O610" s="21">
        <f t="shared" si="113"/>
        <v>1</v>
      </c>
      <c r="P610" s="662">
        <v>-2</v>
      </c>
      <c r="Q610" s="21">
        <f t="shared" si="114"/>
        <v>0.95</v>
      </c>
      <c r="R610" s="659">
        <f t="shared" ca="1" si="115"/>
        <v>4429</v>
      </c>
      <c r="S610" s="316">
        <f t="shared" ca="1" si="116"/>
        <v>18</v>
      </c>
      <c r="T610" s="720" t="str">
        <f>商办车库!H719</f>
        <v>车位</v>
      </c>
    </row>
    <row r="611" spans="1:20">
      <c r="A611" s="3539" t="str">
        <f>商办车库!E720</f>
        <v>B2233</v>
      </c>
      <c r="B611" s="54">
        <f>商办车库!F720</f>
        <v>40.43</v>
      </c>
      <c r="C611" s="21">
        <f t="shared" si="107"/>
        <v>1</v>
      </c>
      <c r="D611" s="662"/>
      <c r="E611" s="21">
        <f t="shared" si="108"/>
        <v>1</v>
      </c>
      <c r="F611" s="662"/>
      <c r="G611" s="21">
        <f t="shared" si="109"/>
        <v>1</v>
      </c>
      <c r="H611" s="662"/>
      <c r="I611" s="21">
        <f t="shared" si="110"/>
        <v>1</v>
      </c>
      <c r="J611" s="662"/>
      <c r="K611" s="21">
        <f t="shared" si="111"/>
        <v>1</v>
      </c>
      <c r="L611" s="662"/>
      <c r="M611" s="21">
        <f t="shared" si="112"/>
        <v>1</v>
      </c>
      <c r="N611" s="662"/>
      <c r="O611" s="21">
        <f t="shared" si="113"/>
        <v>1</v>
      </c>
      <c r="P611" s="662">
        <v>-2</v>
      </c>
      <c r="Q611" s="21">
        <f t="shared" si="114"/>
        <v>0.95</v>
      </c>
      <c r="R611" s="659">
        <f t="shared" ca="1" si="115"/>
        <v>4429</v>
      </c>
      <c r="S611" s="316">
        <f t="shared" ca="1" si="116"/>
        <v>18</v>
      </c>
      <c r="T611" s="720" t="str">
        <f>商办车库!H720</f>
        <v>车位</v>
      </c>
    </row>
    <row r="612" spans="1:20">
      <c r="A612" s="3539" t="str">
        <f>商办车库!E721</f>
        <v>B2234</v>
      </c>
      <c r="B612" s="54">
        <f>商办车库!F721</f>
        <v>40.43</v>
      </c>
      <c r="C612" s="21">
        <f t="shared" si="107"/>
        <v>1</v>
      </c>
      <c r="D612" s="662"/>
      <c r="E612" s="21">
        <f t="shared" si="108"/>
        <v>1</v>
      </c>
      <c r="F612" s="662"/>
      <c r="G612" s="21">
        <f t="shared" si="109"/>
        <v>1</v>
      </c>
      <c r="H612" s="662"/>
      <c r="I612" s="21">
        <f t="shared" si="110"/>
        <v>1</v>
      </c>
      <c r="J612" s="662"/>
      <c r="K612" s="21">
        <f t="shared" si="111"/>
        <v>1</v>
      </c>
      <c r="L612" s="662"/>
      <c r="M612" s="21">
        <f t="shared" si="112"/>
        <v>1</v>
      </c>
      <c r="N612" s="662"/>
      <c r="O612" s="21">
        <f t="shared" si="113"/>
        <v>1</v>
      </c>
      <c r="P612" s="662">
        <v>-2</v>
      </c>
      <c r="Q612" s="21">
        <f t="shared" si="114"/>
        <v>0.95</v>
      </c>
      <c r="R612" s="659">
        <f t="shared" ca="1" si="115"/>
        <v>4429</v>
      </c>
      <c r="S612" s="316">
        <f t="shared" ca="1" si="116"/>
        <v>18</v>
      </c>
      <c r="T612" s="720" t="str">
        <f>商办车库!H721</f>
        <v>车位</v>
      </c>
    </row>
    <row r="613" spans="1:20">
      <c r="A613" s="3539" t="str">
        <f>商办车库!E722</f>
        <v>B2235</v>
      </c>
      <c r="B613" s="54">
        <f>商办车库!F722</f>
        <v>40.43</v>
      </c>
      <c r="C613" s="21">
        <f t="shared" si="107"/>
        <v>1</v>
      </c>
      <c r="D613" s="662"/>
      <c r="E613" s="21">
        <f t="shared" si="108"/>
        <v>1</v>
      </c>
      <c r="F613" s="662"/>
      <c r="G613" s="21">
        <f t="shared" si="109"/>
        <v>1</v>
      </c>
      <c r="H613" s="662"/>
      <c r="I613" s="21">
        <f t="shared" si="110"/>
        <v>1</v>
      </c>
      <c r="J613" s="662"/>
      <c r="K613" s="21">
        <f t="shared" si="111"/>
        <v>1</v>
      </c>
      <c r="L613" s="662"/>
      <c r="M613" s="21">
        <f t="shared" si="112"/>
        <v>1</v>
      </c>
      <c r="N613" s="662"/>
      <c r="O613" s="21">
        <f t="shared" si="113"/>
        <v>1</v>
      </c>
      <c r="P613" s="662">
        <v>-2</v>
      </c>
      <c r="Q613" s="21">
        <f t="shared" si="114"/>
        <v>0.95</v>
      </c>
      <c r="R613" s="659">
        <f t="shared" ca="1" si="115"/>
        <v>4429</v>
      </c>
      <c r="S613" s="316">
        <f t="shared" ca="1" si="116"/>
        <v>18</v>
      </c>
      <c r="T613" s="720" t="str">
        <f>商办车库!H722</f>
        <v>车位</v>
      </c>
    </row>
    <row r="614" spans="1:20">
      <c r="A614" s="3539" t="str">
        <f>商办车库!E723</f>
        <v>B2236</v>
      </c>
      <c r="B614" s="54">
        <f>商办车库!F723</f>
        <v>40.43</v>
      </c>
      <c r="C614" s="21">
        <f t="shared" si="107"/>
        <v>1</v>
      </c>
      <c r="D614" s="662"/>
      <c r="E614" s="21">
        <f t="shared" si="108"/>
        <v>1</v>
      </c>
      <c r="F614" s="662"/>
      <c r="G614" s="21">
        <f t="shared" si="109"/>
        <v>1</v>
      </c>
      <c r="H614" s="662"/>
      <c r="I614" s="21">
        <f t="shared" si="110"/>
        <v>1</v>
      </c>
      <c r="J614" s="662"/>
      <c r="K614" s="21">
        <f t="shared" si="111"/>
        <v>1</v>
      </c>
      <c r="L614" s="662"/>
      <c r="M614" s="21">
        <f t="shared" si="112"/>
        <v>1</v>
      </c>
      <c r="N614" s="662"/>
      <c r="O614" s="21">
        <f t="shared" si="113"/>
        <v>1</v>
      </c>
      <c r="P614" s="662">
        <v>-2</v>
      </c>
      <c r="Q614" s="21">
        <f t="shared" si="114"/>
        <v>0.95</v>
      </c>
      <c r="R614" s="659">
        <f t="shared" ca="1" si="115"/>
        <v>4429</v>
      </c>
      <c r="S614" s="316">
        <f t="shared" ca="1" si="116"/>
        <v>18</v>
      </c>
      <c r="T614" s="720" t="str">
        <f>商办车库!H723</f>
        <v>车位</v>
      </c>
    </row>
    <row r="615" spans="1:20">
      <c r="A615" s="3539" t="str">
        <f>商办车库!E724</f>
        <v>B2237</v>
      </c>
      <c r="B615" s="54">
        <f>商办车库!F724</f>
        <v>40.43</v>
      </c>
      <c r="C615" s="21">
        <f t="shared" si="107"/>
        <v>1</v>
      </c>
      <c r="D615" s="662"/>
      <c r="E615" s="21">
        <f t="shared" si="108"/>
        <v>1</v>
      </c>
      <c r="F615" s="662"/>
      <c r="G615" s="21">
        <f t="shared" si="109"/>
        <v>1</v>
      </c>
      <c r="H615" s="662"/>
      <c r="I615" s="21">
        <f t="shared" si="110"/>
        <v>1</v>
      </c>
      <c r="J615" s="662"/>
      <c r="K615" s="21">
        <f t="shared" si="111"/>
        <v>1</v>
      </c>
      <c r="L615" s="662"/>
      <c r="M615" s="21">
        <f t="shared" si="112"/>
        <v>1</v>
      </c>
      <c r="N615" s="662"/>
      <c r="O615" s="21">
        <f t="shared" si="113"/>
        <v>1</v>
      </c>
      <c r="P615" s="662">
        <v>-2</v>
      </c>
      <c r="Q615" s="21">
        <f t="shared" si="114"/>
        <v>0.95</v>
      </c>
      <c r="R615" s="659">
        <f t="shared" ca="1" si="115"/>
        <v>4429</v>
      </c>
      <c r="S615" s="316">
        <f t="shared" ca="1" si="116"/>
        <v>18</v>
      </c>
      <c r="T615" s="720" t="str">
        <f>商办车库!H724</f>
        <v>车位</v>
      </c>
    </row>
    <row r="616" spans="1:20">
      <c r="A616" s="3539" t="str">
        <f>商办车库!E725</f>
        <v>B2238</v>
      </c>
      <c r="B616" s="54">
        <f>商办车库!F725</f>
        <v>40.43</v>
      </c>
      <c r="C616" s="21">
        <f t="shared" si="107"/>
        <v>1</v>
      </c>
      <c r="D616" s="662"/>
      <c r="E616" s="21">
        <f t="shared" si="108"/>
        <v>1</v>
      </c>
      <c r="F616" s="662"/>
      <c r="G616" s="21">
        <f t="shared" si="109"/>
        <v>1</v>
      </c>
      <c r="H616" s="662"/>
      <c r="I616" s="21">
        <f t="shared" si="110"/>
        <v>1</v>
      </c>
      <c r="J616" s="662"/>
      <c r="K616" s="21">
        <f t="shared" si="111"/>
        <v>1</v>
      </c>
      <c r="L616" s="662"/>
      <c r="M616" s="21">
        <f t="shared" si="112"/>
        <v>1</v>
      </c>
      <c r="N616" s="662"/>
      <c r="O616" s="21">
        <f t="shared" si="113"/>
        <v>1</v>
      </c>
      <c r="P616" s="662">
        <v>-2</v>
      </c>
      <c r="Q616" s="21">
        <f t="shared" si="114"/>
        <v>0.95</v>
      </c>
      <c r="R616" s="659">
        <f t="shared" ca="1" si="115"/>
        <v>4429</v>
      </c>
      <c r="S616" s="316">
        <f t="shared" ca="1" si="116"/>
        <v>18</v>
      </c>
      <c r="T616" s="720" t="str">
        <f>商办车库!H725</f>
        <v>车位</v>
      </c>
    </row>
    <row r="617" spans="1:20">
      <c r="A617" s="3539" t="str">
        <f>商办车库!E726</f>
        <v>B2239</v>
      </c>
      <c r="B617" s="54">
        <f>商办车库!F726</f>
        <v>40.43</v>
      </c>
      <c r="C617" s="21">
        <f t="shared" si="107"/>
        <v>1</v>
      </c>
      <c r="D617" s="662"/>
      <c r="E617" s="21">
        <f t="shared" si="108"/>
        <v>1</v>
      </c>
      <c r="F617" s="662"/>
      <c r="G617" s="21">
        <f t="shared" si="109"/>
        <v>1</v>
      </c>
      <c r="H617" s="662"/>
      <c r="I617" s="21">
        <f t="shared" si="110"/>
        <v>1</v>
      </c>
      <c r="J617" s="662"/>
      <c r="K617" s="21">
        <f t="shared" si="111"/>
        <v>1</v>
      </c>
      <c r="L617" s="662"/>
      <c r="M617" s="21">
        <f t="shared" si="112"/>
        <v>1</v>
      </c>
      <c r="N617" s="662"/>
      <c r="O617" s="21">
        <f t="shared" si="113"/>
        <v>1</v>
      </c>
      <c r="P617" s="662">
        <v>-2</v>
      </c>
      <c r="Q617" s="21">
        <f t="shared" si="114"/>
        <v>0.95</v>
      </c>
      <c r="R617" s="659">
        <f t="shared" ca="1" si="115"/>
        <v>4429</v>
      </c>
      <c r="S617" s="316">
        <f t="shared" ca="1" si="116"/>
        <v>18</v>
      </c>
      <c r="T617" s="720" t="str">
        <f>商办车库!H726</f>
        <v>车位</v>
      </c>
    </row>
    <row r="618" spans="1:20">
      <c r="A618" s="3539" t="str">
        <f>商办车库!E727</f>
        <v>B2240</v>
      </c>
      <c r="B618" s="54">
        <f>商办车库!F727</f>
        <v>40.43</v>
      </c>
      <c r="C618" s="21">
        <f t="shared" si="107"/>
        <v>1</v>
      </c>
      <c r="D618" s="662"/>
      <c r="E618" s="21">
        <f t="shared" si="108"/>
        <v>1</v>
      </c>
      <c r="F618" s="662"/>
      <c r="G618" s="21">
        <f t="shared" si="109"/>
        <v>1</v>
      </c>
      <c r="H618" s="662"/>
      <c r="I618" s="21">
        <f t="shared" si="110"/>
        <v>1</v>
      </c>
      <c r="J618" s="662"/>
      <c r="K618" s="21">
        <f t="shared" si="111"/>
        <v>1</v>
      </c>
      <c r="L618" s="662"/>
      <c r="M618" s="21">
        <f t="shared" si="112"/>
        <v>1</v>
      </c>
      <c r="N618" s="662"/>
      <c r="O618" s="21">
        <f t="shared" si="113"/>
        <v>1</v>
      </c>
      <c r="P618" s="662">
        <v>-2</v>
      </c>
      <c r="Q618" s="21">
        <f t="shared" si="114"/>
        <v>0.95</v>
      </c>
      <c r="R618" s="659">
        <f t="shared" ca="1" si="115"/>
        <v>4429</v>
      </c>
      <c r="S618" s="316">
        <f t="shared" ca="1" si="116"/>
        <v>18</v>
      </c>
      <c r="T618" s="720" t="str">
        <f>商办车库!H727</f>
        <v>车位</v>
      </c>
    </row>
    <row r="619" spans="1:20">
      <c r="A619" s="3539" t="str">
        <f>商办车库!E728</f>
        <v>B2241</v>
      </c>
      <c r="B619" s="54">
        <f>商办车库!F728</f>
        <v>40.43</v>
      </c>
      <c r="C619" s="21">
        <f t="shared" si="107"/>
        <v>1</v>
      </c>
      <c r="D619" s="662"/>
      <c r="E619" s="21">
        <f t="shared" si="108"/>
        <v>1</v>
      </c>
      <c r="F619" s="662"/>
      <c r="G619" s="21">
        <f t="shared" si="109"/>
        <v>1</v>
      </c>
      <c r="H619" s="662"/>
      <c r="I619" s="21">
        <f t="shared" si="110"/>
        <v>1</v>
      </c>
      <c r="J619" s="662"/>
      <c r="K619" s="21">
        <f t="shared" si="111"/>
        <v>1</v>
      </c>
      <c r="L619" s="662"/>
      <c r="M619" s="21">
        <f t="shared" si="112"/>
        <v>1</v>
      </c>
      <c r="N619" s="662"/>
      <c r="O619" s="21">
        <f t="shared" si="113"/>
        <v>1</v>
      </c>
      <c r="P619" s="662">
        <v>-2</v>
      </c>
      <c r="Q619" s="21">
        <f t="shared" si="114"/>
        <v>0.95</v>
      </c>
      <c r="R619" s="659">
        <f t="shared" ca="1" si="115"/>
        <v>4429</v>
      </c>
      <c r="S619" s="316">
        <f t="shared" ca="1" si="116"/>
        <v>18</v>
      </c>
      <c r="T619" s="720" t="str">
        <f>商办车库!H728</f>
        <v>车位</v>
      </c>
    </row>
    <row r="620" spans="1:20">
      <c r="A620" s="3539" t="str">
        <f>商办车库!E729</f>
        <v>B2242</v>
      </c>
      <c r="B620" s="54">
        <f>商办车库!F729</f>
        <v>40.43</v>
      </c>
      <c r="C620" s="21">
        <f t="shared" si="107"/>
        <v>1</v>
      </c>
      <c r="D620" s="662"/>
      <c r="E620" s="21">
        <f t="shared" si="108"/>
        <v>1</v>
      </c>
      <c r="F620" s="662"/>
      <c r="G620" s="21">
        <f t="shared" si="109"/>
        <v>1</v>
      </c>
      <c r="H620" s="662"/>
      <c r="I620" s="21">
        <f t="shared" si="110"/>
        <v>1</v>
      </c>
      <c r="J620" s="662"/>
      <c r="K620" s="21">
        <f t="shared" si="111"/>
        <v>1</v>
      </c>
      <c r="L620" s="662"/>
      <c r="M620" s="21">
        <f t="shared" si="112"/>
        <v>1</v>
      </c>
      <c r="N620" s="662"/>
      <c r="O620" s="21">
        <f t="shared" si="113"/>
        <v>1</v>
      </c>
      <c r="P620" s="662">
        <v>-2</v>
      </c>
      <c r="Q620" s="21">
        <f t="shared" si="114"/>
        <v>0.95</v>
      </c>
      <c r="R620" s="659">
        <f t="shared" ca="1" si="115"/>
        <v>4429</v>
      </c>
      <c r="S620" s="316">
        <f t="shared" ca="1" si="116"/>
        <v>18</v>
      </c>
      <c r="T620" s="720" t="str">
        <f>商办车库!H729</f>
        <v>车位</v>
      </c>
    </row>
    <row r="621" spans="1:20">
      <c r="A621" s="3539" t="str">
        <f>商办车库!E730</f>
        <v>B2243</v>
      </c>
      <c r="B621" s="54">
        <f>商办车库!F730</f>
        <v>40.43</v>
      </c>
      <c r="C621" s="21">
        <f t="shared" si="107"/>
        <v>1</v>
      </c>
      <c r="D621" s="662"/>
      <c r="E621" s="21">
        <f t="shared" si="108"/>
        <v>1</v>
      </c>
      <c r="F621" s="662"/>
      <c r="G621" s="21">
        <f t="shared" si="109"/>
        <v>1</v>
      </c>
      <c r="H621" s="662"/>
      <c r="I621" s="21">
        <f t="shared" si="110"/>
        <v>1</v>
      </c>
      <c r="J621" s="662"/>
      <c r="K621" s="21">
        <f t="shared" si="111"/>
        <v>1</v>
      </c>
      <c r="L621" s="662"/>
      <c r="M621" s="21">
        <f t="shared" si="112"/>
        <v>1</v>
      </c>
      <c r="N621" s="662"/>
      <c r="O621" s="21">
        <f t="shared" si="113"/>
        <v>1</v>
      </c>
      <c r="P621" s="662">
        <v>-2</v>
      </c>
      <c r="Q621" s="21">
        <f t="shared" si="114"/>
        <v>0.95</v>
      </c>
      <c r="R621" s="659">
        <f t="shared" ca="1" si="115"/>
        <v>4429</v>
      </c>
      <c r="S621" s="316">
        <f t="shared" ca="1" si="116"/>
        <v>18</v>
      </c>
      <c r="T621" s="720" t="str">
        <f>商办车库!H730</f>
        <v>车位</v>
      </c>
    </row>
    <row r="622" spans="1:20">
      <c r="A622" s="3539" t="str">
        <f>商办车库!E731</f>
        <v>B2244</v>
      </c>
      <c r="B622" s="54">
        <f>商办车库!F731</f>
        <v>40.43</v>
      </c>
      <c r="C622" s="21">
        <f t="shared" si="107"/>
        <v>1</v>
      </c>
      <c r="D622" s="662"/>
      <c r="E622" s="21">
        <f t="shared" si="108"/>
        <v>1</v>
      </c>
      <c r="F622" s="662"/>
      <c r="G622" s="21">
        <f t="shared" si="109"/>
        <v>1</v>
      </c>
      <c r="H622" s="662"/>
      <c r="I622" s="21">
        <f t="shared" si="110"/>
        <v>1</v>
      </c>
      <c r="J622" s="662"/>
      <c r="K622" s="21">
        <f t="shared" si="111"/>
        <v>1</v>
      </c>
      <c r="L622" s="662"/>
      <c r="M622" s="21">
        <f t="shared" si="112"/>
        <v>1</v>
      </c>
      <c r="N622" s="662"/>
      <c r="O622" s="21">
        <f t="shared" si="113"/>
        <v>1</v>
      </c>
      <c r="P622" s="662">
        <v>-2</v>
      </c>
      <c r="Q622" s="21">
        <f t="shared" si="114"/>
        <v>0.95</v>
      </c>
      <c r="R622" s="659">
        <f t="shared" ca="1" si="115"/>
        <v>4429</v>
      </c>
      <c r="S622" s="316">
        <f t="shared" ca="1" si="116"/>
        <v>18</v>
      </c>
      <c r="T622" s="720" t="str">
        <f>商办车库!H731</f>
        <v>车位</v>
      </c>
    </row>
    <row r="623" spans="1:20">
      <c r="A623" s="3539" t="str">
        <f>商办车库!E732</f>
        <v>B2245</v>
      </c>
      <c r="B623" s="54">
        <f>商办车库!F732</f>
        <v>40.43</v>
      </c>
      <c r="C623" s="21">
        <f t="shared" si="107"/>
        <v>1</v>
      </c>
      <c r="D623" s="662"/>
      <c r="E623" s="21">
        <f t="shared" si="108"/>
        <v>1</v>
      </c>
      <c r="F623" s="662"/>
      <c r="G623" s="21">
        <f t="shared" si="109"/>
        <v>1</v>
      </c>
      <c r="H623" s="662"/>
      <c r="I623" s="21">
        <f t="shared" si="110"/>
        <v>1</v>
      </c>
      <c r="J623" s="662"/>
      <c r="K623" s="21">
        <f t="shared" si="111"/>
        <v>1</v>
      </c>
      <c r="L623" s="662"/>
      <c r="M623" s="21">
        <f t="shared" si="112"/>
        <v>1</v>
      </c>
      <c r="N623" s="662"/>
      <c r="O623" s="21">
        <f t="shared" si="113"/>
        <v>1</v>
      </c>
      <c r="P623" s="662">
        <v>-2</v>
      </c>
      <c r="Q623" s="21">
        <f t="shared" si="114"/>
        <v>0.95</v>
      </c>
      <c r="R623" s="659">
        <f t="shared" ca="1" si="115"/>
        <v>4429</v>
      </c>
      <c r="S623" s="316">
        <f t="shared" ca="1" si="116"/>
        <v>18</v>
      </c>
      <c r="T623" s="720" t="str">
        <f>商办车库!H732</f>
        <v>车位</v>
      </c>
    </row>
    <row r="624" spans="1:20">
      <c r="A624" s="3539" t="str">
        <f>商办车库!E733</f>
        <v>B2246</v>
      </c>
      <c r="B624" s="54">
        <f>商办车库!F733</f>
        <v>40.43</v>
      </c>
      <c r="C624" s="21">
        <f t="shared" si="107"/>
        <v>1</v>
      </c>
      <c r="D624" s="662"/>
      <c r="E624" s="21">
        <f t="shared" si="108"/>
        <v>1</v>
      </c>
      <c r="F624" s="662"/>
      <c r="G624" s="21">
        <f t="shared" si="109"/>
        <v>1</v>
      </c>
      <c r="H624" s="662"/>
      <c r="I624" s="21">
        <f t="shared" si="110"/>
        <v>1</v>
      </c>
      <c r="J624" s="662"/>
      <c r="K624" s="21">
        <f t="shared" si="111"/>
        <v>1</v>
      </c>
      <c r="L624" s="662"/>
      <c r="M624" s="21">
        <f t="shared" si="112"/>
        <v>1</v>
      </c>
      <c r="N624" s="662"/>
      <c r="O624" s="21">
        <f t="shared" si="113"/>
        <v>1</v>
      </c>
      <c r="P624" s="662">
        <v>-2</v>
      </c>
      <c r="Q624" s="21">
        <f t="shared" si="114"/>
        <v>0.95</v>
      </c>
      <c r="R624" s="659">
        <f t="shared" ca="1" si="115"/>
        <v>4429</v>
      </c>
      <c r="S624" s="316">
        <f t="shared" ca="1" si="116"/>
        <v>18</v>
      </c>
      <c r="T624" s="720" t="str">
        <f>商办车库!H733</f>
        <v>车位</v>
      </c>
    </row>
    <row r="625" spans="1:20">
      <c r="A625" s="3539" t="str">
        <f>商办车库!E734</f>
        <v>B2247</v>
      </c>
      <c r="B625" s="54">
        <f>商办车库!F734</f>
        <v>40.43</v>
      </c>
      <c r="C625" s="21">
        <f t="shared" si="107"/>
        <v>1</v>
      </c>
      <c r="D625" s="662"/>
      <c r="E625" s="21">
        <f t="shared" si="108"/>
        <v>1</v>
      </c>
      <c r="F625" s="662"/>
      <c r="G625" s="21">
        <f t="shared" si="109"/>
        <v>1</v>
      </c>
      <c r="H625" s="662"/>
      <c r="I625" s="21">
        <f t="shared" si="110"/>
        <v>1</v>
      </c>
      <c r="J625" s="662"/>
      <c r="K625" s="21">
        <f t="shared" si="111"/>
        <v>1</v>
      </c>
      <c r="L625" s="662"/>
      <c r="M625" s="21">
        <f t="shared" si="112"/>
        <v>1</v>
      </c>
      <c r="N625" s="662"/>
      <c r="O625" s="21">
        <f t="shared" si="113"/>
        <v>1</v>
      </c>
      <c r="P625" s="662">
        <v>-2</v>
      </c>
      <c r="Q625" s="21">
        <f t="shared" si="114"/>
        <v>0.95</v>
      </c>
      <c r="R625" s="659">
        <f t="shared" ca="1" si="115"/>
        <v>4429</v>
      </c>
      <c r="S625" s="316">
        <f t="shared" ca="1" si="116"/>
        <v>18</v>
      </c>
      <c r="T625" s="720" t="str">
        <f>商办车库!H734</f>
        <v>车位</v>
      </c>
    </row>
    <row r="626" spans="1:20">
      <c r="A626" s="3539" t="str">
        <f>商办车库!E735</f>
        <v>B2248</v>
      </c>
      <c r="B626" s="54">
        <f>商办车库!F735</f>
        <v>40.43</v>
      </c>
      <c r="C626" s="21">
        <f t="shared" si="107"/>
        <v>1</v>
      </c>
      <c r="D626" s="662"/>
      <c r="E626" s="21">
        <f t="shared" si="108"/>
        <v>1</v>
      </c>
      <c r="F626" s="662"/>
      <c r="G626" s="21">
        <f t="shared" si="109"/>
        <v>1</v>
      </c>
      <c r="H626" s="662"/>
      <c r="I626" s="21">
        <f t="shared" si="110"/>
        <v>1</v>
      </c>
      <c r="J626" s="662"/>
      <c r="K626" s="21">
        <f t="shared" si="111"/>
        <v>1</v>
      </c>
      <c r="L626" s="662"/>
      <c r="M626" s="21">
        <f t="shared" si="112"/>
        <v>1</v>
      </c>
      <c r="N626" s="662"/>
      <c r="O626" s="21">
        <f t="shared" si="113"/>
        <v>1</v>
      </c>
      <c r="P626" s="662">
        <v>-2</v>
      </c>
      <c r="Q626" s="21">
        <f t="shared" si="114"/>
        <v>0.95</v>
      </c>
      <c r="R626" s="659">
        <f t="shared" ca="1" si="115"/>
        <v>4429</v>
      </c>
      <c r="S626" s="316">
        <f t="shared" ca="1" si="116"/>
        <v>18</v>
      </c>
      <c r="T626" s="720" t="str">
        <f>商办车库!H735</f>
        <v>车位</v>
      </c>
    </row>
    <row r="627" spans="1:20">
      <c r="A627" s="3539" t="str">
        <f>商办车库!E736</f>
        <v>B2249</v>
      </c>
      <c r="B627" s="54">
        <f>商办车库!F736</f>
        <v>40.43</v>
      </c>
      <c r="C627" s="21">
        <f t="shared" si="107"/>
        <v>1</v>
      </c>
      <c r="D627" s="662"/>
      <c r="E627" s="21">
        <f t="shared" si="108"/>
        <v>1</v>
      </c>
      <c r="F627" s="662"/>
      <c r="G627" s="21">
        <f t="shared" si="109"/>
        <v>1</v>
      </c>
      <c r="H627" s="662"/>
      <c r="I627" s="21">
        <f t="shared" si="110"/>
        <v>1</v>
      </c>
      <c r="J627" s="662"/>
      <c r="K627" s="21">
        <f t="shared" si="111"/>
        <v>1</v>
      </c>
      <c r="L627" s="662"/>
      <c r="M627" s="21">
        <f t="shared" si="112"/>
        <v>1</v>
      </c>
      <c r="N627" s="662"/>
      <c r="O627" s="21">
        <f t="shared" si="113"/>
        <v>1</v>
      </c>
      <c r="P627" s="662">
        <v>-2</v>
      </c>
      <c r="Q627" s="21">
        <f t="shared" si="114"/>
        <v>0.95</v>
      </c>
      <c r="R627" s="659">
        <f t="shared" ca="1" si="115"/>
        <v>4429</v>
      </c>
      <c r="S627" s="316">
        <f t="shared" ca="1" si="116"/>
        <v>18</v>
      </c>
      <c r="T627" s="720" t="str">
        <f>商办车库!H736</f>
        <v>车位</v>
      </c>
    </row>
    <row r="628" spans="1:20">
      <c r="A628" s="3539" t="str">
        <f>商办车库!E737</f>
        <v>B2250</v>
      </c>
      <c r="B628" s="54">
        <f>商办车库!F737</f>
        <v>40.43</v>
      </c>
      <c r="C628" s="21">
        <f t="shared" si="107"/>
        <v>1</v>
      </c>
      <c r="D628" s="662"/>
      <c r="E628" s="21">
        <f t="shared" si="108"/>
        <v>1</v>
      </c>
      <c r="F628" s="662"/>
      <c r="G628" s="21">
        <f t="shared" si="109"/>
        <v>1</v>
      </c>
      <c r="H628" s="662"/>
      <c r="I628" s="21">
        <f t="shared" si="110"/>
        <v>1</v>
      </c>
      <c r="J628" s="662"/>
      <c r="K628" s="21">
        <f t="shared" si="111"/>
        <v>1</v>
      </c>
      <c r="L628" s="662"/>
      <c r="M628" s="21">
        <f t="shared" si="112"/>
        <v>1</v>
      </c>
      <c r="N628" s="662"/>
      <c r="O628" s="21">
        <f t="shared" si="113"/>
        <v>1</v>
      </c>
      <c r="P628" s="662">
        <v>-2</v>
      </c>
      <c r="Q628" s="21">
        <f t="shared" si="114"/>
        <v>0.95</v>
      </c>
      <c r="R628" s="659">
        <f t="shared" ca="1" si="115"/>
        <v>4429</v>
      </c>
      <c r="S628" s="316">
        <f t="shared" ca="1" si="116"/>
        <v>18</v>
      </c>
      <c r="T628" s="720" t="str">
        <f>商办车库!H737</f>
        <v>车位</v>
      </c>
    </row>
    <row r="629" spans="1:20">
      <c r="A629" s="3539" t="str">
        <f>商办车库!E738</f>
        <v>B2251</v>
      </c>
      <c r="B629" s="54">
        <f>商办车库!F738</f>
        <v>40.43</v>
      </c>
      <c r="C629" s="21">
        <f t="shared" si="107"/>
        <v>1</v>
      </c>
      <c r="D629" s="662"/>
      <c r="E629" s="21">
        <f t="shared" si="108"/>
        <v>1</v>
      </c>
      <c r="F629" s="662"/>
      <c r="G629" s="21">
        <f t="shared" si="109"/>
        <v>1</v>
      </c>
      <c r="H629" s="662"/>
      <c r="I629" s="21">
        <f t="shared" si="110"/>
        <v>1</v>
      </c>
      <c r="J629" s="662"/>
      <c r="K629" s="21">
        <f t="shared" si="111"/>
        <v>1</v>
      </c>
      <c r="L629" s="662"/>
      <c r="M629" s="21">
        <f t="shared" si="112"/>
        <v>1</v>
      </c>
      <c r="N629" s="662"/>
      <c r="O629" s="21">
        <f t="shared" si="113"/>
        <v>1</v>
      </c>
      <c r="P629" s="662">
        <v>-2</v>
      </c>
      <c r="Q629" s="21">
        <f t="shared" si="114"/>
        <v>0.95</v>
      </c>
      <c r="R629" s="659">
        <f t="shared" ca="1" si="115"/>
        <v>4429</v>
      </c>
      <c r="S629" s="316">
        <f t="shared" ca="1" si="116"/>
        <v>18</v>
      </c>
      <c r="T629" s="720" t="str">
        <f>商办车库!H738</f>
        <v>车位</v>
      </c>
    </row>
    <row r="630" spans="1:20">
      <c r="A630" s="3539" t="str">
        <f>商办车库!E739</f>
        <v>B2252</v>
      </c>
      <c r="B630" s="54">
        <f>商办车库!F739</f>
        <v>40.43</v>
      </c>
      <c r="C630" s="21">
        <f t="shared" si="107"/>
        <v>1</v>
      </c>
      <c r="D630" s="662"/>
      <c r="E630" s="21">
        <f t="shared" si="108"/>
        <v>1</v>
      </c>
      <c r="F630" s="662"/>
      <c r="G630" s="21">
        <f t="shared" si="109"/>
        <v>1</v>
      </c>
      <c r="H630" s="662"/>
      <c r="I630" s="21">
        <f t="shared" si="110"/>
        <v>1</v>
      </c>
      <c r="J630" s="662"/>
      <c r="K630" s="21">
        <f t="shared" si="111"/>
        <v>1</v>
      </c>
      <c r="L630" s="662"/>
      <c r="M630" s="21">
        <f t="shared" si="112"/>
        <v>1</v>
      </c>
      <c r="N630" s="662"/>
      <c r="O630" s="21">
        <f t="shared" si="113"/>
        <v>1</v>
      </c>
      <c r="P630" s="662">
        <v>-2</v>
      </c>
      <c r="Q630" s="21">
        <f t="shared" si="114"/>
        <v>0.95</v>
      </c>
      <c r="R630" s="659">
        <f t="shared" ca="1" si="115"/>
        <v>4429</v>
      </c>
      <c r="S630" s="316">
        <f t="shared" ca="1" si="116"/>
        <v>18</v>
      </c>
      <c r="T630" s="720" t="str">
        <f>商办车库!H739</f>
        <v>车位</v>
      </c>
    </row>
    <row r="631" spans="1:20">
      <c r="A631" s="3539" t="str">
        <f>商办车库!E740</f>
        <v>B2253</v>
      </c>
      <c r="B631" s="54">
        <f>商办车库!F740</f>
        <v>40.43</v>
      </c>
      <c r="C631" s="21">
        <f t="shared" si="107"/>
        <v>1</v>
      </c>
      <c r="D631" s="662"/>
      <c r="E631" s="21">
        <f t="shared" si="108"/>
        <v>1</v>
      </c>
      <c r="F631" s="662"/>
      <c r="G631" s="21">
        <f t="shared" si="109"/>
        <v>1</v>
      </c>
      <c r="H631" s="662"/>
      <c r="I631" s="21">
        <f t="shared" si="110"/>
        <v>1</v>
      </c>
      <c r="J631" s="662"/>
      <c r="K631" s="21">
        <f t="shared" si="111"/>
        <v>1</v>
      </c>
      <c r="L631" s="662"/>
      <c r="M631" s="21">
        <f t="shared" si="112"/>
        <v>1</v>
      </c>
      <c r="N631" s="662"/>
      <c r="O631" s="21">
        <f t="shared" si="113"/>
        <v>1</v>
      </c>
      <c r="P631" s="662">
        <v>-2</v>
      </c>
      <c r="Q631" s="21">
        <f t="shared" si="114"/>
        <v>0.95</v>
      </c>
      <c r="R631" s="659">
        <f t="shared" ca="1" si="115"/>
        <v>4429</v>
      </c>
      <c r="S631" s="316">
        <f t="shared" ca="1" si="116"/>
        <v>18</v>
      </c>
      <c r="T631" s="720" t="str">
        <f>商办车库!H740</f>
        <v>车位</v>
      </c>
    </row>
    <row r="632" spans="1:20">
      <c r="A632" s="3539" t="str">
        <f>商办车库!E741</f>
        <v>B2254</v>
      </c>
      <c r="B632" s="54">
        <f>商办车库!F741</f>
        <v>40.43</v>
      </c>
      <c r="C632" s="21">
        <f t="shared" si="107"/>
        <v>1</v>
      </c>
      <c r="D632" s="662"/>
      <c r="E632" s="21">
        <f t="shared" si="108"/>
        <v>1</v>
      </c>
      <c r="F632" s="662"/>
      <c r="G632" s="21">
        <f t="shared" si="109"/>
        <v>1</v>
      </c>
      <c r="H632" s="662"/>
      <c r="I632" s="21">
        <f t="shared" si="110"/>
        <v>1</v>
      </c>
      <c r="J632" s="662"/>
      <c r="K632" s="21">
        <f t="shared" si="111"/>
        <v>1</v>
      </c>
      <c r="L632" s="662"/>
      <c r="M632" s="21">
        <f t="shared" si="112"/>
        <v>1</v>
      </c>
      <c r="N632" s="662"/>
      <c r="O632" s="21">
        <f t="shared" si="113"/>
        <v>1</v>
      </c>
      <c r="P632" s="662">
        <v>-2</v>
      </c>
      <c r="Q632" s="21">
        <f t="shared" si="114"/>
        <v>0.95</v>
      </c>
      <c r="R632" s="659">
        <f t="shared" ca="1" si="115"/>
        <v>4429</v>
      </c>
      <c r="S632" s="316">
        <f t="shared" ca="1" si="116"/>
        <v>18</v>
      </c>
      <c r="T632" s="720" t="str">
        <f>商办车库!H741</f>
        <v>车位</v>
      </c>
    </row>
    <row r="633" spans="1:20">
      <c r="A633" s="3539" t="str">
        <f>商办车库!E742</f>
        <v>B2255</v>
      </c>
      <c r="B633" s="54">
        <f>商办车库!F742</f>
        <v>40.43</v>
      </c>
      <c r="C633" s="21">
        <f t="shared" si="107"/>
        <v>1</v>
      </c>
      <c r="D633" s="662"/>
      <c r="E633" s="21">
        <f t="shared" si="108"/>
        <v>1</v>
      </c>
      <c r="F633" s="662"/>
      <c r="G633" s="21">
        <f t="shared" si="109"/>
        <v>1</v>
      </c>
      <c r="H633" s="662"/>
      <c r="I633" s="21">
        <f t="shared" si="110"/>
        <v>1</v>
      </c>
      <c r="J633" s="662"/>
      <c r="K633" s="21">
        <f t="shared" si="111"/>
        <v>1</v>
      </c>
      <c r="L633" s="662"/>
      <c r="M633" s="21">
        <f t="shared" si="112"/>
        <v>1</v>
      </c>
      <c r="N633" s="662"/>
      <c r="O633" s="21">
        <f t="shared" si="113"/>
        <v>1</v>
      </c>
      <c r="P633" s="662">
        <v>-2</v>
      </c>
      <c r="Q633" s="21">
        <f t="shared" si="114"/>
        <v>0.95</v>
      </c>
      <c r="R633" s="659">
        <f t="shared" ca="1" si="115"/>
        <v>4429</v>
      </c>
      <c r="S633" s="316">
        <f t="shared" ca="1" si="116"/>
        <v>18</v>
      </c>
      <c r="T633" s="720" t="str">
        <f>商办车库!H742</f>
        <v>车位</v>
      </c>
    </row>
    <row r="634" spans="1:20">
      <c r="A634" s="3539" t="str">
        <f>商办车库!E743</f>
        <v>B2256</v>
      </c>
      <c r="B634" s="54">
        <f>商办车库!F743</f>
        <v>40.43</v>
      </c>
      <c r="C634" s="21">
        <f t="shared" si="107"/>
        <v>1</v>
      </c>
      <c r="D634" s="662"/>
      <c r="E634" s="21">
        <f t="shared" si="108"/>
        <v>1</v>
      </c>
      <c r="F634" s="662"/>
      <c r="G634" s="21">
        <f t="shared" si="109"/>
        <v>1</v>
      </c>
      <c r="H634" s="662"/>
      <c r="I634" s="21">
        <f t="shared" si="110"/>
        <v>1</v>
      </c>
      <c r="J634" s="662"/>
      <c r="K634" s="21">
        <f t="shared" si="111"/>
        <v>1</v>
      </c>
      <c r="L634" s="662"/>
      <c r="M634" s="21">
        <f t="shared" si="112"/>
        <v>1</v>
      </c>
      <c r="N634" s="662"/>
      <c r="O634" s="21">
        <f t="shared" si="113"/>
        <v>1</v>
      </c>
      <c r="P634" s="662">
        <v>-2</v>
      </c>
      <c r="Q634" s="21">
        <f t="shared" si="114"/>
        <v>0.95</v>
      </c>
      <c r="R634" s="659">
        <f t="shared" ca="1" si="115"/>
        <v>4429</v>
      </c>
      <c r="S634" s="316">
        <f t="shared" ca="1" si="116"/>
        <v>18</v>
      </c>
      <c r="T634" s="720" t="str">
        <f>商办车库!H743</f>
        <v>车位</v>
      </c>
    </row>
    <row r="635" spans="1:20">
      <c r="A635" s="3539" t="str">
        <f>商办车库!E744</f>
        <v>B2257</v>
      </c>
      <c r="B635" s="54">
        <f>商办车库!F744</f>
        <v>40.43</v>
      </c>
      <c r="C635" s="21">
        <f t="shared" si="107"/>
        <v>1</v>
      </c>
      <c r="D635" s="662"/>
      <c r="E635" s="21">
        <f t="shared" si="108"/>
        <v>1</v>
      </c>
      <c r="F635" s="662"/>
      <c r="G635" s="21">
        <f t="shared" si="109"/>
        <v>1</v>
      </c>
      <c r="H635" s="662"/>
      <c r="I635" s="21">
        <f t="shared" si="110"/>
        <v>1</v>
      </c>
      <c r="J635" s="662"/>
      <c r="K635" s="21">
        <f t="shared" si="111"/>
        <v>1</v>
      </c>
      <c r="L635" s="662"/>
      <c r="M635" s="21">
        <f t="shared" si="112"/>
        <v>1</v>
      </c>
      <c r="N635" s="662"/>
      <c r="O635" s="21">
        <f t="shared" si="113"/>
        <v>1</v>
      </c>
      <c r="P635" s="662">
        <v>-2</v>
      </c>
      <c r="Q635" s="21">
        <f t="shared" si="114"/>
        <v>0.95</v>
      </c>
      <c r="R635" s="659">
        <f t="shared" ca="1" si="115"/>
        <v>4429</v>
      </c>
      <c r="S635" s="316">
        <f t="shared" ca="1" si="116"/>
        <v>18</v>
      </c>
      <c r="T635" s="720" t="str">
        <f>商办车库!H744</f>
        <v>车位</v>
      </c>
    </row>
    <row r="636" spans="1:20">
      <c r="A636" s="3539" t="str">
        <f>商办车库!E745</f>
        <v>B2258</v>
      </c>
      <c r="B636" s="54">
        <f>商办车库!F745</f>
        <v>40.43</v>
      </c>
      <c r="C636" s="21">
        <f t="shared" si="107"/>
        <v>1</v>
      </c>
      <c r="D636" s="662"/>
      <c r="E636" s="21">
        <f t="shared" si="108"/>
        <v>1</v>
      </c>
      <c r="F636" s="662"/>
      <c r="G636" s="21">
        <f t="shared" si="109"/>
        <v>1</v>
      </c>
      <c r="H636" s="662"/>
      <c r="I636" s="21">
        <f t="shared" si="110"/>
        <v>1</v>
      </c>
      <c r="J636" s="662"/>
      <c r="K636" s="21">
        <f t="shared" si="111"/>
        <v>1</v>
      </c>
      <c r="L636" s="662"/>
      <c r="M636" s="21">
        <f t="shared" si="112"/>
        <v>1</v>
      </c>
      <c r="N636" s="662"/>
      <c r="O636" s="21">
        <f t="shared" si="113"/>
        <v>1</v>
      </c>
      <c r="P636" s="662">
        <v>-2</v>
      </c>
      <c r="Q636" s="21">
        <f t="shared" si="114"/>
        <v>0.95</v>
      </c>
      <c r="R636" s="659">
        <f t="shared" ca="1" si="115"/>
        <v>4429</v>
      </c>
      <c r="S636" s="316">
        <f t="shared" ca="1" si="116"/>
        <v>18</v>
      </c>
      <c r="T636" s="720" t="str">
        <f>商办车库!H745</f>
        <v>车位</v>
      </c>
    </row>
    <row r="637" spans="1:20">
      <c r="A637" s="3539" t="str">
        <f>商办车库!E746</f>
        <v>B2259</v>
      </c>
      <c r="B637" s="54">
        <f>商办车库!F746</f>
        <v>40.43</v>
      </c>
      <c r="C637" s="21">
        <f t="shared" si="107"/>
        <v>1</v>
      </c>
      <c r="D637" s="662"/>
      <c r="E637" s="21">
        <f t="shared" si="108"/>
        <v>1</v>
      </c>
      <c r="F637" s="662"/>
      <c r="G637" s="21">
        <f t="shared" si="109"/>
        <v>1</v>
      </c>
      <c r="H637" s="662"/>
      <c r="I637" s="21">
        <f t="shared" si="110"/>
        <v>1</v>
      </c>
      <c r="J637" s="662"/>
      <c r="K637" s="21">
        <f t="shared" si="111"/>
        <v>1</v>
      </c>
      <c r="L637" s="662"/>
      <c r="M637" s="21">
        <f t="shared" si="112"/>
        <v>1</v>
      </c>
      <c r="N637" s="662"/>
      <c r="O637" s="21">
        <f t="shared" si="113"/>
        <v>1</v>
      </c>
      <c r="P637" s="662">
        <v>-2</v>
      </c>
      <c r="Q637" s="21">
        <f t="shared" si="114"/>
        <v>0.95</v>
      </c>
      <c r="R637" s="659">
        <f t="shared" ca="1" si="115"/>
        <v>4429</v>
      </c>
      <c r="S637" s="316">
        <f t="shared" ca="1" si="116"/>
        <v>18</v>
      </c>
      <c r="T637" s="720" t="str">
        <f>商办车库!H746</f>
        <v>车位</v>
      </c>
    </row>
    <row r="638" spans="1:20">
      <c r="A638" s="3539" t="str">
        <f>商办车库!E747</f>
        <v>B2260</v>
      </c>
      <c r="B638" s="54">
        <f>商办车库!F747</f>
        <v>40.43</v>
      </c>
      <c r="C638" s="21">
        <f t="shared" si="107"/>
        <v>1</v>
      </c>
      <c r="D638" s="662"/>
      <c r="E638" s="21">
        <f t="shared" si="108"/>
        <v>1</v>
      </c>
      <c r="F638" s="662"/>
      <c r="G638" s="21">
        <f t="shared" si="109"/>
        <v>1</v>
      </c>
      <c r="H638" s="662"/>
      <c r="I638" s="21">
        <f t="shared" si="110"/>
        <v>1</v>
      </c>
      <c r="J638" s="662"/>
      <c r="K638" s="21">
        <f t="shared" si="111"/>
        <v>1</v>
      </c>
      <c r="L638" s="662"/>
      <c r="M638" s="21">
        <f t="shared" si="112"/>
        <v>1</v>
      </c>
      <c r="N638" s="662"/>
      <c r="O638" s="21">
        <f t="shared" si="113"/>
        <v>1</v>
      </c>
      <c r="P638" s="662">
        <v>-2</v>
      </c>
      <c r="Q638" s="21">
        <f t="shared" si="114"/>
        <v>0.95</v>
      </c>
      <c r="R638" s="659">
        <f t="shared" ca="1" si="115"/>
        <v>4429</v>
      </c>
      <c r="S638" s="316">
        <f t="shared" ca="1" si="116"/>
        <v>18</v>
      </c>
      <c r="T638" s="720" t="str">
        <f>商办车库!H747</f>
        <v>车位</v>
      </c>
    </row>
    <row r="639" spans="1:20">
      <c r="A639" s="3539" t="str">
        <f>商办车库!E748</f>
        <v>B2261</v>
      </c>
      <c r="B639" s="54">
        <f>商办车库!F748</f>
        <v>40.43</v>
      </c>
      <c r="C639" s="21">
        <f t="shared" si="107"/>
        <v>1</v>
      </c>
      <c r="D639" s="662"/>
      <c r="E639" s="21">
        <f t="shared" si="108"/>
        <v>1</v>
      </c>
      <c r="F639" s="662"/>
      <c r="G639" s="21">
        <f t="shared" si="109"/>
        <v>1</v>
      </c>
      <c r="H639" s="662"/>
      <c r="I639" s="21">
        <f t="shared" si="110"/>
        <v>1</v>
      </c>
      <c r="J639" s="662"/>
      <c r="K639" s="21">
        <f t="shared" si="111"/>
        <v>1</v>
      </c>
      <c r="L639" s="662"/>
      <c r="M639" s="21">
        <f t="shared" si="112"/>
        <v>1</v>
      </c>
      <c r="N639" s="662"/>
      <c r="O639" s="21">
        <f t="shared" si="113"/>
        <v>1</v>
      </c>
      <c r="P639" s="662">
        <v>-2</v>
      </c>
      <c r="Q639" s="21">
        <f t="shared" si="114"/>
        <v>0.95</v>
      </c>
      <c r="R639" s="659">
        <f t="shared" ca="1" si="115"/>
        <v>4429</v>
      </c>
      <c r="S639" s="316">
        <f t="shared" ca="1" si="116"/>
        <v>18</v>
      </c>
      <c r="T639" s="720" t="str">
        <f>商办车库!H748</f>
        <v>车位</v>
      </c>
    </row>
    <row r="640" spans="1:20">
      <c r="A640" s="3539" t="str">
        <f>商办车库!E749</f>
        <v>B2262</v>
      </c>
      <c r="B640" s="54">
        <f>商办车库!F749</f>
        <v>40.43</v>
      </c>
      <c r="C640" s="21">
        <f t="shared" si="107"/>
        <v>1</v>
      </c>
      <c r="D640" s="662"/>
      <c r="E640" s="21">
        <f t="shared" si="108"/>
        <v>1</v>
      </c>
      <c r="F640" s="662"/>
      <c r="G640" s="21">
        <f t="shared" si="109"/>
        <v>1</v>
      </c>
      <c r="H640" s="662"/>
      <c r="I640" s="21">
        <f t="shared" si="110"/>
        <v>1</v>
      </c>
      <c r="J640" s="662"/>
      <c r="K640" s="21">
        <f t="shared" si="111"/>
        <v>1</v>
      </c>
      <c r="L640" s="662"/>
      <c r="M640" s="21">
        <f t="shared" si="112"/>
        <v>1</v>
      </c>
      <c r="N640" s="662"/>
      <c r="O640" s="21">
        <f t="shared" si="113"/>
        <v>1</v>
      </c>
      <c r="P640" s="662">
        <v>-2</v>
      </c>
      <c r="Q640" s="21">
        <f t="shared" si="114"/>
        <v>0.95</v>
      </c>
      <c r="R640" s="659">
        <f t="shared" ca="1" si="115"/>
        <v>4429</v>
      </c>
      <c r="S640" s="316">
        <f t="shared" ca="1" si="116"/>
        <v>18</v>
      </c>
      <c r="T640" s="720" t="str">
        <f>商办车库!H749</f>
        <v>车位</v>
      </c>
    </row>
    <row r="641" spans="1:20">
      <c r="A641" s="3539" t="str">
        <f>商办车库!E750</f>
        <v>B2263</v>
      </c>
      <c r="B641" s="54">
        <f>商办车库!F750</f>
        <v>40.43</v>
      </c>
      <c r="C641" s="21">
        <f t="shared" si="107"/>
        <v>1</v>
      </c>
      <c r="D641" s="662"/>
      <c r="E641" s="21">
        <f t="shared" si="108"/>
        <v>1</v>
      </c>
      <c r="F641" s="662"/>
      <c r="G641" s="21">
        <f t="shared" si="109"/>
        <v>1</v>
      </c>
      <c r="H641" s="662"/>
      <c r="I641" s="21">
        <f t="shared" si="110"/>
        <v>1</v>
      </c>
      <c r="J641" s="662"/>
      <c r="K641" s="21">
        <f t="shared" si="111"/>
        <v>1</v>
      </c>
      <c r="L641" s="662"/>
      <c r="M641" s="21">
        <f t="shared" si="112"/>
        <v>1</v>
      </c>
      <c r="N641" s="662"/>
      <c r="O641" s="21">
        <f t="shared" si="113"/>
        <v>1</v>
      </c>
      <c r="P641" s="662">
        <v>-2</v>
      </c>
      <c r="Q641" s="21">
        <f t="shared" si="114"/>
        <v>0.95</v>
      </c>
      <c r="R641" s="659">
        <f t="shared" ca="1" si="115"/>
        <v>4429</v>
      </c>
      <c r="S641" s="316">
        <f t="shared" ca="1" si="116"/>
        <v>18</v>
      </c>
      <c r="T641" s="720" t="str">
        <f>商办车库!H750</f>
        <v>车位</v>
      </c>
    </row>
    <row r="642" spans="1:20">
      <c r="A642" s="3539" t="str">
        <f>商办车库!E751</f>
        <v>B2264</v>
      </c>
      <c r="B642" s="54">
        <f>商办车库!F751</f>
        <v>40.43</v>
      </c>
      <c r="C642" s="21">
        <f t="shared" si="107"/>
        <v>1</v>
      </c>
      <c r="D642" s="662"/>
      <c r="E642" s="21">
        <f t="shared" si="108"/>
        <v>1</v>
      </c>
      <c r="F642" s="662"/>
      <c r="G642" s="21">
        <f t="shared" si="109"/>
        <v>1</v>
      </c>
      <c r="H642" s="662"/>
      <c r="I642" s="21">
        <f t="shared" si="110"/>
        <v>1</v>
      </c>
      <c r="J642" s="662"/>
      <c r="K642" s="21">
        <f t="shared" si="111"/>
        <v>1</v>
      </c>
      <c r="L642" s="662"/>
      <c r="M642" s="21">
        <f t="shared" si="112"/>
        <v>1</v>
      </c>
      <c r="N642" s="662"/>
      <c r="O642" s="21">
        <f t="shared" si="113"/>
        <v>1</v>
      </c>
      <c r="P642" s="662">
        <v>-2</v>
      </c>
      <c r="Q642" s="21">
        <f t="shared" si="114"/>
        <v>0.95</v>
      </c>
      <c r="R642" s="659">
        <f t="shared" ca="1" si="115"/>
        <v>4429</v>
      </c>
      <c r="S642" s="316">
        <f t="shared" ca="1" si="116"/>
        <v>18</v>
      </c>
      <c r="T642" s="720" t="str">
        <f>商办车库!H751</f>
        <v>车位</v>
      </c>
    </row>
    <row r="643" spans="1:20">
      <c r="A643" s="3539" t="str">
        <f>商办车库!E752</f>
        <v>B2265</v>
      </c>
      <c r="B643" s="54">
        <f>商办车库!F752</f>
        <v>40.43</v>
      </c>
      <c r="C643" s="21">
        <f t="shared" si="107"/>
        <v>1</v>
      </c>
      <c r="D643" s="662"/>
      <c r="E643" s="21">
        <f t="shared" si="108"/>
        <v>1</v>
      </c>
      <c r="F643" s="662"/>
      <c r="G643" s="21">
        <f t="shared" si="109"/>
        <v>1</v>
      </c>
      <c r="H643" s="662"/>
      <c r="I643" s="21">
        <f t="shared" si="110"/>
        <v>1</v>
      </c>
      <c r="J643" s="662"/>
      <c r="K643" s="21">
        <f t="shared" si="111"/>
        <v>1</v>
      </c>
      <c r="L643" s="662"/>
      <c r="M643" s="21">
        <f t="shared" si="112"/>
        <v>1</v>
      </c>
      <c r="N643" s="662"/>
      <c r="O643" s="21">
        <f t="shared" si="113"/>
        <v>1</v>
      </c>
      <c r="P643" s="662">
        <v>-2</v>
      </c>
      <c r="Q643" s="21">
        <f t="shared" si="114"/>
        <v>0.95</v>
      </c>
      <c r="R643" s="659">
        <f t="shared" ca="1" si="115"/>
        <v>4429</v>
      </c>
      <c r="S643" s="316">
        <f t="shared" ca="1" si="116"/>
        <v>18</v>
      </c>
      <c r="T643" s="720" t="str">
        <f>商办车库!H752</f>
        <v>车位</v>
      </c>
    </row>
    <row r="644" spans="1:20">
      <c r="A644" s="3539" t="str">
        <f>商办车库!E753</f>
        <v>B2266</v>
      </c>
      <c r="B644" s="54">
        <f>商办车库!F753</f>
        <v>40.43</v>
      </c>
      <c r="C644" s="21">
        <f t="shared" si="107"/>
        <v>1</v>
      </c>
      <c r="D644" s="662"/>
      <c r="E644" s="21">
        <f t="shared" si="108"/>
        <v>1</v>
      </c>
      <c r="F644" s="662"/>
      <c r="G644" s="21">
        <f t="shared" si="109"/>
        <v>1</v>
      </c>
      <c r="H644" s="662"/>
      <c r="I644" s="21">
        <f t="shared" si="110"/>
        <v>1</v>
      </c>
      <c r="J644" s="662"/>
      <c r="K644" s="21">
        <f t="shared" si="111"/>
        <v>1</v>
      </c>
      <c r="L644" s="662"/>
      <c r="M644" s="21">
        <f t="shared" si="112"/>
        <v>1</v>
      </c>
      <c r="N644" s="662"/>
      <c r="O644" s="21">
        <f t="shared" si="113"/>
        <v>1</v>
      </c>
      <c r="P644" s="662">
        <v>-2</v>
      </c>
      <c r="Q644" s="21">
        <f t="shared" si="114"/>
        <v>0.95</v>
      </c>
      <c r="R644" s="659">
        <f t="shared" ca="1" si="115"/>
        <v>4429</v>
      </c>
      <c r="S644" s="316">
        <f t="shared" ca="1" si="116"/>
        <v>18</v>
      </c>
      <c r="T644" s="720" t="str">
        <f>商办车库!H753</f>
        <v>车位</v>
      </c>
    </row>
    <row r="645" spans="1:20">
      <c r="A645" s="3539" t="str">
        <f>商办车库!E754</f>
        <v>B2267</v>
      </c>
      <c r="B645" s="54">
        <f>商办车库!F754</f>
        <v>40.43</v>
      </c>
      <c r="C645" s="21">
        <f t="shared" si="107"/>
        <v>1</v>
      </c>
      <c r="D645" s="662"/>
      <c r="E645" s="21">
        <f t="shared" si="108"/>
        <v>1</v>
      </c>
      <c r="F645" s="662"/>
      <c r="G645" s="21">
        <f t="shared" si="109"/>
        <v>1</v>
      </c>
      <c r="H645" s="662"/>
      <c r="I645" s="21">
        <f t="shared" si="110"/>
        <v>1</v>
      </c>
      <c r="J645" s="662"/>
      <c r="K645" s="21">
        <f t="shared" si="111"/>
        <v>1</v>
      </c>
      <c r="L645" s="662"/>
      <c r="M645" s="21">
        <f t="shared" si="112"/>
        <v>1</v>
      </c>
      <c r="N645" s="662"/>
      <c r="O645" s="21">
        <f t="shared" si="113"/>
        <v>1</v>
      </c>
      <c r="P645" s="662">
        <v>-2</v>
      </c>
      <c r="Q645" s="21">
        <f t="shared" si="114"/>
        <v>0.95</v>
      </c>
      <c r="R645" s="659">
        <f t="shared" ca="1" si="115"/>
        <v>4429</v>
      </c>
      <c r="S645" s="316">
        <f t="shared" ca="1" si="116"/>
        <v>18</v>
      </c>
      <c r="T645" s="720" t="str">
        <f>商办车库!H754</f>
        <v>车位</v>
      </c>
    </row>
    <row r="646" spans="1:20">
      <c r="A646" s="3539" t="str">
        <f>商办车库!E755</f>
        <v>B2268</v>
      </c>
      <c r="B646" s="54">
        <f>商办车库!F755</f>
        <v>40.43</v>
      </c>
      <c r="C646" s="21">
        <f t="shared" si="107"/>
        <v>1</v>
      </c>
      <c r="D646" s="662"/>
      <c r="E646" s="21">
        <f t="shared" si="108"/>
        <v>1</v>
      </c>
      <c r="F646" s="662"/>
      <c r="G646" s="21">
        <f t="shared" si="109"/>
        <v>1</v>
      </c>
      <c r="H646" s="662"/>
      <c r="I646" s="21">
        <f t="shared" si="110"/>
        <v>1</v>
      </c>
      <c r="J646" s="662"/>
      <c r="K646" s="21">
        <f t="shared" si="111"/>
        <v>1</v>
      </c>
      <c r="L646" s="662"/>
      <c r="M646" s="21">
        <f t="shared" si="112"/>
        <v>1</v>
      </c>
      <c r="N646" s="662"/>
      <c r="O646" s="21">
        <f t="shared" si="113"/>
        <v>1</v>
      </c>
      <c r="P646" s="662">
        <v>-2</v>
      </c>
      <c r="Q646" s="21">
        <f t="shared" si="114"/>
        <v>0.95</v>
      </c>
      <c r="R646" s="659">
        <f t="shared" ca="1" si="115"/>
        <v>4429</v>
      </c>
      <c r="S646" s="316">
        <f t="shared" ca="1" si="116"/>
        <v>18</v>
      </c>
      <c r="T646" s="720" t="str">
        <f>商办车库!H755</f>
        <v>车位</v>
      </c>
    </row>
    <row r="647" spans="1:20">
      <c r="A647" s="3539" t="str">
        <f>商办车库!E756</f>
        <v>B2269</v>
      </c>
      <c r="B647" s="54">
        <f>商办车库!F756</f>
        <v>40.43</v>
      </c>
      <c r="C647" s="21">
        <f t="shared" si="107"/>
        <v>1</v>
      </c>
      <c r="D647" s="662"/>
      <c r="E647" s="21">
        <f t="shared" si="108"/>
        <v>1</v>
      </c>
      <c r="F647" s="662"/>
      <c r="G647" s="21">
        <f t="shared" si="109"/>
        <v>1</v>
      </c>
      <c r="H647" s="662"/>
      <c r="I647" s="21">
        <f t="shared" si="110"/>
        <v>1</v>
      </c>
      <c r="J647" s="662"/>
      <c r="K647" s="21">
        <f t="shared" si="111"/>
        <v>1</v>
      </c>
      <c r="L647" s="662"/>
      <c r="M647" s="21">
        <f t="shared" si="112"/>
        <v>1</v>
      </c>
      <c r="N647" s="662"/>
      <c r="O647" s="21">
        <f t="shared" si="113"/>
        <v>1</v>
      </c>
      <c r="P647" s="662">
        <v>-2</v>
      </c>
      <c r="Q647" s="21">
        <f t="shared" si="114"/>
        <v>0.95</v>
      </c>
      <c r="R647" s="659">
        <f t="shared" ca="1" si="115"/>
        <v>4429</v>
      </c>
      <c r="S647" s="316">
        <f t="shared" ca="1" si="116"/>
        <v>18</v>
      </c>
      <c r="T647" s="720" t="str">
        <f>商办车库!H756</f>
        <v>车位</v>
      </c>
    </row>
    <row r="648" spans="1:20">
      <c r="A648" s="3539" t="str">
        <f>商办车库!E757</f>
        <v>B2270</v>
      </c>
      <c r="B648" s="54">
        <f>商办车库!F757</f>
        <v>40.43</v>
      </c>
      <c r="C648" s="21">
        <f t="shared" si="107"/>
        <v>1</v>
      </c>
      <c r="D648" s="662"/>
      <c r="E648" s="21">
        <f t="shared" si="108"/>
        <v>1</v>
      </c>
      <c r="F648" s="662"/>
      <c r="G648" s="21">
        <f t="shared" si="109"/>
        <v>1</v>
      </c>
      <c r="H648" s="662"/>
      <c r="I648" s="21">
        <f t="shared" si="110"/>
        <v>1</v>
      </c>
      <c r="J648" s="662"/>
      <c r="K648" s="21">
        <f t="shared" si="111"/>
        <v>1</v>
      </c>
      <c r="L648" s="662"/>
      <c r="M648" s="21">
        <f t="shared" si="112"/>
        <v>1</v>
      </c>
      <c r="N648" s="662"/>
      <c r="O648" s="21">
        <f t="shared" si="113"/>
        <v>1</v>
      </c>
      <c r="P648" s="662">
        <v>-2</v>
      </c>
      <c r="Q648" s="21">
        <f t="shared" si="114"/>
        <v>0.95</v>
      </c>
      <c r="R648" s="659">
        <f t="shared" ca="1" si="115"/>
        <v>4429</v>
      </c>
      <c r="S648" s="316">
        <f t="shared" ca="1" si="116"/>
        <v>18</v>
      </c>
      <c r="T648" s="720" t="str">
        <f>商办车库!H757</f>
        <v>车位</v>
      </c>
    </row>
    <row r="649" spans="1:20">
      <c r="A649" s="3539" t="str">
        <f>商办车库!E758</f>
        <v>B2271</v>
      </c>
      <c r="B649" s="54">
        <f>商办车库!F758</f>
        <v>40.43</v>
      </c>
      <c r="C649" s="21">
        <f t="shared" si="107"/>
        <v>1</v>
      </c>
      <c r="D649" s="662"/>
      <c r="E649" s="21">
        <f t="shared" si="108"/>
        <v>1</v>
      </c>
      <c r="F649" s="662"/>
      <c r="G649" s="21">
        <f t="shared" si="109"/>
        <v>1</v>
      </c>
      <c r="H649" s="662"/>
      <c r="I649" s="21">
        <f t="shared" si="110"/>
        <v>1</v>
      </c>
      <c r="J649" s="662"/>
      <c r="K649" s="21">
        <f t="shared" si="111"/>
        <v>1</v>
      </c>
      <c r="L649" s="662"/>
      <c r="M649" s="21">
        <f t="shared" si="112"/>
        <v>1</v>
      </c>
      <c r="N649" s="662"/>
      <c r="O649" s="21">
        <f t="shared" si="113"/>
        <v>1</v>
      </c>
      <c r="P649" s="662">
        <v>-2</v>
      </c>
      <c r="Q649" s="21">
        <f t="shared" si="114"/>
        <v>0.95</v>
      </c>
      <c r="R649" s="659">
        <f t="shared" ca="1" si="115"/>
        <v>4429</v>
      </c>
      <c r="S649" s="316">
        <f t="shared" ca="1" si="116"/>
        <v>18</v>
      </c>
      <c r="T649" s="720" t="str">
        <f>商办车库!H758</f>
        <v>车位</v>
      </c>
    </row>
    <row r="650" spans="1:20">
      <c r="A650" s="3539" t="str">
        <f>商办车库!E759</f>
        <v>B2272</v>
      </c>
      <c r="B650" s="54">
        <f>商办车库!F759</f>
        <v>40.43</v>
      </c>
      <c r="C650" s="21">
        <f t="shared" si="107"/>
        <v>1</v>
      </c>
      <c r="D650" s="662"/>
      <c r="E650" s="21">
        <f t="shared" si="108"/>
        <v>1</v>
      </c>
      <c r="F650" s="662"/>
      <c r="G650" s="21">
        <f t="shared" si="109"/>
        <v>1</v>
      </c>
      <c r="H650" s="662"/>
      <c r="I650" s="21">
        <f t="shared" si="110"/>
        <v>1</v>
      </c>
      <c r="J650" s="662"/>
      <c r="K650" s="21">
        <f t="shared" si="111"/>
        <v>1</v>
      </c>
      <c r="L650" s="662"/>
      <c r="M650" s="21">
        <f t="shared" si="112"/>
        <v>1</v>
      </c>
      <c r="N650" s="662"/>
      <c r="O650" s="21">
        <f t="shared" si="113"/>
        <v>1</v>
      </c>
      <c r="P650" s="662">
        <v>-2</v>
      </c>
      <c r="Q650" s="21">
        <f t="shared" si="114"/>
        <v>0.95</v>
      </c>
      <c r="R650" s="659">
        <f t="shared" ca="1" si="115"/>
        <v>4429</v>
      </c>
      <c r="S650" s="316">
        <f t="shared" ca="1" si="116"/>
        <v>18</v>
      </c>
      <c r="T650" s="720" t="str">
        <f>商办车库!H759</f>
        <v>车位</v>
      </c>
    </row>
    <row r="651" spans="1:20">
      <c r="A651" s="3539" t="str">
        <f>商办车库!E760</f>
        <v>B2273</v>
      </c>
      <c r="B651" s="54">
        <f>商办车库!F760</f>
        <v>40.43</v>
      </c>
      <c r="C651" s="21">
        <f t="shared" si="107"/>
        <v>1</v>
      </c>
      <c r="D651" s="662"/>
      <c r="E651" s="21">
        <f t="shared" si="108"/>
        <v>1</v>
      </c>
      <c r="F651" s="662"/>
      <c r="G651" s="21">
        <f t="shared" si="109"/>
        <v>1</v>
      </c>
      <c r="H651" s="662"/>
      <c r="I651" s="21">
        <f t="shared" si="110"/>
        <v>1</v>
      </c>
      <c r="J651" s="662"/>
      <c r="K651" s="21">
        <f t="shared" si="111"/>
        <v>1</v>
      </c>
      <c r="L651" s="662"/>
      <c r="M651" s="21">
        <f t="shared" si="112"/>
        <v>1</v>
      </c>
      <c r="N651" s="662"/>
      <c r="O651" s="21">
        <f t="shared" si="113"/>
        <v>1</v>
      </c>
      <c r="P651" s="662">
        <v>-2</v>
      </c>
      <c r="Q651" s="21">
        <f t="shared" si="114"/>
        <v>0.95</v>
      </c>
      <c r="R651" s="659">
        <f t="shared" ca="1" si="115"/>
        <v>4429</v>
      </c>
      <c r="S651" s="316">
        <f t="shared" ca="1" si="116"/>
        <v>18</v>
      </c>
      <c r="T651" s="720" t="str">
        <f>商办车库!H760</f>
        <v>车位</v>
      </c>
    </row>
    <row r="652" spans="1:20">
      <c r="A652" s="3539" t="str">
        <f>商办车库!E761</f>
        <v>B2274</v>
      </c>
      <c r="B652" s="54">
        <f>商办车库!F761</f>
        <v>40.43</v>
      </c>
      <c r="C652" s="21">
        <f t="shared" si="107"/>
        <v>1</v>
      </c>
      <c r="D652" s="662"/>
      <c r="E652" s="21">
        <f t="shared" si="108"/>
        <v>1</v>
      </c>
      <c r="F652" s="662"/>
      <c r="G652" s="21">
        <f t="shared" si="109"/>
        <v>1</v>
      </c>
      <c r="H652" s="662"/>
      <c r="I652" s="21">
        <f t="shared" si="110"/>
        <v>1</v>
      </c>
      <c r="J652" s="662"/>
      <c r="K652" s="21">
        <f t="shared" si="111"/>
        <v>1</v>
      </c>
      <c r="L652" s="662"/>
      <c r="M652" s="21">
        <f t="shared" si="112"/>
        <v>1</v>
      </c>
      <c r="N652" s="662"/>
      <c r="O652" s="21">
        <f t="shared" si="113"/>
        <v>1</v>
      </c>
      <c r="P652" s="662">
        <v>-2</v>
      </c>
      <c r="Q652" s="21">
        <f t="shared" si="114"/>
        <v>0.95</v>
      </c>
      <c r="R652" s="659">
        <f t="shared" ca="1" si="115"/>
        <v>4429</v>
      </c>
      <c r="S652" s="316">
        <f t="shared" ca="1" si="116"/>
        <v>18</v>
      </c>
      <c r="T652" s="720" t="str">
        <f>商办车库!H761</f>
        <v>车位</v>
      </c>
    </row>
    <row r="653" spans="1:20">
      <c r="A653" s="3539" t="str">
        <f>商办车库!E762</f>
        <v>B2275</v>
      </c>
      <c r="B653" s="54">
        <f>商办车库!F762</f>
        <v>40.43</v>
      </c>
      <c r="C653" s="21">
        <f t="shared" si="107"/>
        <v>1</v>
      </c>
      <c r="D653" s="662"/>
      <c r="E653" s="21">
        <f t="shared" si="108"/>
        <v>1</v>
      </c>
      <c r="F653" s="662"/>
      <c r="G653" s="21">
        <f t="shared" si="109"/>
        <v>1</v>
      </c>
      <c r="H653" s="662"/>
      <c r="I653" s="21">
        <f t="shared" si="110"/>
        <v>1</v>
      </c>
      <c r="J653" s="662"/>
      <c r="K653" s="21">
        <f t="shared" si="111"/>
        <v>1</v>
      </c>
      <c r="L653" s="662"/>
      <c r="M653" s="21">
        <f t="shared" si="112"/>
        <v>1</v>
      </c>
      <c r="N653" s="662"/>
      <c r="O653" s="21">
        <f t="shared" si="113"/>
        <v>1</v>
      </c>
      <c r="P653" s="662">
        <v>-2</v>
      </c>
      <c r="Q653" s="21">
        <f t="shared" si="114"/>
        <v>0.95</v>
      </c>
      <c r="R653" s="659">
        <f t="shared" ca="1" si="115"/>
        <v>4429</v>
      </c>
      <c r="S653" s="316">
        <f t="shared" ca="1" si="116"/>
        <v>18</v>
      </c>
      <c r="T653" s="720" t="str">
        <f>商办车库!H762</f>
        <v>车位</v>
      </c>
    </row>
    <row r="654" spans="1:20">
      <c r="A654" s="3539" t="str">
        <f>商办车库!E763</f>
        <v>B2276</v>
      </c>
      <c r="B654" s="54">
        <f>商办车库!F763</f>
        <v>40.43</v>
      </c>
      <c r="C654" s="21">
        <f t="shared" si="107"/>
        <v>1</v>
      </c>
      <c r="D654" s="662"/>
      <c r="E654" s="21">
        <f t="shared" si="108"/>
        <v>1</v>
      </c>
      <c r="F654" s="662"/>
      <c r="G654" s="21">
        <f t="shared" si="109"/>
        <v>1</v>
      </c>
      <c r="H654" s="662"/>
      <c r="I654" s="21">
        <f t="shared" si="110"/>
        <v>1</v>
      </c>
      <c r="J654" s="662"/>
      <c r="K654" s="21">
        <f t="shared" si="111"/>
        <v>1</v>
      </c>
      <c r="L654" s="662"/>
      <c r="M654" s="21">
        <f t="shared" si="112"/>
        <v>1</v>
      </c>
      <c r="N654" s="662"/>
      <c r="O654" s="21">
        <f t="shared" si="113"/>
        <v>1</v>
      </c>
      <c r="P654" s="662">
        <v>-2</v>
      </c>
      <c r="Q654" s="21">
        <f t="shared" si="114"/>
        <v>0.95</v>
      </c>
      <c r="R654" s="659">
        <f t="shared" ca="1" si="115"/>
        <v>4429</v>
      </c>
      <c r="S654" s="316">
        <f t="shared" ca="1" si="116"/>
        <v>18</v>
      </c>
      <c r="T654" s="720" t="str">
        <f>商办车库!H763</f>
        <v>车位</v>
      </c>
    </row>
    <row r="655" spans="1:20">
      <c r="A655" s="3539" t="str">
        <f>商办车库!E764</f>
        <v>B2277</v>
      </c>
      <c r="B655" s="54">
        <f>商办车库!F764</f>
        <v>40.43</v>
      </c>
      <c r="C655" s="21">
        <f t="shared" si="107"/>
        <v>1</v>
      </c>
      <c r="D655" s="662"/>
      <c r="E655" s="21">
        <f t="shared" si="108"/>
        <v>1</v>
      </c>
      <c r="F655" s="662"/>
      <c r="G655" s="21">
        <f t="shared" si="109"/>
        <v>1</v>
      </c>
      <c r="H655" s="662"/>
      <c r="I655" s="21">
        <f t="shared" si="110"/>
        <v>1</v>
      </c>
      <c r="J655" s="662"/>
      <c r="K655" s="21">
        <f t="shared" si="111"/>
        <v>1</v>
      </c>
      <c r="L655" s="662"/>
      <c r="M655" s="21">
        <f t="shared" si="112"/>
        <v>1</v>
      </c>
      <c r="N655" s="662"/>
      <c r="O655" s="21">
        <f t="shared" si="113"/>
        <v>1</v>
      </c>
      <c r="P655" s="662">
        <v>-2</v>
      </c>
      <c r="Q655" s="21">
        <f t="shared" si="114"/>
        <v>0.95</v>
      </c>
      <c r="R655" s="659">
        <f t="shared" ca="1" si="115"/>
        <v>4429</v>
      </c>
      <c r="S655" s="316">
        <f t="shared" ca="1" si="116"/>
        <v>18</v>
      </c>
      <c r="T655" s="720" t="str">
        <f>商办车库!H764</f>
        <v>车位</v>
      </c>
    </row>
    <row r="656" spans="1:20">
      <c r="A656" s="3539" t="str">
        <f>商办车库!E765</f>
        <v>B2278</v>
      </c>
      <c r="B656" s="54">
        <f>商办车库!F765</f>
        <v>40.43</v>
      </c>
      <c r="C656" s="21">
        <f t="shared" si="107"/>
        <v>1</v>
      </c>
      <c r="D656" s="662"/>
      <c r="E656" s="21">
        <f t="shared" si="108"/>
        <v>1</v>
      </c>
      <c r="F656" s="662"/>
      <c r="G656" s="21">
        <f t="shared" si="109"/>
        <v>1</v>
      </c>
      <c r="H656" s="662"/>
      <c r="I656" s="21">
        <f t="shared" si="110"/>
        <v>1</v>
      </c>
      <c r="J656" s="662"/>
      <c r="K656" s="21">
        <f t="shared" si="111"/>
        <v>1</v>
      </c>
      <c r="L656" s="662"/>
      <c r="M656" s="21">
        <f t="shared" si="112"/>
        <v>1</v>
      </c>
      <c r="N656" s="662"/>
      <c r="O656" s="21">
        <f t="shared" si="113"/>
        <v>1</v>
      </c>
      <c r="P656" s="662">
        <v>-2</v>
      </c>
      <c r="Q656" s="21">
        <f t="shared" si="114"/>
        <v>0.95</v>
      </c>
      <c r="R656" s="659">
        <f t="shared" ca="1" si="115"/>
        <v>4429</v>
      </c>
      <c r="S656" s="316">
        <f t="shared" ca="1" si="116"/>
        <v>18</v>
      </c>
      <c r="T656" s="720" t="str">
        <f>商办车库!H765</f>
        <v>车位</v>
      </c>
    </row>
    <row r="657" spans="1:20">
      <c r="A657" s="3539" t="str">
        <f>商办车库!E766</f>
        <v>B2279</v>
      </c>
      <c r="B657" s="54">
        <f>商办车库!F766</f>
        <v>40.43</v>
      </c>
      <c r="C657" s="21">
        <f t="shared" si="107"/>
        <v>1</v>
      </c>
      <c r="D657" s="662"/>
      <c r="E657" s="21">
        <f t="shared" si="108"/>
        <v>1</v>
      </c>
      <c r="F657" s="662"/>
      <c r="G657" s="21">
        <f t="shared" si="109"/>
        <v>1</v>
      </c>
      <c r="H657" s="662"/>
      <c r="I657" s="21">
        <f t="shared" si="110"/>
        <v>1</v>
      </c>
      <c r="J657" s="662"/>
      <c r="K657" s="21">
        <f t="shared" si="111"/>
        <v>1</v>
      </c>
      <c r="L657" s="662"/>
      <c r="M657" s="21">
        <f t="shared" si="112"/>
        <v>1</v>
      </c>
      <c r="N657" s="662"/>
      <c r="O657" s="21">
        <f t="shared" si="113"/>
        <v>1</v>
      </c>
      <c r="P657" s="662">
        <v>-2</v>
      </c>
      <c r="Q657" s="21">
        <f t="shared" si="114"/>
        <v>0.95</v>
      </c>
      <c r="R657" s="659">
        <f t="shared" ca="1" si="115"/>
        <v>4429</v>
      </c>
      <c r="S657" s="316">
        <f t="shared" ca="1" si="116"/>
        <v>18</v>
      </c>
      <c r="T657" s="720" t="str">
        <f>商办车库!H766</f>
        <v>车位</v>
      </c>
    </row>
    <row r="658" spans="1:20">
      <c r="A658" s="3539" t="str">
        <f>商办车库!E767</f>
        <v>B2280</v>
      </c>
      <c r="B658" s="54">
        <f>商办车库!F767</f>
        <v>40.43</v>
      </c>
      <c r="C658" s="21">
        <f t="shared" si="107"/>
        <v>1</v>
      </c>
      <c r="D658" s="662"/>
      <c r="E658" s="21">
        <f t="shared" si="108"/>
        <v>1</v>
      </c>
      <c r="F658" s="662"/>
      <c r="G658" s="21">
        <f t="shared" si="109"/>
        <v>1</v>
      </c>
      <c r="H658" s="662"/>
      <c r="I658" s="21">
        <f t="shared" si="110"/>
        <v>1</v>
      </c>
      <c r="J658" s="662"/>
      <c r="K658" s="21">
        <f t="shared" si="111"/>
        <v>1</v>
      </c>
      <c r="L658" s="662"/>
      <c r="M658" s="21">
        <f t="shared" si="112"/>
        <v>1</v>
      </c>
      <c r="N658" s="662"/>
      <c r="O658" s="21">
        <f t="shared" si="113"/>
        <v>1</v>
      </c>
      <c r="P658" s="662">
        <v>-2</v>
      </c>
      <c r="Q658" s="21">
        <f t="shared" si="114"/>
        <v>0.95</v>
      </c>
      <c r="R658" s="659">
        <f t="shared" ca="1" si="115"/>
        <v>4429</v>
      </c>
      <c r="S658" s="316">
        <f t="shared" ca="1" si="116"/>
        <v>18</v>
      </c>
      <c r="T658" s="720" t="str">
        <f>商办车库!H767</f>
        <v>车位</v>
      </c>
    </row>
    <row r="659" spans="1:20">
      <c r="A659" s="3539" t="str">
        <f>商办车库!E768</f>
        <v>B2281</v>
      </c>
      <c r="B659" s="54">
        <f>商办车库!F768</f>
        <v>40.43</v>
      </c>
      <c r="C659" s="21">
        <f t="shared" si="107"/>
        <v>1</v>
      </c>
      <c r="D659" s="662"/>
      <c r="E659" s="21">
        <f t="shared" si="108"/>
        <v>1</v>
      </c>
      <c r="F659" s="662"/>
      <c r="G659" s="21">
        <f t="shared" si="109"/>
        <v>1</v>
      </c>
      <c r="H659" s="662"/>
      <c r="I659" s="21">
        <f t="shared" si="110"/>
        <v>1</v>
      </c>
      <c r="J659" s="662"/>
      <c r="K659" s="21">
        <f t="shared" si="111"/>
        <v>1</v>
      </c>
      <c r="L659" s="662"/>
      <c r="M659" s="21">
        <f t="shared" si="112"/>
        <v>1</v>
      </c>
      <c r="N659" s="662"/>
      <c r="O659" s="21">
        <f t="shared" si="113"/>
        <v>1</v>
      </c>
      <c r="P659" s="662">
        <v>-2</v>
      </c>
      <c r="Q659" s="21">
        <f t="shared" si="114"/>
        <v>0.95</v>
      </c>
      <c r="R659" s="659">
        <f t="shared" ca="1" si="115"/>
        <v>4429</v>
      </c>
      <c r="S659" s="316">
        <f t="shared" ca="1" si="116"/>
        <v>18</v>
      </c>
      <c r="T659" s="720" t="str">
        <f>商办车库!H768</f>
        <v>车位</v>
      </c>
    </row>
    <row r="660" spans="1:20">
      <c r="A660" s="3539" t="str">
        <f>商办车库!E769</f>
        <v>B2282</v>
      </c>
      <c r="B660" s="54">
        <f>商办车库!F769</f>
        <v>40.43</v>
      </c>
      <c r="C660" s="21">
        <f t="shared" si="107"/>
        <v>1</v>
      </c>
      <c r="D660" s="662"/>
      <c r="E660" s="21">
        <f t="shared" si="108"/>
        <v>1</v>
      </c>
      <c r="F660" s="662"/>
      <c r="G660" s="21">
        <f t="shared" si="109"/>
        <v>1</v>
      </c>
      <c r="H660" s="662"/>
      <c r="I660" s="21">
        <f t="shared" si="110"/>
        <v>1</v>
      </c>
      <c r="J660" s="662"/>
      <c r="K660" s="21">
        <f t="shared" si="111"/>
        <v>1</v>
      </c>
      <c r="L660" s="662"/>
      <c r="M660" s="21">
        <f t="shared" si="112"/>
        <v>1</v>
      </c>
      <c r="N660" s="662"/>
      <c r="O660" s="21">
        <f t="shared" si="113"/>
        <v>1</v>
      </c>
      <c r="P660" s="662">
        <v>-2</v>
      </c>
      <c r="Q660" s="21">
        <f t="shared" si="114"/>
        <v>0.95</v>
      </c>
      <c r="R660" s="659">
        <f t="shared" ca="1" si="115"/>
        <v>4429</v>
      </c>
      <c r="S660" s="316">
        <f t="shared" ca="1" si="116"/>
        <v>18</v>
      </c>
      <c r="T660" s="720" t="str">
        <f>商办车库!H769</f>
        <v>车位</v>
      </c>
    </row>
    <row r="661" spans="1:20">
      <c r="A661" s="3539" t="str">
        <f>商办车库!E770</f>
        <v>B2283</v>
      </c>
      <c r="B661" s="54">
        <f>商办车库!F770</f>
        <v>40.43</v>
      </c>
      <c r="C661" s="21">
        <f t="shared" si="107"/>
        <v>1</v>
      </c>
      <c r="D661" s="662"/>
      <c r="E661" s="21">
        <f t="shared" si="108"/>
        <v>1</v>
      </c>
      <c r="F661" s="662"/>
      <c r="G661" s="21">
        <f t="shared" si="109"/>
        <v>1</v>
      </c>
      <c r="H661" s="662"/>
      <c r="I661" s="21">
        <f t="shared" si="110"/>
        <v>1</v>
      </c>
      <c r="J661" s="662"/>
      <c r="K661" s="21">
        <f t="shared" si="111"/>
        <v>1</v>
      </c>
      <c r="L661" s="662"/>
      <c r="M661" s="21">
        <f t="shared" si="112"/>
        <v>1</v>
      </c>
      <c r="N661" s="662"/>
      <c r="O661" s="21">
        <f t="shared" si="113"/>
        <v>1</v>
      </c>
      <c r="P661" s="662">
        <v>-2</v>
      </c>
      <c r="Q661" s="21">
        <f t="shared" si="114"/>
        <v>0.95</v>
      </c>
      <c r="R661" s="659">
        <f t="shared" ca="1" si="115"/>
        <v>4429</v>
      </c>
      <c r="S661" s="316">
        <f t="shared" ca="1" si="116"/>
        <v>18</v>
      </c>
      <c r="T661" s="720" t="str">
        <f>商办车库!H770</f>
        <v>车位</v>
      </c>
    </row>
    <row r="662" spans="1:20">
      <c r="A662" s="3539" t="str">
        <f>商办车库!E771</f>
        <v>B2284</v>
      </c>
      <c r="B662" s="54">
        <f>商办车库!F771</f>
        <v>40.43</v>
      </c>
      <c r="C662" s="21">
        <f t="shared" si="107"/>
        <v>1</v>
      </c>
      <c r="D662" s="662"/>
      <c r="E662" s="21">
        <f t="shared" si="108"/>
        <v>1</v>
      </c>
      <c r="F662" s="662"/>
      <c r="G662" s="21">
        <f t="shared" si="109"/>
        <v>1</v>
      </c>
      <c r="H662" s="662"/>
      <c r="I662" s="21">
        <f t="shared" si="110"/>
        <v>1</v>
      </c>
      <c r="J662" s="662"/>
      <c r="K662" s="21">
        <f t="shared" si="111"/>
        <v>1</v>
      </c>
      <c r="L662" s="662"/>
      <c r="M662" s="21">
        <f t="shared" si="112"/>
        <v>1</v>
      </c>
      <c r="N662" s="662"/>
      <c r="O662" s="21">
        <f t="shared" si="113"/>
        <v>1</v>
      </c>
      <c r="P662" s="662">
        <v>-2</v>
      </c>
      <c r="Q662" s="21">
        <f t="shared" si="114"/>
        <v>0.95</v>
      </c>
      <c r="R662" s="659">
        <f t="shared" ca="1" si="115"/>
        <v>4429</v>
      </c>
      <c r="S662" s="316">
        <f t="shared" ca="1" si="116"/>
        <v>18</v>
      </c>
      <c r="T662" s="720" t="str">
        <f>商办车库!H771</f>
        <v>车位</v>
      </c>
    </row>
    <row r="663" spans="1:20">
      <c r="A663" s="3539" t="str">
        <f>商办车库!E772</f>
        <v>B2285</v>
      </c>
      <c r="B663" s="54">
        <f>商办车库!F772</f>
        <v>40.43</v>
      </c>
      <c r="C663" s="21">
        <f t="shared" si="107"/>
        <v>1</v>
      </c>
      <c r="D663" s="662"/>
      <c r="E663" s="21">
        <f t="shared" si="108"/>
        <v>1</v>
      </c>
      <c r="F663" s="662"/>
      <c r="G663" s="21">
        <f t="shared" si="109"/>
        <v>1</v>
      </c>
      <c r="H663" s="662"/>
      <c r="I663" s="21">
        <f t="shared" si="110"/>
        <v>1</v>
      </c>
      <c r="J663" s="662"/>
      <c r="K663" s="21">
        <f t="shared" si="111"/>
        <v>1</v>
      </c>
      <c r="L663" s="662"/>
      <c r="M663" s="21">
        <f t="shared" si="112"/>
        <v>1</v>
      </c>
      <c r="N663" s="662"/>
      <c r="O663" s="21">
        <f t="shared" si="113"/>
        <v>1</v>
      </c>
      <c r="P663" s="662">
        <v>-2</v>
      </c>
      <c r="Q663" s="21">
        <f t="shared" si="114"/>
        <v>0.95</v>
      </c>
      <c r="R663" s="659">
        <f t="shared" ca="1" si="115"/>
        <v>4429</v>
      </c>
      <c r="S663" s="316">
        <f t="shared" ca="1" si="116"/>
        <v>18</v>
      </c>
      <c r="T663" s="720" t="str">
        <f>商办车库!H772</f>
        <v>车位</v>
      </c>
    </row>
    <row r="664" spans="1:20">
      <c r="A664" s="3539" t="str">
        <f>商办车库!E773</f>
        <v>B2286</v>
      </c>
      <c r="B664" s="54">
        <f>商办车库!F773</f>
        <v>40.43</v>
      </c>
      <c r="C664" s="21">
        <f t="shared" si="107"/>
        <v>1</v>
      </c>
      <c r="D664" s="662"/>
      <c r="E664" s="21">
        <f t="shared" si="108"/>
        <v>1</v>
      </c>
      <c r="F664" s="662"/>
      <c r="G664" s="21">
        <f t="shared" si="109"/>
        <v>1</v>
      </c>
      <c r="H664" s="662"/>
      <c r="I664" s="21">
        <f t="shared" si="110"/>
        <v>1</v>
      </c>
      <c r="J664" s="662"/>
      <c r="K664" s="21">
        <f t="shared" si="111"/>
        <v>1</v>
      </c>
      <c r="L664" s="662"/>
      <c r="M664" s="21">
        <f t="shared" si="112"/>
        <v>1</v>
      </c>
      <c r="N664" s="662"/>
      <c r="O664" s="21">
        <f t="shared" si="113"/>
        <v>1</v>
      </c>
      <c r="P664" s="662">
        <v>-2</v>
      </c>
      <c r="Q664" s="21">
        <f t="shared" si="114"/>
        <v>0.95</v>
      </c>
      <c r="R664" s="659">
        <f t="shared" ca="1" si="115"/>
        <v>4429</v>
      </c>
      <c r="S664" s="316">
        <f t="shared" ca="1" si="116"/>
        <v>18</v>
      </c>
      <c r="T664" s="720" t="str">
        <f>商办车库!H773</f>
        <v>车位</v>
      </c>
    </row>
    <row r="665" spans="1:20">
      <c r="A665" s="3539" t="str">
        <f>商办车库!E774</f>
        <v>B2287</v>
      </c>
      <c r="B665" s="54">
        <f>商办车库!F774</f>
        <v>40.43</v>
      </c>
      <c r="C665" s="21">
        <f t="shared" si="107"/>
        <v>1</v>
      </c>
      <c r="D665" s="662"/>
      <c r="E665" s="21">
        <f t="shared" si="108"/>
        <v>1</v>
      </c>
      <c r="F665" s="662"/>
      <c r="G665" s="21">
        <f t="shared" si="109"/>
        <v>1</v>
      </c>
      <c r="H665" s="662"/>
      <c r="I665" s="21">
        <f t="shared" si="110"/>
        <v>1</v>
      </c>
      <c r="J665" s="662"/>
      <c r="K665" s="21">
        <f t="shared" si="111"/>
        <v>1</v>
      </c>
      <c r="L665" s="662"/>
      <c r="M665" s="21">
        <f t="shared" si="112"/>
        <v>1</v>
      </c>
      <c r="N665" s="662"/>
      <c r="O665" s="21">
        <f t="shared" si="113"/>
        <v>1</v>
      </c>
      <c r="P665" s="662">
        <v>-2</v>
      </c>
      <c r="Q665" s="21">
        <f t="shared" si="114"/>
        <v>0.95</v>
      </c>
      <c r="R665" s="659">
        <f t="shared" ca="1" si="115"/>
        <v>4429</v>
      </c>
      <c r="S665" s="316">
        <f t="shared" ca="1" si="116"/>
        <v>18</v>
      </c>
      <c r="T665" s="720" t="str">
        <f>商办车库!H774</f>
        <v>车位</v>
      </c>
    </row>
    <row r="666" spans="1:20">
      <c r="A666" s="3539" t="str">
        <f>商办车库!E775</f>
        <v>B2288</v>
      </c>
      <c r="B666" s="54">
        <f>商办车库!F775</f>
        <v>40.43</v>
      </c>
      <c r="C666" s="21">
        <f t="shared" si="107"/>
        <v>1</v>
      </c>
      <c r="D666" s="662"/>
      <c r="E666" s="21">
        <f t="shared" si="108"/>
        <v>1</v>
      </c>
      <c r="F666" s="662"/>
      <c r="G666" s="21">
        <f t="shared" si="109"/>
        <v>1</v>
      </c>
      <c r="H666" s="662"/>
      <c r="I666" s="21">
        <f t="shared" si="110"/>
        <v>1</v>
      </c>
      <c r="J666" s="662"/>
      <c r="K666" s="21">
        <f t="shared" si="111"/>
        <v>1</v>
      </c>
      <c r="L666" s="662"/>
      <c r="M666" s="21">
        <f t="shared" si="112"/>
        <v>1</v>
      </c>
      <c r="N666" s="662"/>
      <c r="O666" s="21">
        <f t="shared" si="113"/>
        <v>1</v>
      </c>
      <c r="P666" s="662">
        <v>-2</v>
      </c>
      <c r="Q666" s="21">
        <f t="shared" si="114"/>
        <v>0.95</v>
      </c>
      <c r="R666" s="659">
        <f t="shared" ca="1" si="115"/>
        <v>4429</v>
      </c>
      <c r="S666" s="316">
        <f t="shared" ca="1" si="116"/>
        <v>18</v>
      </c>
      <c r="T666" s="720" t="str">
        <f>商办车库!H775</f>
        <v>车位</v>
      </c>
    </row>
    <row r="667" spans="1:20">
      <c r="A667" s="3539" t="str">
        <f>商办车库!E776</f>
        <v>B2289</v>
      </c>
      <c r="B667" s="54">
        <f>商办车库!F776</f>
        <v>40.43</v>
      </c>
      <c r="C667" s="21">
        <f t="shared" si="107"/>
        <v>1</v>
      </c>
      <c r="D667" s="662"/>
      <c r="E667" s="21">
        <f t="shared" si="108"/>
        <v>1</v>
      </c>
      <c r="F667" s="662"/>
      <c r="G667" s="21">
        <f t="shared" si="109"/>
        <v>1</v>
      </c>
      <c r="H667" s="662"/>
      <c r="I667" s="21">
        <f t="shared" si="110"/>
        <v>1</v>
      </c>
      <c r="J667" s="662"/>
      <c r="K667" s="21">
        <f t="shared" si="111"/>
        <v>1</v>
      </c>
      <c r="L667" s="662"/>
      <c r="M667" s="21">
        <f t="shared" si="112"/>
        <v>1</v>
      </c>
      <c r="N667" s="662"/>
      <c r="O667" s="21">
        <f t="shared" si="113"/>
        <v>1</v>
      </c>
      <c r="P667" s="662">
        <v>-2</v>
      </c>
      <c r="Q667" s="21">
        <f t="shared" si="114"/>
        <v>0.95</v>
      </c>
      <c r="R667" s="659">
        <f t="shared" ca="1" si="115"/>
        <v>4429</v>
      </c>
      <c r="S667" s="316">
        <f t="shared" ca="1" si="116"/>
        <v>18</v>
      </c>
      <c r="T667" s="720" t="str">
        <f>商办车库!H776</f>
        <v>车位</v>
      </c>
    </row>
    <row r="668" spans="1:20">
      <c r="A668" s="3539" t="str">
        <f>商办车库!E777</f>
        <v>B2290</v>
      </c>
      <c r="B668" s="54">
        <f>商办车库!F777</f>
        <v>40.43</v>
      </c>
      <c r="C668" s="21">
        <f t="shared" si="107"/>
        <v>1</v>
      </c>
      <c r="D668" s="662"/>
      <c r="E668" s="21">
        <f t="shared" si="108"/>
        <v>1</v>
      </c>
      <c r="F668" s="662"/>
      <c r="G668" s="21">
        <f t="shared" si="109"/>
        <v>1</v>
      </c>
      <c r="H668" s="662"/>
      <c r="I668" s="21">
        <f t="shared" si="110"/>
        <v>1</v>
      </c>
      <c r="J668" s="662"/>
      <c r="K668" s="21">
        <f t="shared" si="111"/>
        <v>1</v>
      </c>
      <c r="L668" s="662"/>
      <c r="M668" s="21">
        <f t="shared" si="112"/>
        <v>1</v>
      </c>
      <c r="N668" s="662"/>
      <c r="O668" s="21">
        <f t="shared" si="113"/>
        <v>1</v>
      </c>
      <c r="P668" s="662">
        <v>-2</v>
      </c>
      <c r="Q668" s="21">
        <f t="shared" si="114"/>
        <v>0.95</v>
      </c>
      <c r="R668" s="659">
        <f t="shared" ca="1" si="115"/>
        <v>4429</v>
      </c>
      <c r="S668" s="316">
        <f t="shared" ca="1" si="116"/>
        <v>18</v>
      </c>
      <c r="T668" s="720" t="str">
        <f>商办车库!H777</f>
        <v>车位</v>
      </c>
    </row>
    <row r="669" spans="1:20">
      <c r="A669" s="3539" t="str">
        <f>商办车库!E778</f>
        <v>B2291</v>
      </c>
      <c r="B669" s="54">
        <f>商办车库!F778</f>
        <v>40.43</v>
      </c>
      <c r="C669" s="21">
        <f t="shared" si="107"/>
        <v>1</v>
      </c>
      <c r="D669" s="662"/>
      <c r="E669" s="21">
        <f t="shared" si="108"/>
        <v>1</v>
      </c>
      <c r="F669" s="662"/>
      <c r="G669" s="21">
        <f t="shared" si="109"/>
        <v>1</v>
      </c>
      <c r="H669" s="662"/>
      <c r="I669" s="21">
        <f t="shared" si="110"/>
        <v>1</v>
      </c>
      <c r="J669" s="662"/>
      <c r="K669" s="21">
        <f t="shared" si="111"/>
        <v>1</v>
      </c>
      <c r="L669" s="662"/>
      <c r="M669" s="21">
        <f t="shared" si="112"/>
        <v>1</v>
      </c>
      <c r="N669" s="662"/>
      <c r="O669" s="21">
        <f t="shared" si="113"/>
        <v>1</v>
      </c>
      <c r="P669" s="662">
        <v>-2</v>
      </c>
      <c r="Q669" s="21">
        <f t="shared" si="114"/>
        <v>0.95</v>
      </c>
      <c r="R669" s="659">
        <f t="shared" ca="1" si="115"/>
        <v>4429</v>
      </c>
      <c r="S669" s="316">
        <f t="shared" ca="1" si="116"/>
        <v>18</v>
      </c>
      <c r="T669" s="720" t="str">
        <f>商办车库!H778</f>
        <v>车位</v>
      </c>
    </row>
    <row r="670" spans="1:20">
      <c r="A670" s="3539" t="str">
        <f>商办车库!E779</f>
        <v>B2292</v>
      </c>
      <c r="B670" s="54">
        <f>商办车库!F779</f>
        <v>40.43</v>
      </c>
      <c r="C670" s="21">
        <f t="shared" ref="C670:C733" si="117">IF(B670="",1,(LOOKUP(B670,$3:$3,$4:$4)-LOOKUP($B$24,$3:$3,$4:$4)+100)/100)</f>
        <v>1</v>
      </c>
      <c r="D670" s="662"/>
      <c r="E670" s="21">
        <f t="shared" ref="E670:E733" si="118">(SUMIF($5:$5,D670,$6:$6)-SUMIF($5:$5,$D$24,$6:$6)+100)/100</f>
        <v>1</v>
      </c>
      <c r="F670" s="662"/>
      <c r="G670" s="21">
        <f t="shared" ref="G670:G733" si="119">(SUMIF($7:$7,F670,$8:$8)-SUMIF($7:$7,$F$24,$8:$8)+100)/100</f>
        <v>1</v>
      </c>
      <c r="H670" s="662"/>
      <c r="I670" s="21">
        <f t="shared" ref="I670:I733" si="120">(SUMIF($9:$9,H670,$10:$10)-SUMIF($9:$9,$H$24,$10:$10)+100)/100</f>
        <v>1</v>
      </c>
      <c r="J670" s="662"/>
      <c r="K670" s="21">
        <f t="shared" ref="K670:K733" si="121">(SUMIF($11:$11,J670,$12:$12)-SUMIF($11:$11,$J$24,$12:$12)+100)/100</f>
        <v>1</v>
      </c>
      <c r="L670" s="662"/>
      <c r="M670" s="21">
        <f t="shared" ref="M670:M733" si="122">(SUMIF($13:$13,L670,$14:$14)-SUMIF($13:$13,$L$24,$14:$14)+100)/100</f>
        <v>1</v>
      </c>
      <c r="N670" s="662"/>
      <c r="O670" s="21">
        <f t="shared" ref="O670:O733" si="123">(SUMIF($15:$15,N670,$16:$16)-SUMIF($15:$15,$N$24,$16:$16)+100)/100</f>
        <v>1</v>
      </c>
      <c r="P670" s="662">
        <v>-2</v>
      </c>
      <c r="Q670" s="21">
        <f t="shared" ref="Q670:Q733" si="124">(SUMIF($17:$17,P670,$18:$18)-SUMIF($17:$17,$P$24,$18:$18)+100)/100</f>
        <v>0.95</v>
      </c>
      <c r="R670" s="659">
        <f t="shared" ref="R670:R733" ca="1" si="125">IF(B670="",0,ROUND($R$24*C670*E670*G670*I670*K670*M670*O670*Q670,0))</f>
        <v>4429</v>
      </c>
      <c r="S670" s="316">
        <f t="shared" ref="S670:S733" ca="1" si="126">ROUND(R670*B670/10000,0)</f>
        <v>18</v>
      </c>
      <c r="T670" s="720" t="str">
        <f>商办车库!H779</f>
        <v>车位</v>
      </c>
    </row>
    <row r="671" spans="1:20">
      <c r="A671" s="3539" t="str">
        <f>商办车库!E780</f>
        <v>B2293</v>
      </c>
      <c r="B671" s="54">
        <f>商办车库!F780</f>
        <v>40.43</v>
      </c>
      <c r="C671" s="21">
        <f t="shared" si="117"/>
        <v>1</v>
      </c>
      <c r="D671" s="662"/>
      <c r="E671" s="21">
        <f t="shared" si="118"/>
        <v>1</v>
      </c>
      <c r="F671" s="662"/>
      <c r="G671" s="21">
        <f t="shared" si="119"/>
        <v>1</v>
      </c>
      <c r="H671" s="662"/>
      <c r="I671" s="21">
        <f t="shared" si="120"/>
        <v>1</v>
      </c>
      <c r="J671" s="662"/>
      <c r="K671" s="21">
        <f t="shared" si="121"/>
        <v>1</v>
      </c>
      <c r="L671" s="662"/>
      <c r="M671" s="21">
        <f t="shared" si="122"/>
        <v>1</v>
      </c>
      <c r="N671" s="662"/>
      <c r="O671" s="21">
        <f t="shared" si="123"/>
        <v>1</v>
      </c>
      <c r="P671" s="662">
        <v>-2</v>
      </c>
      <c r="Q671" s="21">
        <f t="shared" si="124"/>
        <v>0.95</v>
      </c>
      <c r="R671" s="659">
        <f t="shared" ca="1" si="125"/>
        <v>4429</v>
      </c>
      <c r="S671" s="316">
        <f t="shared" ca="1" si="126"/>
        <v>18</v>
      </c>
      <c r="T671" s="720" t="str">
        <f>商办车库!H780</f>
        <v>车位</v>
      </c>
    </row>
    <row r="672" spans="1:20">
      <c r="A672" s="3539" t="str">
        <f>商办车库!E781</f>
        <v>B2294</v>
      </c>
      <c r="B672" s="54">
        <f>商办车库!F781</f>
        <v>40.43</v>
      </c>
      <c r="C672" s="21">
        <f t="shared" si="117"/>
        <v>1</v>
      </c>
      <c r="D672" s="662"/>
      <c r="E672" s="21">
        <f t="shared" si="118"/>
        <v>1</v>
      </c>
      <c r="F672" s="662"/>
      <c r="G672" s="21">
        <f t="shared" si="119"/>
        <v>1</v>
      </c>
      <c r="H672" s="662"/>
      <c r="I672" s="21">
        <f t="shared" si="120"/>
        <v>1</v>
      </c>
      <c r="J672" s="662"/>
      <c r="K672" s="21">
        <f t="shared" si="121"/>
        <v>1</v>
      </c>
      <c r="L672" s="662"/>
      <c r="M672" s="21">
        <f t="shared" si="122"/>
        <v>1</v>
      </c>
      <c r="N672" s="662"/>
      <c r="O672" s="21">
        <f t="shared" si="123"/>
        <v>1</v>
      </c>
      <c r="P672" s="662">
        <v>-2</v>
      </c>
      <c r="Q672" s="21">
        <f t="shared" si="124"/>
        <v>0.95</v>
      </c>
      <c r="R672" s="659">
        <f t="shared" ca="1" si="125"/>
        <v>4429</v>
      </c>
      <c r="S672" s="316">
        <f t="shared" ca="1" si="126"/>
        <v>18</v>
      </c>
      <c r="T672" s="720" t="str">
        <f>商办车库!H781</f>
        <v>车位</v>
      </c>
    </row>
    <row r="673" spans="1:20">
      <c r="A673" s="3539" t="str">
        <f>商办车库!E782</f>
        <v>B2295</v>
      </c>
      <c r="B673" s="54">
        <f>商办车库!F782</f>
        <v>40.43</v>
      </c>
      <c r="C673" s="21">
        <f t="shared" si="117"/>
        <v>1</v>
      </c>
      <c r="D673" s="662"/>
      <c r="E673" s="21">
        <f t="shared" si="118"/>
        <v>1</v>
      </c>
      <c r="F673" s="662"/>
      <c r="G673" s="21">
        <f t="shared" si="119"/>
        <v>1</v>
      </c>
      <c r="H673" s="662"/>
      <c r="I673" s="21">
        <f t="shared" si="120"/>
        <v>1</v>
      </c>
      <c r="J673" s="662"/>
      <c r="K673" s="21">
        <f t="shared" si="121"/>
        <v>1</v>
      </c>
      <c r="L673" s="662"/>
      <c r="M673" s="21">
        <f t="shared" si="122"/>
        <v>1</v>
      </c>
      <c r="N673" s="662"/>
      <c r="O673" s="21">
        <f t="shared" si="123"/>
        <v>1</v>
      </c>
      <c r="P673" s="662">
        <v>-2</v>
      </c>
      <c r="Q673" s="21">
        <f t="shared" si="124"/>
        <v>0.95</v>
      </c>
      <c r="R673" s="659">
        <f t="shared" ca="1" si="125"/>
        <v>4429</v>
      </c>
      <c r="S673" s="316">
        <f t="shared" ca="1" si="126"/>
        <v>18</v>
      </c>
      <c r="T673" s="720" t="str">
        <f>商办车库!H782</f>
        <v>车位</v>
      </c>
    </row>
    <row r="674" spans="1:20">
      <c r="A674" s="3539" t="str">
        <f>商办车库!E783</f>
        <v>B2296</v>
      </c>
      <c r="B674" s="54">
        <f>商办车库!F783</f>
        <v>40.43</v>
      </c>
      <c r="C674" s="21">
        <f t="shared" si="117"/>
        <v>1</v>
      </c>
      <c r="D674" s="662"/>
      <c r="E674" s="21">
        <f t="shared" si="118"/>
        <v>1</v>
      </c>
      <c r="F674" s="662"/>
      <c r="G674" s="21">
        <f t="shared" si="119"/>
        <v>1</v>
      </c>
      <c r="H674" s="662"/>
      <c r="I674" s="21">
        <f t="shared" si="120"/>
        <v>1</v>
      </c>
      <c r="J674" s="662"/>
      <c r="K674" s="21">
        <f t="shared" si="121"/>
        <v>1</v>
      </c>
      <c r="L674" s="662"/>
      <c r="M674" s="21">
        <f t="shared" si="122"/>
        <v>1</v>
      </c>
      <c r="N674" s="662"/>
      <c r="O674" s="21">
        <f t="shared" si="123"/>
        <v>1</v>
      </c>
      <c r="P674" s="662">
        <v>-2</v>
      </c>
      <c r="Q674" s="21">
        <f t="shared" si="124"/>
        <v>0.95</v>
      </c>
      <c r="R674" s="659">
        <f t="shared" ca="1" si="125"/>
        <v>4429</v>
      </c>
      <c r="S674" s="316">
        <f t="shared" ca="1" si="126"/>
        <v>18</v>
      </c>
      <c r="T674" s="720" t="str">
        <f>商办车库!H783</f>
        <v>车位</v>
      </c>
    </row>
    <row r="675" spans="1:20">
      <c r="A675" s="3539" t="str">
        <f>商办车库!E784</f>
        <v>B2297</v>
      </c>
      <c r="B675" s="54">
        <f>商办车库!F784</f>
        <v>40.43</v>
      </c>
      <c r="C675" s="21">
        <f t="shared" si="117"/>
        <v>1</v>
      </c>
      <c r="D675" s="662"/>
      <c r="E675" s="21">
        <f t="shared" si="118"/>
        <v>1</v>
      </c>
      <c r="F675" s="662"/>
      <c r="G675" s="21">
        <f t="shared" si="119"/>
        <v>1</v>
      </c>
      <c r="H675" s="662"/>
      <c r="I675" s="21">
        <f t="shared" si="120"/>
        <v>1</v>
      </c>
      <c r="J675" s="662"/>
      <c r="K675" s="21">
        <f t="shared" si="121"/>
        <v>1</v>
      </c>
      <c r="L675" s="662"/>
      <c r="M675" s="21">
        <f t="shared" si="122"/>
        <v>1</v>
      </c>
      <c r="N675" s="662"/>
      <c r="O675" s="21">
        <f t="shared" si="123"/>
        <v>1</v>
      </c>
      <c r="P675" s="662">
        <v>-2</v>
      </c>
      <c r="Q675" s="21">
        <f t="shared" si="124"/>
        <v>0.95</v>
      </c>
      <c r="R675" s="659">
        <f t="shared" ca="1" si="125"/>
        <v>4429</v>
      </c>
      <c r="S675" s="316">
        <f t="shared" ca="1" si="126"/>
        <v>18</v>
      </c>
      <c r="T675" s="720" t="str">
        <f>商办车库!H784</f>
        <v>车位</v>
      </c>
    </row>
    <row r="676" spans="1:20">
      <c r="A676" s="3539" t="str">
        <f>商办车库!E785</f>
        <v>B2298</v>
      </c>
      <c r="B676" s="54">
        <f>商办车库!F785</f>
        <v>40.43</v>
      </c>
      <c r="C676" s="21">
        <f t="shared" si="117"/>
        <v>1</v>
      </c>
      <c r="D676" s="662"/>
      <c r="E676" s="21">
        <f t="shared" si="118"/>
        <v>1</v>
      </c>
      <c r="F676" s="662"/>
      <c r="G676" s="21">
        <f t="shared" si="119"/>
        <v>1</v>
      </c>
      <c r="H676" s="662"/>
      <c r="I676" s="21">
        <f t="shared" si="120"/>
        <v>1</v>
      </c>
      <c r="J676" s="662"/>
      <c r="K676" s="21">
        <f t="shared" si="121"/>
        <v>1</v>
      </c>
      <c r="L676" s="662"/>
      <c r="M676" s="21">
        <f t="shared" si="122"/>
        <v>1</v>
      </c>
      <c r="N676" s="662"/>
      <c r="O676" s="21">
        <f t="shared" si="123"/>
        <v>1</v>
      </c>
      <c r="P676" s="662">
        <v>-2</v>
      </c>
      <c r="Q676" s="21">
        <f t="shared" si="124"/>
        <v>0.95</v>
      </c>
      <c r="R676" s="659">
        <f t="shared" ca="1" si="125"/>
        <v>4429</v>
      </c>
      <c r="S676" s="316">
        <f t="shared" ca="1" si="126"/>
        <v>18</v>
      </c>
      <c r="T676" s="720" t="str">
        <f>商办车库!H785</f>
        <v>车位</v>
      </c>
    </row>
    <row r="677" spans="1:20">
      <c r="A677" s="3539" t="str">
        <f>商办车库!E786</f>
        <v>B2299</v>
      </c>
      <c r="B677" s="54">
        <f>商办车库!F786</f>
        <v>40.43</v>
      </c>
      <c r="C677" s="21">
        <f t="shared" si="117"/>
        <v>1</v>
      </c>
      <c r="D677" s="662"/>
      <c r="E677" s="21">
        <f t="shared" si="118"/>
        <v>1</v>
      </c>
      <c r="F677" s="662"/>
      <c r="G677" s="21">
        <f t="shared" si="119"/>
        <v>1</v>
      </c>
      <c r="H677" s="662"/>
      <c r="I677" s="21">
        <f t="shared" si="120"/>
        <v>1</v>
      </c>
      <c r="J677" s="662"/>
      <c r="K677" s="21">
        <f t="shared" si="121"/>
        <v>1</v>
      </c>
      <c r="L677" s="662"/>
      <c r="M677" s="21">
        <f t="shared" si="122"/>
        <v>1</v>
      </c>
      <c r="N677" s="662"/>
      <c r="O677" s="21">
        <f t="shared" si="123"/>
        <v>1</v>
      </c>
      <c r="P677" s="662">
        <v>-2</v>
      </c>
      <c r="Q677" s="21">
        <f t="shared" si="124"/>
        <v>0.95</v>
      </c>
      <c r="R677" s="659">
        <f t="shared" ca="1" si="125"/>
        <v>4429</v>
      </c>
      <c r="S677" s="316">
        <f t="shared" ca="1" si="126"/>
        <v>18</v>
      </c>
      <c r="T677" s="720" t="str">
        <f>商办车库!H786</f>
        <v>车位</v>
      </c>
    </row>
    <row r="678" spans="1:20">
      <c r="A678" s="3539" t="str">
        <f>商办车库!E787</f>
        <v>B2300</v>
      </c>
      <c r="B678" s="54">
        <f>商办车库!F787</f>
        <v>40.43</v>
      </c>
      <c r="C678" s="21">
        <f t="shared" si="117"/>
        <v>1</v>
      </c>
      <c r="D678" s="662"/>
      <c r="E678" s="21">
        <f t="shared" si="118"/>
        <v>1</v>
      </c>
      <c r="F678" s="662"/>
      <c r="G678" s="21">
        <f t="shared" si="119"/>
        <v>1</v>
      </c>
      <c r="H678" s="662"/>
      <c r="I678" s="21">
        <f t="shared" si="120"/>
        <v>1</v>
      </c>
      <c r="J678" s="662"/>
      <c r="K678" s="21">
        <f t="shared" si="121"/>
        <v>1</v>
      </c>
      <c r="L678" s="662"/>
      <c r="M678" s="21">
        <f t="shared" si="122"/>
        <v>1</v>
      </c>
      <c r="N678" s="662"/>
      <c r="O678" s="21">
        <f t="shared" si="123"/>
        <v>1</v>
      </c>
      <c r="P678" s="662">
        <v>-2</v>
      </c>
      <c r="Q678" s="21">
        <f t="shared" si="124"/>
        <v>0.95</v>
      </c>
      <c r="R678" s="659">
        <f t="shared" ca="1" si="125"/>
        <v>4429</v>
      </c>
      <c r="S678" s="316">
        <f t="shared" ca="1" si="126"/>
        <v>18</v>
      </c>
      <c r="T678" s="720" t="str">
        <f>商办车库!H787</f>
        <v>车位</v>
      </c>
    </row>
    <row r="679" spans="1:20">
      <c r="A679" s="3539" t="str">
        <f>商办车库!E788</f>
        <v>B2301</v>
      </c>
      <c r="B679" s="54">
        <f>商办车库!F788</f>
        <v>40.43</v>
      </c>
      <c r="C679" s="21">
        <f t="shared" si="117"/>
        <v>1</v>
      </c>
      <c r="D679" s="662"/>
      <c r="E679" s="21">
        <f t="shared" si="118"/>
        <v>1</v>
      </c>
      <c r="F679" s="662"/>
      <c r="G679" s="21">
        <f t="shared" si="119"/>
        <v>1</v>
      </c>
      <c r="H679" s="662"/>
      <c r="I679" s="21">
        <f t="shared" si="120"/>
        <v>1</v>
      </c>
      <c r="J679" s="662"/>
      <c r="K679" s="21">
        <f t="shared" si="121"/>
        <v>1</v>
      </c>
      <c r="L679" s="662"/>
      <c r="M679" s="21">
        <f t="shared" si="122"/>
        <v>1</v>
      </c>
      <c r="N679" s="662"/>
      <c r="O679" s="21">
        <f t="shared" si="123"/>
        <v>1</v>
      </c>
      <c r="P679" s="662">
        <v>-2</v>
      </c>
      <c r="Q679" s="21">
        <f t="shared" si="124"/>
        <v>0.95</v>
      </c>
      <c r="R679" s="659">
        <f t="shared" ca="1" si="125"/>
        <v>4429</v>
      </c>
      <c r="S679" s="316">
        <f t="shared" ca="1" si="126"/>
        <v>18</v>
      </c>
      <c r="T679" s="720" t="str">
        <f>商办车库!H788</f>
        <v>车位</v>
      </c>
    </row>
    <row r="680" spans="1:20">
      <c r="A680" s="3539" t="str">
        <f>商办车库!E789</f>
        <v>B2302</v>
      </c>
      <c r="B680" s="54">
        <f>商办车库!F789</f>
        <v>40.43</v>
      </c>
      <c r="C680" s="21">
        <f t="shared" si="117"/>
        <v>1</v>
      </c>
      <c r="D680" s="662"/>
      <c r="E680" s="21">
        <f t="shared" si="118"/>
        <v>1</v>
      </c>
      <c r="F680" s="662"/>
      <c r="G680" s="21">
        <f t="shared" si="119"/>
        <v>1</v>
      </c>
      <c r="H680" s="662"/>
      <c r="I680" s="21">
        <f t="shared" si="120"/>
        <v>1</v>
      </c>
      <c r="J680" s="662"/>
      <c r="K680" s="21">
        <f t="shared" si="121"/>
        <v>1</v>
      </c>
      <c r="L680" s="662"/>
      <c r="M680" s="21">
        <f t="shared" si="122"/>
        <v>1</v>
      </c>
      <c r="N680" s="662"/>
      <c r="O680" s="21">
        <f t="shared" si="123"/>
        <v>1</v>
      </c>
      <c r="P680" s="662">
        <v>-2</v>
      </c>
      <c r="Q680" s="21">
        <f t="shared" si="124"/>
        <v>0.95</v>
      </c>
      <c r="R680" s="659">
        <f t="shared" ca="1" si="125"/>
        <v>4429</v>
      </c>
      <c r="S680" s="316">
        <f t="shared" ca="1" si="126"/>
        <v>18</v>
      </c>
      <c r="T680" s="720" t="str">
        <f>商办车库!H789</f>
        <v>车位</v>
      </c>
    </row>
    <row r="681" spans="1:20">
      <c r="A681" s="3539" t="str">
        <f>商办车库!E790</f>
        <v>B2303</v>
      </c>
      <c r="B681" s="54">
        <f>商办车库!F790</f>
        <v>40.43</v>
      </c>
      <c r="C681" s="21">
        <f t="shared" si="117"/>
        <v>1</v>
      </c>
      <c r="D681" s="662"/>
      <c r="E681" s="21">
        <f t="shared" si="118"/>
        <v>1</v>
      </c>
      <c r="F681" s="662"/>
      <c r="G681" s="21">
        <f t="shared" si="119"/>
        <v>1</v>
      </c>
      <c r="H681" s="662"/>
      <c r="I681" s="21">
        <f t="shared" si="120"/>
        <v>1</v>
      </c>
      <c r="J681" s="662"/>
      <c r="K681" s="21">
        <f t="shared" si="121"/>
        <v>1</v>
      </c>
      <c r="L681" s="662"/>
      <c r="M681" s="21">
        <f t="shared" si="122"/>
        <v>1</v>
      </c>
      <c r="N681" s="662"/>
      <c r="O681" s="21">
        <f t="shared" si="123"/>
        <v>1</v>
      </c>
      <c r="P681" s="662">
        <v>-2</v>
      </c>
      <c r="Q681" s="21">
        <f t="shared" si="124"/>
        <v>0.95</v>
      </c>
      <c r="R681" s="659">
        <f t="shared" ca="1" si="125"/>
        <v>4429</v>
      </c>
      <c r="S681" s="316">
        <f t="shared" ca="1" si="126"/>
        <v>18</v>
      </c>
      <c r="T681" s="720" t="str">
        <f>商办车库!H790</f>
        <v>车位</v>
      </c>
    </row>
    <row r="682" spans="1:20">
      <c r="A682" s="3539" t="str">
        <f>商办车库!E791</f>
        <v>B2304</v>
      </c>
      <c r="B682" s="54">
        <f>商办车库!F791</f>
        <v>40.43</v>
      </c>
      <c r="C682" s="21">
        <f t="shared" si="117"/>
        <v>1</v>
      </c>
      <c r="D682" s="662"/>
      <c r="E682" s="21">
        <f t="shared" si="118"/>
        <v>1</v>
      </c>
      <c r="F682" s="662"/>
      <c r="G682" s="21">
        <f t="shared" si="119"/>
        <v>1</v>
      </c>
      <c r="H682" s="662"/>
      <c r="I682" s="21">
        <f t="shared" si="120"/>
        <v>1</v>
      </c>
      <c r="J682" s="662"/>
      <c r="K682" s="21">
        <f t="shared" si="121"/>
        <v>1</v>
      </c>
      <c r="L682" s="662"/>
      <c r="M682" s="21">
        <f t="shared" si="122"/>
        <v>1</v>
      </c>
      <c r="N682" s="662"/>
      <c r="O682" s="21">
        <f t="shared" si="123"/>
        <v>1</v>
      </c>
      <c r="P682" s="662">
        <v>-2</v>
      </c>
      <c r="Q682" s="21">
        <f t="shared" si="124"/>
        <v>0.95</v>
      </c>
      <c r="R682" s="659">
        <f t="shared" ca="1" si="125"/>
        <v>4429</v>
      </c>
      <c r="S682" s="316">
        <f t="shared" ca="1" si="126"/>
        <v>18</v>
      </c>
      <c r="T682" s="720" t="str">
        <f>商办车库!H791</f>
        <v>车位</v>
      </c>
    </row>
    <row r="683" spans="1:20">
      <c r="A683" s="3539" t="str">
        <f>商办车库!E792</f>
        <v>B2305</v>
      </c>
      <c r="B683" s="54">
        <f>商办车库!F792</f>
        <v>40.43</v>
      </c>
      <c r="C683" s="21">
        <f t="shared" si="117"/>
        <v>1</v>
      </c>
      <c r="D683" s="662"/>
      <c r="E683" s="21">
        <f t="shared" si="118"/>
        <v>1</v>
      </c>
      <c r="F683" s="662"/>
      <c r="G683" s="21">
        <f t="shared" si="119"/>
        <v>1</v>
      </c>
      <c r="H683" s="662"/>
      <c r="I683" s="21">
        <f t="shared" si="120"/>
        <v>1</v>
      </c>
      <c r="J683" s="662"/>
      <c r="K683" s="21">
        <f t="shared" si="121"/>
        <v>1</v>
      </c>
      <c r="L683" s="662"/>
      <c r="M683" s="21">
        <f t="shared" si="122"/>
        <v>1</v>
      </c>
      <c r="N683" s="662"/>
      <c r="O683" s="21">
        <f t="shared" si="123"/>
        <v>1</v>
      </c>
      <c r="P683" s="662">
        <v>-2</v>
      </c>
      <c r="Q683" s="21">
        <f t="shared" si="124"/>
        <v>0.95</v>
      </c>
      <c r="R683" s="659">
        <f t="shared" ca="1" si="125"/>
        <v>4429</v>
      </c>
      <c r="S683" s="316">
        <f t="shared" ca="1" si="126"/>
        <v>18</v>
      </c>
      <c r="T683" s="720" t="str">
        <f>商办车库!H792</f>
        <v>车位</v>
      </c>
    </row>
    <row r="684" spans="1:20">
      <c r="A684" s="3539" t="str">
        <f>商办车库!E793</f>
        <v>B2306</v>
      </c>
      <c r="B684" s="54">
        <f>商办车库!F793</f>
        <v>40.43</v>
      </c>
      <c r="C684" s="21">
        <f t="shared" si="117"/>
        <v>1</v>
      </c>
      <c r="D684" s="662"/>
      <c r="E684" s="21">
        <f t="shared" si="118"/>
        <v>1</v>
      </c>
      <c r="F684" s="662"/>
      <c r="G684" s="21">
        <f t="shared" si="119"/>
        <v>1</v>
      </c>
      <c r="H684" s="662"/>
      <c r="I684" s="21">
        <f t="shared" si="120"/>
        <v>1</v>
      </c>
      <c r="J684" s="662"/>
      <c r="K684" s="21">
        <f t="shared" si="121"/>
        <v>1</v>
      </c>
      <c r="L684" s="662"/>
      <c r="M684" s="21">
        <f t="shared" si="122"/>
        <v>1</v>
      </c>
      <c r="N684" s="662"/>
      <c r="O684" s="21">
        <f t="shared" si="123"/>
        <v>1</v>
      </c>
      <c r="P684" s="662">
        <v>-2</v>
      </c>
      <c r="Q684" s="21">
        <f t="shared" si="124"/>
        <v>0.95</v>
      </c>
      <c r="R684" s="659">
        <f t="shared" ca="1" si="125"/>
        <v>4429</v>
      </c>
      <c r="S684" s="316">
        <f t="shared" ca="1" si="126"/>
        <v>18</v>
      </c>
      <c r="T684" s="720" t="str">
        <f>商办车库!H793</f>
        <v>车位</v>
      </c>
    </row>
    <row r="685" spans="1:20">
      <c r="A685" s="3539" t="str">
        <f>商办车库!E794</f>
        <v>B2307</v>
      </c>
      <c r="B685" s="54">
        <f>商办车库!F794</f>
        <v>40.43</v>
      </c>
      <c r="C685" s="21">
        <f t="shared" si="117"/>
        <v>1</v>
      </c>
      <c r="D685" s="662"/>
      <c r="E685" s="21">
        <f t="shared" si="118"/>
        <v>1</v>
      </c>
      <c r="F685" s="662"/>
      <c r="G685" s="21">
        <f t="shared" si="119"/>
        <v>1</v>
      </c>
      <c r="H685" s="662"/>
      <c r="I685" s="21">
        <f t="shared" si="120"/>
        <v>1</v>
      </c>
      <c r="J685" s="662"/>
      <c r="K685" s="21">
        <f t="shared" si="121"/>
        <v>1</v>
      </c>
      <c r="L685" s="662"/>
      <c r="M685" s="21">
        <f t="shared" si="122"/>
        <v>1</v>
      </c>
      <c r="N685" s="662"/>
      <c r="O685" s="21">
        <f t="shared" si="123"/>
        <v>1</v>
      </c>
      <c r="P685" s="662">
        <v>-2</v>
      </c>
      <c r="Q685" s="21">
        <f t="shared" si="124"/>
        <v>0.95</v>
      </c>
      <c r="R685" s="659">
        <f t="shared" ca="1" si="125"/>
        <v>4429</v>
      </c>
      <c r="S685" s="316">
        <f t="shared" ca="1" si="126"/>
        <v>18</v>
      </c>
      <c r="T685" s="720" t="str">
        <f>商办车库!H794</f>
        <v>车位</v>
      </c>
    </row>
    <row r="686" spans="1:20">
      <c r="A686" s="3539" t="str">
        <f>商办车库!E795</f>
        <v>B2308</v>
      </c>
      <c r="B686" s="54">
        <f>商办车库!F795</f>
        <v>40.43</v>
      </c>
      <c r="C686" s="21">
        <f t="shared" si="117"/>
        <v>1</v>
      </c>
      <c r="D686" s="662"/>
      <c r="E686" s="21">
        <f t="shared" si="118"/>
        <v>1</v>
      </c>
      <c r="F686" s="662"/>
      <c r="G686" s="21">
        <f t="shared" si="119"/>
        <v>1</v>
      </c>
      <c r="H686" s="662"/>
      <c r="I686" s="21">
        <f t="shared" si="120"/>
        <v>1</v>
      </c>
      <c r="J686" s="662"/>
      <c r="K686" s="21">
        <f t="shared" si="121"/>
        <v>1</v>
      </c>
      <c r="L686" s="662"/>
      <c r="M686" s="21">
        <f t="shared" si="122"/>
        <v>1</v>
      </c>
      <c r="N686" s="662"/>
      <c r="O686" s="21">
        <f t="shared" si="123"/>
        <v>1</v>
      </c>
      <c r="P686" s="662">
        <v>-2</v>
      </c>
      <c r="Q686" s="21">
        <f t="shared" si="124"/>
        <v>0.95</v>
      </c>
      <c r="R686" s="659">
        <f t="shared" ca="1" si="125"/>
        <v>4429</v>
      </c>
      <c r="S686" s="316">
        <f t="shared" ca="1" si="126"/>
        <v>18</v>
      </c>
      <c r="T686" s="720" t="str">
        <f>商办车库!H795</f>
        <v>车位</v>
      </c>
    </row>
    <row r="687" spans="1:20">
      <c r="A687" s="3539" t="str">
        <f>商办车库!E796</f>
        <v>B2309</v>
      </c>
      <c r="B687" s="54">
        <f>商办车库!F796</f>
        <v>40.43</v>
      </c>
      <c r="C687" s="21">
        <f t="shared" si="117"/>
        <v>1</v>
      </c>
      <c r="D687" s="662"/>
      <c r="E687" s="21">
        <f t="shared" si="118"/>
        <v>1</v>
      </c>
      <c r="F687" s="662"/>
      <c r="G687" s="21">
        <f t="shared" si="119"/>
        <v>1</v>
      </c>
      <c r="H687" s="662"/>
      <c r="I687" s="21">
        <f t="shared" si="120"/>
        <v>1</v>
      </c>
      <c r="J687" s="662"/>
      <c r="K687" s="21">
        <f t="shared" si="121"/>
        <v>1</v>
      </c>
      <c r="L687" s="662"/>
      <c r="M687" s="21">
        <f t="shared" si="122"/>
        <v>1</v>
      </c>
      <c r="N687" s="662"/>
      <c r="O687" s="21">
        <f t="shared" si="123"/>
        <v>1</v>
      </c>
      <c r="P687" s="662">
        <v>-2</v>
      </c>
      <c r="Q687" s="21">
        <f t="shared" si="124"/>
        <v>0.95</v>
      </c>
      <c r="R687" s="659">
        <f t="shared" ca="1" si="125"/>
        <v>4429</v>
      </c>
      <c r="S687" s="316">
        <f t="shared" ca="1" si="126"/>
        <v>18</v>
      </c>
      <c r="T687" s="720" t="str">
        <f>商办车库!H796</f>
        <v>车位</v>
      </c>
    </row>
    <row r="688" spans="1:20">
      <c r="A688" s="3539" t="str">
        <f>商办车库!E797</f>
        <v>B2310</v>
      </c>
      <c r="B688" s="54">
        <f>商办车库!F797</f>
        <v>40.43</v>
      </c>
      <c r="C688" s="21">
        <f t="shared" si="117"/>
        <v>1</v>
      </c>
      <c r="D688" s="662"/>
      <c r="E688" s="21">
        <f t="shared" si="118"/>
        <v>1</v>
      </c>
      <c r="F688" s="662"/>
      <c r="G688" s="21">
        <f t="shared" si="119"/>
        <v>1</v>
      </c>
      <c r="H688" s="662"/>
      <c r="I688" s="21">
        <f t="shared" si="120"/>
        <v>1</v>
      </c>
      <c r="J688" s="662"/>
      <c r="K688" s="21">
        <f t="shared" si="121"/>
        <v>1</v>
      </c>
      <c r="L688" s="662"/>
      <c r="M688" s="21">
        <f t="shared" si="122"/>
        <v>1</v>
      </c>
      <c r="N688" s="662"/>
      <c r="O688" s="21">
        <f t="shared" si="123"/>
        <v>1</v>
      </c>
      <c r="P688" s="662">
        <v>-2</v>
      </c>
      <c r="Q688" s="21">
        <f t="shared" si="124"/>
        <v>0.95</v>
      </c>
      <c r="R688" s="659">
        <f t="shared" ca="1" si="125"/>
        <v>4429</v>
      </c>
      <c r="S688" s="316">
        <f t="shared" ca="1" si="126"/>
        <v>18</v>
      </c>
      <c r="T688" s="720" t="str">
        <f>商办车库!H797</f>
        <v>车位</v>
      </c>
    </row>
    <row r="689" spans="1:20">
      <c r="A689" s="3539" t="str">
        <f>商办车库!E798</f>
        <v>B2311</v>
      </c>
      <c r="B689" s="54">
        <f>商办车库!F798</f>
        <v>40.43</v>
      </c>
      <c r="C689" s="21">
        <f t="shared" si="117"/>
        <v>1</v>
      </c>
      <c r="D689" s="662"/>
      <c r="E689" s="21">
        <f t="shared" si="118"/>
        <v>1</v>
      </c>
      <c r="F689" s="662"/>
      <c r="G689" s="21">
        <f t="shared" si="119"/>
        <v>1</v>
      </c>
      <c r="H689" s="662"/>
      <c r="I689" s="21">
        <f t="shared" si="120"/>
        <v>1</v>
      </c>
      <c r="J689" s="662"/>
      <c r="K689" s="21">
        <f t="shared" si="121"/>
        <v>1</v>
      </c>
      <c r="L689" s="662"/>
      <c r="M689" s="21">
        <f t="shared" si="122"/>
        <v>1</v>
      </c>
      <c r="N689" s="662"/>
      <c r="O689" s="21">
        <f t="shared" si="123"/>
        <v>1</v>
      </c>
      <c r="P689" s="662">
        <v>-2</v>
      </c>
      <c r="Q689" s="21">
        <f t="shared" si="124"/>
        <v>0.95</v>
      </c>
      <c r="R689" s="659">
        <f t="shared" ca="1" si="125"/>
        <v>4429</v>
      </c>
      <c r="S689" s="316">
        <f t="shared" ca="1" si="126"/>
        <v>18</v>
      </c>
      <c r="T689" s="720" t="str">
        <f>商办车库!H798</f>
        <v>车位</v>
      </c>
    </row>
    <row r="690" spans="1:20">
      <c r="A690" s="3539" t="str">
        <f>商办车库!E799</f>
        <v>B2312</v>
      </c>
      <c r="B690" s="54">
        <f>商办车库!F799</f>
        <v>40.43</v>
      </c>
      <c r="C690" s="21">
        <f t="shared" si="117"/>
        <v>1</v>
      </c>
      <c r="D690" s="662"/>
      <c r="E690" s="21">
        <f t="shared" si="118"/>
        <v>1</v>
      </c>
      <c r="F690" s="662"/>
      <c r="G690" s="21">
        <f t="shared" si="119"/>
        <v>1</v>
      </c>
      <c r="H690" s="662"/>
      <c r="I690" s="21">
        <f t="shared" si="120"/>
        <v>1</v>
      </c>
      <c r="J690" s="662"/>
      <c r="K690" s="21">
        <f t="shared" si="121"/>
        <v>1</v>
      </c>
      <c r="L690" s="662"/>
      <c r="M690" s="21">
        <f t="shared" si="122"/>
        <v>1</v>
      </c>
      <c r="N690" s="662"/>
      <c r="O690" s="21">
        <f t="shared" si="123"/>
        <v>1</v>
      </c>
      <c r="P690" s="662">
        <v>-2</v>
      </c>
      <c r="Q690" s="21">
        <f t="shared" si="124"/>
        <v>0.95</v>
      </c>
      <c r="R690" s="659">
        <f t="shared" ca="1" si="125"/>
        <v>4429</v>
      </c>
      <c r="S690" s="316">
        <f t="shared" ca="1" si="126"/>
        <v>18</v>
      </c>
      <c r="T690" s="720" t="str">
        <f>商办车库!H799</f>
        <v>车位</v>
      </c>
    </row>
    <row r="691" spans="1:20">
      <c r="A691" s="3539" t="str">
        <f>商办车库!E800</f>
        <v>B2313</v>
      </c>
      <c r="B691" s="54">
        <f>商办车库!F800</f>
        <v>40.43</v>
      </c>
      <c r="C691" s="21">
        <f t="shared" si="117"/>
        <v>1</v>
      </c>
      <c r="D691" s="662"/>
      <c r="E691" s="21">
        <f t="shared" si="118"/>
        <v>1</v>
      </c>
      <c r="F691" s="662"/>
      <c r="G691" s="21">
        <f t="shared" si="119"/>
        <v>1</v>
      </c>
      <c r="H691" s="662"/>
      <c r="I691" s="21">
        <f t="shared" si="120"/>
        <v>1</v>
      </c>
      <c r="J691" s="662"/>
      <c r="K691" s="21">
        <f t="shared" si="121"/>
        <v>1</v>
      </c>
      <c r="L691" s="662"/>
      <c r="M691" s="21">
        <f t="shared" si="122"/>
        <v>1</v>
      </c>
      <c r="N691" s="662"/>
      <c r="O691" s="21">
        <f t="shared" si="123"/>
        <v>1</v>
      </c>
      <c r="P691" s="662">
        <v>-2</v>
      </c>
      <c r="Q691" s="21">
        <f t="shared" si="124"/>
        <v>0.95</v>
      </c>
      <c r="R691" s="659">
        <f t="shared" ca="1" si="125"/>
        <v>4429</v>
      </c>
      <c r="S691" s="316">
        <f t="shared" ca="1" si="126"/>
        <v>18</v>
      </c>
      <c r="T691" s="720" t="str">
        <f>商办车库!H800</f>
        <v>车位</v>
      </c>
    </row>
    <row r="692" spans="1:20">
      <c r="A692" s="3539" t="str">
        <f>商办车库!E801</f>
        <v>B2314</v>
      </c>
      <c r="B692" s="54">
        <f>商办车库!F801</f>
        <v>40.43</v>
      </c>
      <c r="C692" s="21">
        <f t="shared" si="117"/>
        <v>1</v>
      </c>
      <c r="D692" s="662"/>
      <c r="E692" s="21">
        <f t="shared" si="118"/>
        <v>1</v>
      </c>
      <c r="F692" s="662"/>
      <c r="G692" s="21">
        <f t="shared" si="119"/>
        <v>1</v>
      </c>
      <c r="H692" s="662"/>
      <c r="I692" s="21">
        <f t="shared" si="120"/>
        <v>1</v>
      </c>
      <c r="J692" s="662"/>
      <c r="K692" s="21">
        <f t="shared" si="121"/>
        <v>1</v>
      </c>
      <c r="L692" s="662"/>
      <c r="M692" s="21">
        <f t="shared" si="122"/>
        <v>1</v>
      </c>
      <c r="N692" s="662"/>
      <c r="O692" s="21">
        <f t="shared" si="123"/>
        <v>1</v>
      </c>
      <c r="P692" s="662">
        <v>-2</v>
      </c>
      <c r="Q692" s="21">
        <f t="shared" si="124"/>
        <v>0.95</v>
      </c>
      <c r="R692" s="659">
        <f t="shared" ca="1" si="125"/>
        <v>4429</v>
      </c>
      <c r="S692" s="316">
        <f t="shared" ca="1" si="126"/>
        <v>18</v>
      </c>
      <c r="T692" s="720" t="str">
        <f>商办车库!H801</f>
        <v>车位</v>
      </c>
    </row>
    <row r="693" spans="1:20">
      <c r="A693" s="3539" t="str">
        <f>商办车库!E802</f>
        <v>B2315</v>
      </c>
      <c r="B693" s="54">
        <f>商办车库!F802</f>
        <v>40.43</v>
      </c>
      <c r="C693" s="21">
        <f t="shared" si="117"/>
        <v>1</v>
      </c>
      <c r="D693" s="662"/>
      <c r="E693" s="21">
        <f t="shared" si="118"/>
        <v>1</v>
      </c>
      <c r="F693" s="662"/>
      <c r="G693" s="21">
        <f t="shared" si="119"/>
        <v>1</v>
      </c>
      <c r="H693" s="662"/>
      <c r="I693" s="21">
        <f t="shared" si="120"/>
        <v>1</v>
      </c>
      <c r="J693" s="662"/>
      <c r="K693" s="21">
        <f t="shared" si="121"/>
        <v>1</v>
      </c>
      <c r="L693" s="662"/>
      <c r="M693" s="21">
        <f t="shared" si="122"/>
        <v>1</v>
      </c>
      <c r="N693" s="662"/>
      <c r="O693" s="21">
        <f t="shared" si="123"/>
        <v>1</v>
      </c>
      <c r="P693" s="662">
        <v>-2</v>
      </c>
      <c r="Q693" s="21">
        <f t="shared" si="124"/>
        <v>0.95</v>
      </c>
      <c r="R693" s="659">
        <f t="shared" ca="1" si="125"/>
        <v>4429</v>
      </c>
      <c r="S693" s="316">
        <f t="shared" ca="1" si="126"/>
        <v>18</v>
      </c>
      <c r="T693" s="720" t="str">
        <f>商办车库!H802</f>
        <v>车位</v>
      </c>
    </row>
    <row r="694" spans="1:20">
      <c r="A694" s="3539" t="str">
        <f>商办车库!E803</f>
        <v>B2316</v>
      </c>
      <c r="B694" s="54">
        <f>商办车库!F803</f>
        <v>40.43</v>
      </c>
      <c r="C694" s="21">
        <f t="shared" si="117"/>
        <v>1</v>
      </c>
      <c r="D694" s="662"/>
      <c r="E694" s="21">
        <f t="shared" si="118"/>
        <v>1</v>
      </c>
      <c r="F694" s="662"/>
      <c r="G694" s="21">
        <f t="shared" si="119"/>
        <v>1</v>
      </c>
      <c r="H694" s="662"/>
      <c r="I694" s="21">
        <f t="shared" si="120"/>
        <v>1</v>
      </c>
      <c r="J694" s="662"/>
      <c r="K694" s="21">
        <f t="shared" si="121"/>
        <v>1</v>
      </c>
      <c r="L694" s="662"/>
      <c r="M694" s="21">
        <f t="shared" si="122"/>
        <v>1</v>
      </c>
      <c r="N694" s="662"/>
      <c r="O694" s="21">
        <f t="shared" si="123"/>
        <v>1</v>
      </c>
      <c r="P694" s="662">
        <v>-2</v>
      </c>
      <c r="Q694" s="21">
        <f t="shared" si="124"/>
        <v>0.95</v>
      </c>
      <c r="R694" s="659">
        <f t="shared" ca="1" si="125"/>
        <v>4429</v>
      </c>
      <c r="S694" s="316">
        <f t="shared" ca="1" si="126"/>
        <v>18</v>
      </c>
      <c r="T694" s="720" t="str">
        <f>商办车库!H803</f>
        <v>车位</v>
      </c>
    </row>
    <row r="695" spans="1:20">
      <c r="A695" s="3539" t="str">
        <f>商办车库!E804</f>
        <v>B2317</v>
      </c>
      <c r="B695" s="54">
        <f>商办车库!F804</f>
        <v>40.43</v>
      </c>
      <c r="C695" s="21">
        <f t="shared" si="117"/>
        <v>1</v>
      </c>
      <c r="D695" s="662"/>
      <c r="E695" s="21">
        <f t="shared" si="118"/>
        <v>1</v>
      </c>
      <c r="F695" s="662"/>
      <c r="G695" s="21">
        <f t="shared" si="119"/>
        <v>1</v>
      </c>
      <c r="H695" s="662"/>
      <c r="I695" s="21">
        <f t="shared" si="120"/>
        <v>1</v>
      </c>
      <c r="J695" s="662"/>
      <c r="K695" s="21">
        <f t="shared" si="121"/>
        <v>1</v>
      </c>
      <c r="L695" s="662"/>
      <c r="M695" s="21">
        <f t="shared" si="122"/>
        <v>1</v>
      </c>
      <c r="N695" s="662"/>
      <c r="O695" s="21">
        <f t="shared" si="123"/>
        <v>1</v>
      </c>
      <c r="P695" s="662">
        <v>-2</v>
      </c>
      <c r="Q695" s="21">
        <f t="shared" si="124"/>
        <v>0.95</v>
      </c>
      <c r="R695" s="659">
        <f t="shared" ca="1" si="125"/>
        <v>4429</v>
      </c>
      <c r="S695" s="316">
        <f t="shared" ca="1" si="126"/>
        <v>18</v>
      </c>
      <c r="T695" s="720" t="str">
        <f>商办车库!H804</f>
        <v>车位</v>
      </c>
    </row>
    <row r="696" spans="1:20">
      <c r="A696" s="3539" t="str">
        <f>商办车库!E805</f>
        <v>B2318</v>
      </c>
      <c r="B696" s="54">
        <f>商办车库!F805</f>
        <v>40.43</v>
      </c>
      <c r="C696" s="21">
        <f t="shared" si="117"/>
        <v>1</v>
      </c>
      <c r="D696" s="662"/>
      <c r="E696" s="21">
        <f t="shared" si="118"/>
        <v>1</v>
      </c>
      <c r="F696" s="662"/>
      <c r="G696" s="21">
        <f t="shared" si="119"/>
        <v>1</v>
      </c>
      <c r="H696" s="662"/>
      <c r="I696" s="21">
        <f t="shared" si="120"/>
        <v>1</v>
      </c>
      <c r="J696" s="662"/>
      <c r="K696" s="21">
        <f t="shared" si="121"/>
        <v>1</v>
      </c>
      <c r="L696" s="662"/>
      <c r="M696" s="21">
        <f t="shared" si="122"/>
        <v>1</v>
      </c>
      <c r="N696" s="662"/>
      <c r="O696" s="21">
        <f t="shared" si="123"/>
        <v>1</v>
      </c>
      <c r="P696" s="662">
        <v>-2</v>
      </c>
      <c r="Q696" s="21">
        <f t="shared" si="124"/>
        <v>0.95</v>
      </c>
      <c r="R696" s="659">
        <f t="shared" ca="1" si="125"/>
        <v>4429</v>
      </c>
      <c r="S696" s="316">
        <f t="shared" ca="1" si="126"/>
        <v>18</v>
      </c>
      <c r="T696" s="720" t="str">
        <f>商办车库!H805</f>
        <v>车位</v>
      </c>
    </row>
    <row r="697" spans="1:20">
      <c r="A697" s="3539" t="str">
        <f>商办车库!E806</f>
        <v>B2319、B2320</v>
      </c>
      <c r="B697" s="54">
        <f>商办车库!F806</f>
        <v>80.86</v>
      </c>
      <c r="C697" s="3438">
        <v>1</v>
      </c>
      <c r="D697" s="662"/>
      <c r="E697" s="21">
        <f t="shared" si="118"/>
        <v>1</v>
      </c>
      <c r="F697" s="662"/>
      <c r="G697" s="21">
        <f t="shared" si="119"/>
        <v>1</v>
      </c>
      <c r="H697" s="662"/>
      <c r="I697" s="21">
        <f t="shared" si="120"/>
        <v>1</v>
      </c>
      <c r="J697" s="662"/>
      <c r="K697" s="21">
        <f t="shared" si="121"/>
        <v>1</v>
      </c>
      <c r="L697" s="662"/>
      <c r="M697" s="21">
        <f t="shared" si="122"/>
        <v>1</v>
      </c>
      <c r="N697" s="662"/>
      <c r="O697" s="21">
        <f t="shared" si="123"/>
        <v>1</v>
      </c>
      <c r="P697" s="662">
        <v>-2</v>
      </c>
      <c r="Q697" s="21">
        <f t="shared" si="124"/>
        <v>0.95</v>
      </c>
      <c r="R697" s="659">
        <f t="shared" ca="1" si="125"/>
        <v>4429</v>
      </c>
      <c r="S697" s="316">
        <f t="shared" ca="1" si="126"/>
        <v>36</v>
      </c>
      <c r="T697" s="720" t="str">
        <f>商办车库!H806</f>
        <v>车位</v>
      </c>
    </row>
    <row r="698" spans="1:20">
      <c r="A698" s="3539" t="str">
        <f>商办车库!E807</f>
        <v>B2321、B2322</v>
      </c>
      <c r="B698" s="54">
        <f>商办车库!F807</f>
        <v>80.86</v>
      </c>
      <c r="C698" s="3438">
        <v>1</v>
      </c>
      <c r="D698" s="662"/>
      <c r="E698" s="21">
        <f t="shared" si="118"/>
        <v>1</v>
      </c>
      <c r="F698" s="662"/>
      <c r="G698" s="21">
        <f t="shared" si="119"/>
        <v>1</v>
      </c>
      <c r="H698" s="662"/>
      <c r="I698" s="21">
        <f t="shared" si="120"/>
        <v>1</v>
      </c>
      <c r="J698" s="662"/>
      <c r="K698" s="21">
        <f t="shared" si="121"/>
        <v>1</v>
      </c>
      <c r="L698" s="662"/>
      <c r="M698" s="21">
        <f t="shared" si="122"/>
        <v>1</v>
      </c>
      <c r="N698" s="662"/>
      <c r="O698" s="21">
        <f t="shared" si="123"/>
        <v>1</v>
      </c>
      <c r="P698" s="662">
        <v>-2</v>
      </c>
      <c r="Q698" s="21">
        <f t="shared" si="124"/>
        <v>0.95</v>
      </c>
      <c r="R698" s="659">
        <f t="shared" ca="1" si="125"/>
        <v>4429</v>
      </c>
      <c r="S698" s="316">
        <f t="shared" ca="1" si="126"/>
        <v>36</v>
      </c>
      <c r="T698" s="720" t="str">
        <f>商办车库!H807</f>
        <v>车位</v>
      </c>
    </row>
    <row r="699" spans="1:20">
      <c r="A699" s="3539" t="str">
        <f>商办车库!E808</f>
        <v>B2323、B2324</v>
      </c>
      <c r="B699" s="54">
        <f>商办车库!F808</f>
        <v>80.86</v>
      </c>
      <c r="C699" s="3438">
        <v>1</v>
      </c>
      <c r="D699" s="662"/>
      <c r="E699" s="21">
        <f t="shared" si="118"/>
        <v>1</v>
      </c>
      <c r="F699" s="662"/>
      <c r="G699" s="21">
        <f t="shared" si="119"/>
        <v>1</v>
      </c>
      <c r="H699" s="662"/>
      <c r="I699" s="21">
        <f t="shared" si="120"/>
        <v>1</v>
      </c>
      <c r="J699" s="662"/>
      <c r="K699" s="21">
        <f t="shared" si="121"/>
        <v>1</v>
      </c>
      <c r="L699" s="662"/>
      <c r="M699" s="21">
        <f t="shared" si="122"/>
        <v>1</v>
      </c>
      <c r="N699" s="662"/>
      <c r="O699" s="21">
        <f t="shared" si="123"/>
        <v>1</v>
      </c>
      <c r="P699" s="662">
        <v>-2</v>
      </c>
      <c r="Q699" s="21">
        <f t="shared" si="124"/>
        <v>0.95</v>
      </c>
      <c r="R699" s="659">
        <f t="shared" ca="1" si="125"/>
        <v>4429</v>
      </c>
      <c r="S699" s="316">
        <f t="shared" ca="1" si="126"/>
        <v>36</v>
      </c>
      <c r="T699" s="720" t="str">
        <f>商办车库!H808</f>
        <v>车位</v>
      </c>
    </row>
    <row r="700" spans="1:20">
      <c r="A700" s="3539" t="str">
        <f>商办车库!E809</f>
        <v>B2325、B2326</v>
      </c>
      <c r="B700" s="54">
        <f>商办车库!F809</f>
        <v>80.86</v>
      </c>
      <c r="C700" s="3438">
        <v>1</v>
      </c>
      <c r="D700" s="662"/>
      <c r="E700" s="21">
        <f t="shared" si="118"/>
        <v>1</v>
      </c>
      <c r="F700" s="662"/>
      <c r="G700" s="21">
        <f t="shared" si="119"/>
        <v>1</v>
      </c>
      <c r="H700" s="662"/>
      <c r="I700" s="21">
        <f t="shared" si="120"/>
        <v>1</v>
      </c>
      <c r="J700" s="662"/>
      <c r="K700" s="21">
        <f t="shared" si="121"/>
        <v>1</v>
      </c>
      <c r="L700" s="662"/>
      <c r="M700" s="21">
        <f t="shared" si="122"/>
        <v>1</v>
      </c>
      <c r="N700" s="662"/>
      <c r="O700" s="21">
        <f t="shared" si="123"/>
        <v>1</v>
      </c>
      <c r="P700" s="662">
        <v>-2</v>
      </c>
      <c r="Q700" s="21">
        <f t="shared" si="124"/>
        <v>0.95</v>
      </c>
      <c r="R700" s="659">
        <f t="shared" ca="1" si="125"/>
        <v>4429</v>
      </c>
      <c r="S700" s="316">
        <f t="shared" ca="1" si="126"/>
        <v>36</v>
      </c>
      <c r="T700" s="720" t="str">
        <f>商办车库!H809</f>
        <v>车位</v>
      </c>
    </row>
    <row r="701" spans="1:20">
      <c r="A701" s="3539" t="str">
        <f>商办车库!E810</f>
        <v>B2327、B2328</v>
      </c>
      <c r="B701" s="54">
        <f>商办车库!F810</f>
        <v>80.86</v>
      </c>
      <c r="C701" s="3438">
        <v>1</v>
      </c>
      <c r="D701" s="662"/>
      <c r="E701" s="21">
        <f t="shared" si="118"/>
        <v>1</v>
      </c>
      <c r="F701" s="662"/>
      <c r="G701" s="21">
        <f t="shared" si="119"/>
        <v>1</v>
      </c>
      <c r="H701" s="662"/>
      <c r="I701" s="21">
        <f t="shared" si="120"/>
        <v>1</v>
      </c>
      <c r="J701" s="662"/>
      <c r="K701" s="21">
        <f t="shared" si="121"/>
        <v>1</v>
      </c>
      <c r="L701" s="662"/>
      <c r="M701" s="21">
        <f t="shared" si="122"/>
        <v>1</v>
      </c>
      <c r="N701" s="662"/>
      <c r="O701" s="21">
        <f t="shared" si="123"/>
        <v>1</v>
      </c>
      <c r="P701" s="662">
        <v>-2</v>
      </c>
      <c r="Q701" s="21">
        <f t="shared" si="124"/>
        <v>0.95</v>
      </c>
      <c r="R701" s="659">
        <f t="shared" ca="1" si="125"/>
        <v>4429</v>
      </c>
      <c r="S701" s="316">
        <f t="shared" ca="1" si="126"/>
        <v>36</v>
      </c>
      <c r="T701" s="720" t="str">
        <f>商办车库!H810</f>
        <v>车位</v>
      </c>
    </row>
    <row r="702" spans="1:20">
      <c r="A702" s="3539" t="str">
        <f>商办车库!E811</f>
        <v>B2329</v>
      </c>
      <c r="B702" s="54">
        <f>商办车库!F811</f>
        <v>40.43</v>
      </c>
      <c r="C702" s="21">
        <f t="shared" si="117"/>
        <v>1</v>
      </c>
      <c r="D702" s="662"/>
      <c r="E702" s="21">
        <f t="shared" si="118"/>
        <v>1</v>
      </c>
      <c r="F702" s="662"/>
      <c r="G702" s="21">
        <f t="shared" si="119"/>
        <v>1</v>
      </c>
      <c r="H702" s="662"/>
      <c r="I702" s="21">
        <f t="shared" si="120"/>
        <v>1</v>
      </c>
      <c r="J702" s="662"/>
      <c r="K702" s="21">
        <f t="shared" si="121"/>
        <v>1</v>
      </c>
      <c r="L702" s="662"/>
      <c r="M702" s="21">
        <f t="shared" si="122"/>
        <v>1</v>
      </c>
      <c r="N702" s="662"/>
      <c r="O702" s="21">
        <f t="shared" si="123"/>
        <v>1</v>
      </c>
      <c r="P702" s="662">
        <v>-2</v>
      </c>
      <c r="Q702" s="21">
        <f t="shared" si="124"/>
        <v>0.95</v>
      </c>
      <c r="R702" s="659">
        <f t="shared" ca="1" si="125"/>
        <v>4429</v>
      </c>
      <c r="S702" s="316">
        <f t="shared" ca="1" si="126"/>
        <v>18</v>
      </c>
      <c r="T702" s="720" t="str">
        <f>商办车库!H811</f>
        <v>车位</v>
      </c>
    </row>
    <row r="703" spans="1:20">
      <c r="A703" s="3539" t="str">
        <f>商办车库!E812</f>
        <v>B2330</v>
      </c>
      <c r="B703" s="54">
        <f>商办车库!F812</f>
        <v>40.43</v>
      </c>
      <c r="C703" s="21">
        <f t="shared" si="117"/>
        <v>1</v>
      </c>
      <c r="D703" s="662"/>
      <c r="E703" s="21">
        <f t="shared" si="118"/>
        <v>1</v>
      </c>
      <c r="F703" s="662"/>
      <c r="G703" s="21">
        <f t="shared" si="119"/>
        <v>1</v>
      </c>
      <c r="H703" s="662"/>
      <c r="I703" s="21">
        <f t="shared" si="120"/>
        <v>1</v>
      </c>
      <c r="J703" s="662"/>
      <c r="K703" s="21">
        <f t="shared" si="121"/>
        <v>1</v>
      </c>
      <c r="L703" s="662"/>
      <c r="M703" s="21">
        <f t="shared" si="122"/>
        <v>1</v>
      </c>
      <c r="N703" s="662"/>
      <c r="O703" s="21">
        <f t="shared" si="123"/>
        <v>1</v>
      </c>
      <c r="P703" s="662">
        <v>-2</v>
      </c>
      <c r="Q703" s="21">
        <f t="shared" si="124"/>
        <v>0.95</v>
      </c>
      <c r="R703" s="659">
        <f t="shared" ca="1" si="125"/>
        <v>4429</v>
      </c>
      <c r="S703" s="316">
        <f t="shared" ca="1" si="126"/>
        <v>18</v>
      </c>
      <c r="T703" s="720" t="str">
        <f>商办车库!H812</f>
        <v>车位</v>
      </c>
    </row>
    <row r="704" spans="1:20">
      <c r="A704" s="3539" t="str">
        <f>商办车库!E813</f>
        <v>B2331</v>
      </c>
      <c r="B704" s="54">
        <f>商办车库!F813</f>
        <v>40.43</v>
      </c>
      <c r="C704" s="21">
        <f t="shared" si="117"/>
        <v>1</v>
      </c>
      <c r="D704" s="662"/>
      <c r="E704" s="21">
        <f t="shared" si="118"/>
        <v>1</v>
      </c>
      <c r="F704" s="662"/>
      <c r="G704" s="21">
        <f t="shared" si="119"/>
        <v>1</v>
      </c>
      <c r="H704" s="662"/>
      <c r="I704" s="21">
        <f t="shared" si="120"/>
        <v>1</v>
      </c>
      <c r="J704" s="662"/>
      <c r="K704" s="21">
        <f t="shared" si="121"/>
        <v>1</v>
      </c>
      <c r="L704" s="662"/>
      <c r="M704" s="21">
        <f t="shared" si="122"/>
        <v>1</v>
      </c>
      <c r="N704" s="662"/>
      <c r="O704" s="21">
        <f t="shared" si="123"/>
        <v>1</v>
      </c>
      <c r="P704" s="662">
        <v>-2</v>
      </c>
      <c r="Q704" s="21">
        <f t="shared" si="124"/>
        <v>0.95</v>
      </c>
      <c r="R704" s="659">
        <f t="shared" ca="1" si="125"/>
        <v>4429</v>
      </c>
      <c r="S704" s="316">
        <f t="shared" ca="1" si="126"/>
        <v>18</v>
      </c>
      <c r="T704" s="720" t="str">
        <f>商办车库!H813</f>
        <v>车位</v>
      </c>
    </row>
    <row r="705" spans="1:20">
      <c r="A705" s="3539" t="str">
        <f>商办车库!E814</f>
        <v>B2332</v>
      </c>
      <c r="B705" s="54">
        <f>商办车库!F814</f>
        <v>40.43</v>
      </c>
      <c r="C705" s="21">
        <f t="shared" si="117"/>
        <v>1</v>
      </c>
      <c r="D705" s="662"/>
      <c r="E705" s="21">
        <f t="shared" si="118"/>
        <v>1</v>
      </c>
      <c r="F705" s="662"/>
      <c r="G705" s="21">
        <f t="shared" si="119"/>
        <v>1</v>
      </c>
      <c r="H705" s="662"/>
      <c r="I705" s="21">
        <f t="shared" si="120"/>
        <v>1</v>
      </c>
      <c r="J705" s="662"/>
      <c r="K705" s="21">
        <f t="shared" si="121"/>
        <v>1</v>
      </c>
      <c r="L705" s="662"/>
      <c r="M705" s="21">
        <f t="shared" si="122"/>
        <v>1</v>
      </c>
      <c r="N705" s="662"/>
      <c r="O705" s="21">
        <f t="shared" si="123"/>
        <v>1</v>
      </c>
      <c r="P705" s="662">
        <v>-2</v>
      </c>
      <c r="Q705" s="21">
        <f t="shared" si="124"/>
        <v>0.95</v>
      </c>
      <c r="R705" s="659">
        <f t="shared" ca="1" si="125"/>
        <v>4429</v>
      </c>
      <c r="S705" s="316">
        <f t="shared" ca="1" si="126"/>
        <v>18</v>
      </c>
      <c r="T705" s="720" t="str">
        <f>商办车库!H814</f>
        <v>车位</v>
      </c>
    </row>
    <row r="706" spans="1:20">
      <c r="A706" s="3539" t="str">
        <f>商办车库!E815</f>
        <v>B2333</v>
      </c>
      <c r="B706" s="54">
        <f>商办车库!F815</f>
        <v>40.43</v>
      </c>
      <c r="C706" s="21">
        <f t="shared" si="117"/>
        <v>1</v>
      </c>
      <c r="D706" s="662"/>
      <c r="E706" s="21">
        <f t="shared" si="118"/>
        <v>1</v>
      </c>
      <c r="F706" s="662"/>
      <c r="G706" s="21">
        <f t="shared" si="119"/>
        <v>1</v>
      </c>
      <c r="H706" s="662"/>
      <c r="I706" s="21">
        <f t="shared" si="120"/>
        <v>1</v>
      </c>
      <c r="J706" s="662"/>
      <c r="K706" s="21">
        <f t="shared" si="121"/>
        <v>1</v>
      </c>
      <c r="L706" s="662"/>
      <c r="M706" s="21">
        <f t="shared" si="122"/>
        <v>1</v>
      </c>
      <c r="N706" s="662"/>
      <c r="O706" s="21">
        <f t="shared" si="123"/>
        <v>1</v>
      </c>
      <c r="P706" s="662">
        <v>-2</v>
      </c>
      <c r="Q706" s="21">
        <f t="shared" si="124"/>
        <v>0.95</v>
      </c>
      <c r="R706" s="659">
        <f t="shared" ca="1" si="125"/>
        <v>4429</v>
      </c>
      <c r="S706" s="316">
        <f t="shared" ca="1" si="126"/>
        <v>18</v>
      </c>
      <c r="T706" s="720" t="str">
        <f>商办车库!H815</f>
        <v>车位</v>
      </c>
    </row>
    <row r="707" spans="1:20">
      <c r="A707" s="3539" t="str">
        <f>商办车库!E816</f>
        <v>B2334</v>
      </c>
      <c r="B707" s="54">
        <f>商办车库!F816</f>
        <v>40.43</v>
      </c>
      <c r="C707" s="21">
        <f t="shared" si="117"/>
        <v>1</v>
      </c>
      <c r="D707" s="662"/>
      <c r="E707" s="21">
        <f t="shared" si="118"/>
        <v>1</v>
      </c>
      <c r="F707" s="662"/>
      <c r="G707" s="21">
        <f t="shared" si="119"/>
        <v>1</v>
      </c>
      <c r="H707" s="662"/>
      <c r="I707" s="21">
        <f t="shared" si="120"/>
        <v>1</v>
      </c>
      <c r="J707" s="662"/>
      <c r="K707" s="21">
        <f t="shared" si="121"/>
        <v>1</v>
      </c>
      <c r="L707" s="662"/>
      <c r="M707" s="21">
        <f t="shared" si="122"/>
        <v>1</v>
      </c>
      <c r="N707" s="662"/>
      <c r="O707" s="21">
        <f t="shared" si="123"/>
        <v>1</v>
      </c>
      <c r="P707" s="662">
        <v>-2</v>
      </c>
      <c r="Q707" s="21">
        <f t="shared" si="124"/>
        <v>0.95</v>
      </c>
      <c r="R707" s="659">
        <f t="shared" ca="1" si="125"/>
        <v>4429</v>
      </c>
      <c r="S707" s="316">
        <f t="shared" ca="1" si="126"/>
        <v>18</v>
      </c>
      <c r="T707" s="720" t="str">
        <f>商办车库!H816</f>
        <v>车位</v>
      </c>
    </row>
    <row r="708" spans="1:20">
      <c r="A708" s="3539" t="str">
        <f>商办车库!E817</f>
        <v>B2335、B2336</v>
      </c>
      <c r="B708" s="54">
        <f>商办车库!F817</f>
        <v>80.86</v>
      </c>
      <c r="C708" s="3438">
        <v>1</v>
      </c>
      <c r="D708" s="662"/>
      <c r="E708" s="21">
        <f t="shared" si="118"/>
        <v>1</v>
      </c>
      <c r="F708" s="662"/>
      <c r="G708" s="21">
        <f t="shared" si="119"/>
        <v>1</v>
      </c>
      <c r="H708" s="662"/>
      <c r="I708" s="21">
        <f t="shared" si="120"/>
        <v>1</v>
      </c>
      <c r="J708" s="662"/>
      <c r="K708" s="21">
        <f t="shared" si="121"/>
        <v>1</v>
      </c>
      <c r="L708" s="662"/>
      <c r="M708" s="21">
        <f t="shared" si="122"/>
        <v>1</v>
      </c>
      <c r="N708" s="662"/>
      <c r="O708" s="21">
        <f t="shared" si="123"/>
        <v>1</v>
      </c>
      <c r="P708" s="662">
        <v>-2</v>
      </c>
      <c r="Q708" s="21">
        <f t="shared" si="124"/>
        <v>0.95</v>
      </c>
      <c r="R708" s="659">
        <f t="shared" ca="1" si="125"/>
        <v>4429</v>
      </c>
      <c r="S708" s="316">
        <f t="shared" ca="1" si="126"/>
        <v>36</v>
      </c>
      <c r="T708" s="720" t="str">
        <f>商办车库!H817</f>
        <v>车位</v>
      </c>
    </row>
    <row r="709" spans="1:20">
      <c r="A709" s="3539" t="str">
        <f>商办车库!E818</f>
        <v>B2337、B2338</v>
      </c>
      <c r="B709" s="54">
        <f>商办车库!F818</f>
        <v>80.86</v>
      </c>
      <c r="C709" s="3438">
        <v>1</v>
      </c>
      <c r="D709" s="662"/>
      <c r="E709" s="21">
        <f t="shared" si="118"/>
        <v>1</v>
      </c>
      <c r="F709" s="662"/>
      <c r="G709" s="21">
        <f t="shared" si="119"/>
        <v>1</v>
      </c>
      <c r="H709" s="662"/>
      <c r="I709" s="21">
        <f t="shared" si="120"/>
        <v>1</v>
      </c>
      <c r="J709" s="662"/>
      <c r="K709" s="21">
        <f t="shared" si="121"/>
        <v>1</v>
      </c>
      <c r="L709" s="662"/>
      <c r="M709" s="21">
        <f t="shared" si="122"/>
        <v>1</v>
      </c>
      <c r="N709" s="662"/>
      <c r="O709" s="21">
        <f t="shared" si="123"/>
        <v>1</v>
      </c>
      <c r="P709" s="662">
        <v>-2</v>
      </c>
      <c r="Q709" s="21">
        <f t="shared" si="124"/>
        <v>0.95</v>
      </c>
      <c r="R709" s="659">
        <f t="shared" ca="1" si="125"/>
        <v>4429</v>
      </c>
      <c r="S709" s="316">
        <f t="shared" ca="1" si="126"/>
        <v>36</v>
      </c>
      <c r="T709" s="720" t="str">
        <f>商办车库!H818</f>
        <v>车位</v>
      </c>
    </row>
    <row r="710" spans="1:20">
      <c r="A710" s="3539" t="str">
        <f>商办车库!E819</f>
        <v>B2339</v>
      </c>
      <c r="B710" s="54">
        <f>商办车库!F819</f>
        <v>40.43</v>
      </c>
      <c r="C710" s="21">
        <f t="shared" si="117"/>
        <v>1</v>
      </c>
      <c r="D710" s="662"/>
      <c r="E710" s="21">
        <f t="shared" si="118"/>
        <v>1</v>
      </c>
      <c r="F710" s="662"/>
      <c r="G710" s="21">
        <f t="shared" si="119"/>
        <v>1</v>
      </c>
      <c r="H710" s="662"/>
      <c r="I710" s="21">
        <f t="shared" si="120"/>
        <v>1</v>
      </c>
      <c r="J710" s="662"/>
      <c r="K710" s="21">
        <f t="shared" si="121"/>
        <v>1</v>
      </c>
      <c r="L710" s="662"/>
      <c r="M710" s="21">
        <f t="shared" si="122"/>
        <v>1</v>
      </c>
      <c r="N710" s="662"/>
      <c r="O710" s="21">
        <f t="shared" si="123"/>
        <v>1</v>
      </c>
      <c r="P710" s="662">
        <v>-2</v>
      </c>
      <c r="Q710" s="21">
        <f t="shared" si="124"/>
        <v>0.95</v>
      </c>
      <c r="R710" s="659">
        <f t="shared" ca="1" si="125"/>
        <v>4429</v>
      </c>
      <c r="S710" s="316">
        <f t="shared" ca="1" si="126"/>
        <v>18</v>
      </c>
      <c r="T710" s="720" t="str">
        <f>商办车库!H819</f>
        <v>车位</v>
      </c>
    </row>
    <row r="711" spans="1:20">
      <c r="A711" s="3539" t="str">
        <f>商办车库!E820</f>
        <v>B2340</v>
      </c>
      <c r="B711" s="54">
        <f>商办车库!F820</f>
        <v>40.43</v>
      </c>
      <c r="C711" s="21">
        <f t="shared" si="117"/>
        <v>1</v>
      </c>
      <c r="D711" s="662"/>
      <c r="E711" s="21">
        <f t="shared" si="118"/>
        <v>1</v>
      </c>
      <c r="F711" s="662"/>
      <c r="G711" s="21">
        <f t="shared" si="119"/>
        <v>1</v>
      </c>
      <c r="H711" s="662"/>
      <c r="I711" s="21">
        <f t="shared" si="120"/>
        <v>1</v>
      </c>
      <c r="J711" s="662"/>
      <c r="K711" s="21">
        <f t="shared" si="121"/>
        <v>1</v>
      </c>
      <c r="L711" s="662"/>
      <c r="M711" s="21">
        <f t="shared" si="122"/>
        <v>1</v>
      </c>
      <c r="N711" s="662"/>
      <c r="O711" s="21">
        <f t="shared" si="123"/>
        <v>1</v>
      </c>
      <c r="P711" s="662">
        <v>-2</v>
      </c>
      <c r="Q711" s="21">
        <f t="shared" si="124"/>
        <v>0.95</v>
      </c>
      <c r="R711" s="659">
        <f t="shared" ca="1" si="125"/>
        <v>4429</v>
      </c>
      <c r="S711" s="316">
        <f t="shared" ca="1" si="126"/>
        <v>18</v>
      </c>
      <c r="T711" s="720" t="str">
        <f>商办车库!H820</f>
        <v>车位</v>
      </c>
    </row>
    <row r="712" spans="1:20">
      <c r="A712" s="3539" t="str">
        <f>商办车库!E821</f>
        <v>B2341</v>
      </c>
      <c r="B712" s="54">
        <f>商办车库!F821</f>
        <v>40.43</v>
      </c>
      <c r="C712" s="21">
        <f t="shared" si="117"/>
        <v>1</v>
      </c>
      <c r="D712" s="662"/>
      <c r="E712" s="21">
        <f t="shared" si="118"/>
        <v>1</v>
      </c>
      <c r="F712" s="662"/>
      <c r="G712" s="21">
        <f t="shared" si="119"/>
        <v>1</v>
      </c>
      <c r="H712" s="662"/>
      <c r="I712" s="21">
        <f t="shared" si="120"/>
        <v>1</v>
      </c>
      <c r="J712" s="662"/>
      <c r="K712" s="21">
        <f t="shared" si="121"/>
        <v>1</v>
      </c>
      <c r="L712" s="662"/>
      <c r="M712" s="21">
        <f t="shared" si="122"/>
        <v>1</v>
      </c>
      <c r="N712" s="662"/>
      <c r="O712" s="21">
        <f t="shared" si="123"/>
        <v>1</v>
      </c>
      <c r="P712" s="662">
        <v>-2</v>
      </c>
      <c r="Q712" s="21">
        <f t="shared" si="124"/>
        <v>0.95</v>
      </c>
      <c r="R712" s="659">
        <f t="shared" ca="1" si="125"/>
        <v>4429</v>
      </c>
      <c r="S712" s="316">
        <f t="shared" ca="1" si="126"/>
        <v>18</v>
      </c>
      <c r="T712" s="720" t="str">
        <f>商办车库!H821</f>
        <v>车位</v>
      </c>
    </row>
    <row r="713" spans="1:20">
      <c r="A713" s="3539" t="str">
        <f>商办车库!E822</f>
        <v>B2342</v>
      </c>
      <c r="B713" s="54">
        <f>商办车库!F822</f>
        <v>40.43</v>
      </c>
      <c r="C713" s="21">
        <f t="shared" si="117"/>
        <v>1</v>
      </c>
      <c r="D713" s="662"/>
      <c r="E713" s="21">
        <f t="shared" si="118"/>
        <v>1</v>
      </c>
      <c r="F713" s="662"/>
      <c r="G713" s="21">
        <f t="shared" si="119"/>
        <v>1</v>
      </c>
      <c r="H713" s="662"/>
      <c r="I713" s="21">
        <f t="shared" si="120"/>
        <v>1</v>
      </c>
      <c r="J713" s="662"/>
      <c r="K713" s="21">
        <f t="shared" si="121"/>
        <v>1</v>
      </c>
      <c r="L713" s="662"/>
      <c r="M713" s="21">
        <f t="shared" si="122"/>
        <v>1</v>
      </c>
      <c r="N713" s="662"/>
      <c r="O713" s="21">
        <f t="shared" si="123"/>
        <v>1</v>
      </c>
      <c r="P713" s="662">
        <v>-2</v>
      </c>
      <c r="Q713" s="21">
        <f t="shared" si="124"/>
        <v>0.95</v>
      </c>
      <c r="R713" s="659">
        <f t="shared" ca="1" si="125"/>
        <v>4429</v>
      </c>
      <c r="S713" s="316">
        <f t="shared" ca="1" si="126"/>
        <v>18</v>
      </c>
      <c r="T713" s="720" t="str">
        <f>商办车库!H822</f>
        <v>车位</v>
      </c>
    </row>
    <row r="714" spans="1:20">
      <c r="A714" s="3539" t="str">
        <f>商办车库!E823</f>
        <v>B2343、B2344</v>
      </c>
      <c r="B714" s="54">
        <f>商办车库!F823</f>
        <v>80.86</v>
      </c>
      <c r="C714" s="3438">
        <v>1</v>
      </c>
      <c r="D714" s="662"/>
      <c r="E714" s="21">
        <f t="shared" si="118"/>
        <v>1</v>
      </c>
      <c r="F714" s="662"/>
      <c r="G714" s="21">
        <f t="shared" si="119"/>
        <v>1</v>
      </c>
      <c r="H714" s="662"/>
      <c r="I714" s="21">
        <f t="shared" si="120"/>
        <v>1</v>
      </c>
      <c r="J714" s="662"/>
      <c r="K714" s="21">
        <f t="shared" si="121"/>
        <v>1</v>
      </c>
      <c r="L714" s="662"/>
      <c r="M714" s="21">
        <f t="shared" si="122"/>
        <v>1</v>
      </c>
      <c r="N714" s="662"/>
      <c r="O714" s="21">
        <f t="shared" si="123"/>
        <v>1</v>
      </c>
      <c r="P714" s="662">
        <v>-2</v>
      </c>
      <c r="Q714" s="21">
        <f t="shared" si="124"/>
        <v>0.95</v>
      </c>
      <c r="R714" s="659">
        <f t="shared" ca="1" si="125"/>
        <v>4429</v>
      </c>
      <c r="S714" s="316">
        <f t="shared" ca="1" si="126"/>
        <v>36</v>
      </c>
      <c r="T714" s="720" t="str">
        <f>商办车库!H823</f>
        <v>车位</v>
      </c>
    </row>
    <row r="715" spans="1:20">
      <c r="A715" s="3539" t="str">
        <f>商办车库!E824</f>
        <v>B2345、B2346</v>
      </c>
      <c r="B715" s="54">
        <f>商办车库!F824</f>
        <v>80.86</v>
      </c>
      <c r="C715" s="3438">
        <v>1</v>
      </c>
      <c r="D715" s="662"/>
      <c r="E715" s="21">
        <f t="shared" si="118"/>
        <v>1</v>
      </c>
      <c r="F715" s="662"/>
      <c r="G715" s="21">
        <f t="shared" si="119"/>
        <v>1</v>
      </c>
      <c r="H715" s="662"/>
      <c r="I715" s="21">
        <f t="shared" si="120"/>
        <v>1</v>
      </c>
      <c r="J715" s="662"/>
      <c r="K715" s="21">
        <f t="shared" si="121"/>
        <v>1</v>
      </c>
      <c r="L715" s="662"/>
      <c r="M715" s="21">
        <f t="shared" si="122"/>
        <v>1</v>
      </c>
      <c r="N715" s="662"/>
      <c r="O715" s="21">
        <f t="shared" si="123"/>
        <v>1</v>
      </c>
      <c r="P715" s="662">
        <v>-2</v>
      </c>
      <c r="Q715" s="21">
        <f t="shared" si="124"/>
        <v>0.95</v>
      </c>
      <c r="R715" s="659">
        <f t="shared" ca="1" si="125"/>
        <v>4429</v>
      </c>
      <c r="S715" s="316">
        <f t="shared" ca="1" si="126"/>
        <v>36</v>
      </c>
      <c r="T715" s="720" t="str">
        <f>商办车库!H824</f>
        <v>车位</v>
      </c>
    </row>
    <row r="716" spans="1:20">
      <c r="A716" s="3539" t="str">
        <f>商办车库!E825</f>
        <v>B2347</v>
      </c>
      <c r="B716" s="54">
        <f>商办车库!F825</f>
        <v>40.43</v>
      </c>
      <c r="C716" s="21">
        <f t="shared" si="117"/>
        <v>1</v>
      </c>
      <c r="D716" s="662"/>
      <c r="E716" s="21">
        <f t="shared" si="118"/>
        <v>1</v>
      </c>
      <c r="F716" s="662"/>
      <c r="G716" s="21">
        <f t="shared" si="119"/>
        <v>1</v>
      </c>
      <c r="H716" s="662"/>
      <c r="I716" s="21">
        <f t="shared" si="120"/>
        <v>1</v>
      </c>
      <c r="J716" s="662"/>
      <c r="K716" s="21">
        <f t="shared" si="121"/>
        <v>1</v>
      </c>
      <c r="L716" s="662"/>
      <c r="M716" s="21">
        <f t="shared" si="122"/>
        <v>1</v>
      </c>
      <c r="N716" s="662"/>
      <c r="O716" s="21">
        <f t="shared" si="123"/>
        <v>1</v>
      </c>
      <c r="P716" s="662">
        <v>-2</v>
      </c>
      <c r="Q716" s="21">
        <f t="shared" si="124"/>
        <v>0.95</v>
      </c>
      <c r="R716" s="659">
        <f t="shared" ca="1" si="125"/>
        <v>4429</v>
      </c>
      <c r="S716" s="316">
        <f t="shared" ca="1" si="126"/>
        <v>18</v>
      </c>
      <c r="T716" s="720" t="str">
        <f>商办车库!H825</f>
        <v>车位</v>
      </c>
    </row>
    <row r="717" spans="1:20">
      <c r="A717" s="3539" t="str">
        <f>商办车库!E826</f>
        <v>B2348</v>
      </c>
      <c r="B717" s="54">
        <f>商办车库!F826</f>
        <v>40.43</v>
      </c>
      <c r="C717" s="21">
        <f t="shared" si="117"/>
        <v>1</v>
      </c>
      <c r="D717" s="662"/>
      <c r="E717" s="21">
        <f t="shared" si="118"/>
        <v>1</v>
      </c>
      <c r="F717" s="662"/>
      <c r="G717" s="21">
        <f t="shared" si="119"/>
        <v>1</v>
      </c>
      <c r="H717" s="662"/>
      <c r="I717" s="21">
        <f t="shared" si="120"/>
        <v>1</v>
      </c>
      <c r="J717" s="662"/>
      <c r="K717" s="21">
        <f t="shared" si="121"/>
        <v>1</v>
      </c>
      <c r="L717" s="662"/>
      <c r="M717" s="21">
        <f t="shared" si="122"/>
        <v>1</v>
      </c>
      <c r="N717" s="662"/>
      <c r="O717" s="21">
        <f t="shared" si="123"/>
        <v>1</v>
      </c>
      <c r="P717" s="662">
        <v>-2</v>
      </c>
      <c r="Q717" s="21">
        <f t="shared" si="124"/>
        <v>0.95</v>
      </c>
      <c r="R717" s="659">
        <f t="shared" ca="1" si="125"/>
        <v>4429</v>
      </c>
      <c r="S717" s="316">
        <f t="shared" ca="1" si="126"/>
        <v>18</v>
      </c>
      <c r="T717" s="720" t="str">
        <f>商办车库!H826</f>
        <v>车位</v>
      </c>
    </row>
    <row r="718" spans="1:20">
      <c r="A718" s="3539" t="str">
        <f>商办车库!E827</f>
        <v>B2349</v>
      </c>
      <c r="B718" s="54">
        <f>商办车库!F827</f>
        <v>40.43</v>
      </c>
      <c r="C718" s="21">
        <f t="shared" si="117"/>
        <v>1</v>
      </c>
      <c r="D718" s="662"/>
      <c r="E718" s="21">
        <f t="shared" si="118"/>
        <v>1</v>
      </c>
      <c r="F718" s="662"/>
      <c r="G718" s="21">
        <f t="shared" si="119"/>
        <v>1</v>
      </c>
      <c r="H718" s="662"/>
      <c r="I718" s="21">
        <f t="shared" si="120"/>
        <v>1</v>
      </c>
      <c r="J718" s="662"/>
      <c r="K718" s="21">
        <f t="shared" si="121"/>
        <v>1</v>
      </c>
      <c r="L718" s="662"/>
      <c r="M718" s="21">
        <f t="shared" si="122"/>
        <v>1</v>
      </c>
      <c r="N718" s="662"/>
      <c r="O718" s="21">
        <f t="shared" si="123"/>
        <v>1</v>
      </c>
      <c r="P718" s="662">
        <v>-2</v>
      </c>
      <c r="Q718" s="21">
        <f t="shared" si="124"/>
        <v>0.95</v>
      </c>
      <c r="R718" s="659">
        <f t="shared" ca="1" si="125"/>
        <v>4429</v>
      </c>
      <c r="S718" s="316">
        <f t="shared" ca="1" si="126"/>
        <v>18</v>
      </c>
      <c r="T718" s="720" t="str">
        <f>商办车库!H827</f>
        <v>车位</v>
      </c>
    </row>
    <row r="719" spans="1:20">
      <c r="A719" s="3539" t="str">
        <f>商办车库!E828</f>
        <v>B2350</v>
      </c>
      <c r="B719" s="54">
        <f>商办车库!F828</f>
        <v>40.43</v>
      </c>
      <c r="C719" s="21">
        <f t="shared" si="117"/>
        <v>1</v>
      </c>
      <c r="D719" s="662"/>
      <c r="E719" s="21">
        <f t="shared" si="118"/>
        <v>1</v>
      </c>
      <c r="F719" s="662"/>
      <c r="G719" s="21">
        <f t="shared" si="119"/>
        <v>1</v>
      </c>
      <c r="H719" s="662"/>
      <c r="I719" s="21">
        <f t="shared" si="120"/>
        <v>1</v>
      </c>
      <c r="J719" s="662"/>
      <c r="K719" s="21">
        <f t="shared" si="121"/>
        <v>1</v>
      </c>
      <c r="L719" s="662"/>
      <c r="M719" s="21">
        <f t="shared" si="122"/>
        <v>1</v>
      </c>
      <c r="N719" s="662"/>
      <c r="O719" s="21">
        <f t="shared" si="123"/>
        <v>1</v>
      </c>
      <c r="P719" s="662">
        <v>-2</v>
      </c>
      <c r="Q719" s="21">
        <f t="shared" si="124"/>
        <v>0.95</v>
      </c>
      <c r="R719" s="659">
        <f t="shared" ca="1" si="125"/>
        <v>4429</v>
      </c>
      <c r="S719" s="316">
        <f t="shared" ca="1" si="126"/>
        <v>18</v>
      </c>
      <c r="T719" s="720" t="str">
        <f>商办车库!H828</f>
        <v>车位</v>
      </c>
    </row>
    <row r="720" spans="1:20">
      <c r="A720" s="3539" t="str">
        <f>商办车库!E829</f>
        <v>B2351</v>
      </c>
      <c r="B720" s="54">
        <f>商办车库!F829</f>
        <v>40.43</v>
      </c>
      <c r="C720" s="21">
        <f t="shared" si="117"/>
        <v>1</v>
      </c>
      <c r="D720" s="662"/>
      <c r="E720" s="21">
        <f t="shared" si="118"/>
        <v>1</v>
      </c>
      <c r="F720" s="662"/>
      <c r="G720" s="21">
        <f t="shared" si="119"/>
        <v>1</v>
      </c>
      <c r="H720" s="662"/>
      <c r="I720" s="21">
        <f t="shared" si="120"/>
        <v>1</v>
      </c>
      <c r="J720" s="662"/>
      <c r="K720" s="21">
        <f t="shared" si="121"/>
        <v>1</v>
      </c>
      <c r="L720" s="662"/>
      <c r="M720" s="21">
        <f t="shared" si="122"/>
        <v>1</v>
      </c>
      <c r="N720" s="662"/>
      <c r="O720" s="21">
        <f t="shared" si="123"/>
        <v>1</v>
      </c>
      <c r="P720" s="662">
        <v>-2</v>
      </c>
      <c r="Q720" s="21">
        <f t="shared" si="124"/>
        <v>0.95</v>
      </c>
      <c r="R720" s="659">
        <f t="shared" ca="1" si="125"/>
        <v>4429</v>
      </c>
      <c r="S720" s="316">
        <f t="shared" ca="1" si="126"/>
        <v>18</v>
      </c>
      <c r="T720" s="720" t="str">
        <f>商办车库!H829</f>
        <v>车位</v>
      </c>
    </row>
    <row r="721" spans="1:20">
      <c r="A721" s="3539" t="str">
        <f>商办车库!E830</f>
        <v>B2352</v>
      </c>
      <c r="B721" s="54">
        <f>商办车库!F830</f>
        <v>40.43</v>
      </c>
      <c r="C721" s="21">
        <f t="shared" si="117"/>
        <v>1</v>
      </c>
      <c r="D721" s="662"/>
      <c r="E721" s="21">
        <f t="shared" si="118"/>
        <v>1</v>
      </c>
      <c r="F721" s="662"/>
      <c r="G721" s="21">
        <f t="shared" si="119"/>
        <v>1</v>
      </c>
      <c r="H721" s="662"/>
      <c r="I721" s="21">
        <f t="shared" si="120"/>
        <v>1</v>
      </c>
      <c r="J721" s="662"/>
      <c r="K721" s="21">
        <f t="shared" si="121"/>
        <v>1</v>
      </c>
      <c r="L721" s="662"/>
      <c r="M721" s="21">
        <f t="shared" si="122"/>
        <v>1</v>
      </c>
      <c r="N721" s="662"/>
      <c r="O721" s="21">
        <f t="shared" si="123"/>
        <v>1</v>
      </c>
      <c r="P721" s="662">
        <v>-2</v>
      </c>
      <c r="Q721" s="21">
        <f t="shared" si="124"/>
        <v>0.95</v>
      </c>
      <c r="R721" s="659">
        <f t="shared" ca="1" si="125"/>
        <v>4429</v>
      </c>
      <c r="S721" s="316">
        <f t="shared" ca="1" si="126"/>
        <v>18</v>
      </c>
      <c r="T721" s="720" t="str">
        <f>商办车库!H830</f>
        <v>车位</v>
      </c>
    </row>
    <row r="722" spans="1:20">
      <c r="A722" s="3539" t="str">
        <f>商办车库!E831</f>
        <v>B2353</v>
      </c>
      <c r="B722" s="54">
        <f>商办车库!F831</f>
        <v>40.43</v>
      </c>
      <c r="C722" s="21">
        <f t="shared" si="117"/>
        <v>1</v>
      </c>
      <c r="D722" s="662"/>
      <c r="E722" s="21">
        <f t="shared" si="118"/>
        <v>1</v>
      </c>
      <c r="F722" s="662"/>
      <c r="G722" s="21">
        <f t="shared" si="119"/>
        <v>1</v>
      </c>
      <c r="H722" s="662"/>
      <c r="I722" s="21">
        <f t="shared" si="120"/>
        <v>1</v>
      </c>
      <c r="J722" s="662"/>
      <c r="K722" s="21">
        <f t="shared" si="121"/>
        <v>1</v>
      </c>
      <c r="L722" s="662"/>
      <c r="M722" s="21">
        <f t="shared" si="122"/>
        <v>1</v>
      </c>
      <c r="N722" s="662"/>
      <c r="O722" s="21">
        <f t="shared" si="123"/>
        <v>1</v>
      </c>
      <c r="P722" s="662">
        <v>-2</v>
      </c>
      <c r="Q722" s="21">
        <f t="shared" si="124"/>
        <v>0.95</v>
      </c>
      <c r="R722" s="659">
        <f t="shared" ca="1" si="125"/>
        <v>4429</v>
      </c>
      <c r="S722" s="316">
        <f t="shared" ca="1" si="126"/>
        <v>18</v>
      </c>
      <c r="T722" s="720" t="str">
        <f>商办车库!H831</f>
        <v>车位</v>
      </c>
    </row>
    <row r="723" spans="1:20">
      <c r="A723" s="3539" t="str">
        <f>商办车库!E832</f>
        <v>B2354</v>
      </c>
      <c r="B723" s="54">
        <f>商办车库!F832</f>
        <v>40.43</v>
      </c>
      <c r="C723" s="21">
        <f t="shared" si="117"/>
        <v>1</v>
      </c>
      <c r="D723" s="662"/>
      <c r="E723" s="21">
        <f t="shared" si="118"/>
        <v>1</v>
      </c>
      <c r="F723" s="662"/>
      <c r="G723" s="21">
        <f t="shared" si="119"/>
        <v>1</v>
      </c>
      <c r="H723" s="662"/>
      <c r="I723" s="21">
        <f t="shared" si="120"/>
        <v>1</v>
      </c>
      <c r="J723" s="662"/>
      <c r="K723" s="21">
        <f t="shared" si="121"/>
        <v>1</v>
      </c>
      <c r="L723" s="662"/>
      <c r="M723" s="21">
        <f t="shared" si="122"/>
        <v>1</v>
      </c>
      <c r="N723" s="662"/>
      <c r="O723" s="21">
        <f t="shared" si="123"/>
        <v>1</v>
      </c>
      <c r="P723" s="662">
        <v>-2</v>
      </c>
      <c r="Q723" s="21">
        <f t="shared" si="124"/>
        <v>0.95</v>
      </c>
      <c r="R723" s="659">
        <f t="shared" ca="1" si="125"/>
        <v>4429</v>
      </c>
      <c r="S723" s="316">
        <f t="shared" ca="1" si="126"/>
        <v>18</v>
      </c>
      <c r="T723" s="720" t="str">
        <f>商办车库!H832</f>
        <v>车位</v>
      </c>
    </row>
    <row r="724" spans="1:20">
      <c r="A724" s="3539" t="str">
        <f>商办车库!E833</f>
        <v>B2355</v>
      </c>
      <c r="B724" s="54">
        <f>商办车库!F833</f>
        <v>40.43</v>
      </c>
      <c r="C724" s="21">
        <f t="shared" si="117"/>
        <v>1</v>
      </c>
      <c r="D724" s="662"/>
      <c r="E724" s="21">
        <f t="shared" si="118"/>
        <v>1</v>
      </c>
      <c r="F724" s="662"/>
      <c r="G724" s="21">
        <f t="shared" si="119"/>
        <v>1</v>
      </c>
      <c r="H724" s="662"/>
      <c r="I724" s="21">
        <f t="shared" si="120"/>
        <v>1</v>
      </c>
      <c r="J724" s="662"/>
      <c r="K724" s="21">
        <f t="shared" si="121"/>
        <v>1</v>
      </c>
      <c r="L724" s="662"/>
      <c r="M724" s="21">
        <f t="shared" si="122"/>
        <v>1</v>
      </c>
      <c r="N724" s="662"/>
      <c r="O724" s="21">
        <f t="shared" si="123"/>
        <v>1</v>
      </c>
      <c r="P724" s="662">
        <v>-2</v>
      </c>
      <c r="Q724" s="21">
        <f t="shared" si="124"/>
        <v>0.95</v>
      </c>
      <c r="R724" s="659">
        <f t="shared" ca="1" si="125"/>
        <v>4429</v>
      </c>
      <c r="S724" s="316">
        <f t="shared" ca="1" si="126"/>
        <v>18</v>
      </c>
      <c r="T724" s="720" t="str">
        <f>商办车库!H833</f>
        <v>车位</v>
      </c>
    </row>
    <row r="725" spans="1:20">
      <c r="A725" s="3539" t="str">
        <f>商办车库!E834</f>
        <v>B2356</v>
      </c>
      <c r="B725" s="54">
        <f>商办车库!F834</f>
        <v>40.43</v>
      </c>
      <c r="C725" s="21">
        <f t="shared" si="117"/>
        <v>1</v>
      </c>
      <c r="D725" s="662"/>
      <c r="E725" s="21">
        <f t="shared" si="118"/>
        <v>1</v>
      </c>
      <c r="F725" s="662"/>
      <c r="G725" s="21">
        <f t="shared" si="119"/>
        <v>1</v>
      </c>
      <c r="H725" s="662"/>
      <c r="I725" s="21">
        <f t="shared" si="120"/>
        <v>1</v>
      </c>
      <c r="J725" s="662"/>
      <c r="K725" s="21">
        <f t="shared" si="121"/>
        <v>1</v>
      </c>
      <c r="L725" s="662"/>
      <c r="M725" s="21">
        <f t="shared" si="122"/>
        <v>1</v>
      </c>
      <c r="N725" s="662"/>
      <c r="O725" s="21">
        <f t="shared" si="123"/>
        <v>1</v>
      </c>
      <c r="P725" s="662">
        <v>-2</v>
      </c>
      <c r="Q725" s="21">
        <f t="shared" si="124"/>
        <v>0.95</v>
      </c>
      <c r="R725" s="659">
        <f t="shared" ca="1" si="125"/>
        <v>4429</v>
      </c>
      <c r="S725" s="316">
        <f t="shared" ca="1" si="126"/>
        <v>18</v>
      </c>
      <c r="T725" s="720" t="str">
        <f>商办车库!H834</f>
        <v>车位</v>
      </c>
    </row>
    <row r="726" spans="1:20">
      <c r="A726" s="3539" t="str">
        <f>商办车库!E835</f>
        <v>B2357</v>
      </c>
      <c r="B726" s="54">
        <f>商办车库!F835</f>
        <v>40.43</v>
      </c>
      <c r="C726" s="21">
        <f t="shared" si="117"/>
        <v>1</v>
      </c>
      <c r="D726" s="662"/>
      <c r="E726" s="21">
        <f t="shared" si="118"/>
        <v>1</v>
      </c>
      <c r="F726" s="662"/>
      <c r="G726" s="21">
        <f t="shared" si="119"/>
        <v>1</v>
      </c>
      <c r="H726" s="662"/>
      <c r="I726" s="21">
        <f t="shared" si="120"/>
        <v>1</v>
      </c>
      <c r="J726" s="662"/>
      <c r="K726" s="21">
        <f t="shared" si="121"/>
        <v>1</v>
      </c>
      <c r="L726" s="662"/>
      <c r="M726" s="21">
        <f t="shared" si="122"/>
        <v>1</v>
      </c>
      <c r="N726" s="662"/>
      <c r="O726" s="21">
        <f t="shared" si="123"/>
        <v>1</v>
      </c>
      <c r="P726" s="662">
        <v>-2</v>
      </c>
      <c r="Q726" s="21">
        <f t="shared" si="124"/>
        <v>0.95</v>
      </c>
      <c r="R726" s="659">
        <f t="shared" ca="1" si="125"/>
        <v>4429</v>
      </c>
      <c r="S726" s="316">
        <f t="shared" ca="1" si="126"/>
        <v>18</v>
      </c>
      <c r="T726" s="720" t="str">
        <f>商办车库!H835</f>
        <v>车位</v>
      </c>
    </row>
    <row r="727" spans="1:20">
      <c r="A727" s="3539" t="str">
        <f>商办车库!E836</f>
        <v>B2358</v>
      </c>
      <c r="B727" s="54">
        <f>商办车库!F836</f>
        <v>40.43</v>
      </c>
      <c r="C727" s="21">
        <f t="shared" si="117"/>
        <v>1</v>
      </c>
      <c r="D727" s="662"/>
      <c r="E727" s="21">
        <f t="shared" si="118"/>
        <v>1</v>
      </c>
      <c r="F727" s="662"/>
      <c r="G727" s="21">
        <f t="shared" si="119"/>
        <v>1</v>
      </c>
      <c r="H727" s="662"/>
      <c r="I727" s="21">
        <f t="shared" si="120"/>
        <v>1</v>
      </c>
      <c r="J727" s="662"/>
      <c r="K727" s="21">
        <f t="shared" si="121"/>
        <v>1</v>
      </c>
      <c r="L727" s="662"/>
      <c r="M727" s="21">
        <f t="shared" si="122"/>
        <v>1</v>
      </c>
      <c r="N727" s="662"/>
      <c r="O727" s="21">
        <f t="shared" si="123"/>
        <v>1</v>
      </c>
      <c r="P727" s="662">
        <v>-2</v>
      </c>
      <c r="Q727" s="21">
        <f t="shared" si="124"/>
        <v>0.95</v>
      </c>
      <c r="R727" s="659">
        <f t="shared" ca="1" si="125"/>
        <v>4429</v>
      </c>
      <c r="S727" s="316">
        <f t="shared" ca="1" si="126"/>
        <v>18</v>
      </c>
      <c r="T727" s="720" t="str">
        <f>商办车库!H836</f>
        <v>车位</v>
      </c>
    </row>
    <row r="728" spans="1:20">
      <c r="A728" s="3539" t="str">
        <f>商办车库!E837</f>
        <v>B2359</v>
      </c>
      <c r="B728" s="54">
        <f>商办车库!F837</f>
        <v>40.43</v>
      </c>
      <c r="C728" s="21">
        <f t="shared" si="117"/>
        <v>1</v>
      </c>
      <c r="D728" s="662"/>
      <c r="E728" s="21">
        <f t="shared" si="118"/>
        <v>1</v>
      </c>
      <c r="F728" s="662"/>
      <c r="G728" s="21">
        <f t="shared" si="119"/>
        <v>1</v>
      </c>
      <c r="H728" s="662"/>
      <c r="I728" s="21">
        <f t="shared" si="120"/>
        <v>1</v>
      </c>
      <c r="J728" s="662"/>
      <c r="K728" s="21">
        <f t="shared" si="121"/>
        <v>1</v>
      </c>
      <c r="L728" s="662"/>
      <c r="M728" s="21">
        <f t="shared" si="122"/>
        <v>1</v>
      </c>
      <c r="N728" s="662"/>
      <c r="O728" s="21">
        <f t="shared" si="123"/>
        <v>1</v>
      </c>
      <c r="P728" s="662">
        <v>-2</v>
      </c>
      <c r="Q728" s="21">
        <f t="shared" si="124"/>
        <v>0.95</v>
      </c>
      <c r="R728" s="659">
        <f t="shared" ca="1" si="125"/>
        <v>4429</v>
      </c>
      <c r="S728" s="316">
        <f t="shared" ca="1" si="126"/>
        <v>18</v>
      </c>
      <c r="T728" s="720" t="str">
        <f>商办车库!H837</f>
        <v>车位</v>
      </c>
    </row>
    <row r="729" spans="1:20">
      <c r="A729" s="3539" t="str">
        <f>商办车库!E838</f>
        <v>B2360</v>
      </c>
      <c r="B729" s="54">
        <f>商办车库!F838</f>
        <v>40.43</v>
      </c>
      <c r="C729" s="21">
        <f t="shared" si="117"/>
        <v>1</v>
      </c>
      <c r="D729" s="662"/>
      <c r="E729" s="21">
        <f t="shared" si="118"/>
        <v>1</v>
      </c>
      <c r="F729" s="662"/>
      <c r="G729" s="21">
        <f t="shared" si="119"/>
        <v>1</v>
      </c>
      <c r="H729" s="662"/>
      <c r="I729" s="21">
        <f t="shared" si="120"/>
        <v>1</v>
      </c>
      <c r="J729" s="662"/>
      <c r="K729" s="21">
        <f t="shared" si="121"/>
        <v>1</v>
      </c>
      <c r="L729" s="662"/>
      <c r="M729" s="21">
        <f t="shared" si="122"/>
        <v>1</v>
      </c>
      <c r="N729" s="662"/>
      <c r="O729" s="21">
        <f t="shared" si="123"/>
        <v>1</v>
      </c>
      <c r="P729" s="662">
        <v>-2</v>
      </c>
      <c r="Q729" s="21">
        <f t="shared" si="124"/>
        <v>0.95</v>
      </c>
      <c r="R729" s="659">
        <f t="shared" ca="1" si="125"/>
        <v>4429</v>
      </c>
      <c r="S729" s="316">
        <f t="shared" ca="1" si="126"/>
        <v>18</v>
      </c>
      <c r="T729" s="720" t="str">
        <f>商办车库!H838</f>
        <v>车位</v>
      </c>
    </row>
    <row r="730" spans="1:20">
      <c r="A730" s="3539" t="str">
        <f>商办车库!E839</f>
        <v>B2361</v>
      </c>
      <c r="B730" s="54">
        <f>商办车库!F839</f>
        <v>40.43</v>
      </c>
      <c r="C730" s="21">
        <f t="shared" si="117"/>
        <v>1</v>
      </c>
      <c r="D730" s="662"/>
      <c r="E730" s="21">
        <f t="shared" si="118"/>
        <v>1</v>
      </c>
      <c r="F730" s="662"/>
      <c r="G730" s="21">
        <f t="shared" si="119"/>
        <v>1</v>
      </c>
      <c r="H730" s="662"/>
      <c r="I730" s="21">
        <f t="shared" si="120"/>
        <v>1</v>
      </c>
      <c r="J730" s="662"/>
      <c r="K730" s="21">
        <f t="shared" si="121"/>
        <v>1</v>
      </c>
      <c r="L730" s="662"/>
      <c r="M730" s="21">
        <f t="shared" si="122"/>
        <v>1</v>
      </c>
      <c r="N730" s="662"/>
      <c r="O730" s="21">
        <f t="shared" si="123"/>
        <v>1</v>
      </c>
      <c r="P730" s="662">
        <v>-2</v>
      </c>
      <c r="Q730" s="21">
        <f t="shared" si="124"/>
        <v>0.95</v>
      </c>
      <c r="R730" s="659">
        <f t="shared" ca="1" si="125"/>
        <v>4429</v>
      </c>
      <c r="S730" s="316">
        <f t="shared" ca="1" si="126"/>
        <v>18</v>
      </c>
      <c r="T730" s="720" t="str">
        <f>商办车库!H839</f>
        <v>车位</v>
      </c>
    </row>
    <row r="731" spans="1:20">
      <c r="A731" s="3539" t="str">
        <f>商办车库!E840</f>
        <v>B2362</v>
      </c>
      <c r="B731" s="54">
        <f>商办车库!F840</f>
        <v>40.43</v>
      </c>
      <c r="C731" s="21">
        <f t="shared" si="117"/>
        <v>1</v>
      </c>
      <c r="D731" s="662"/>
      <c r="E731" s="21">
        <f t="shared" si="118"/>
        <v>1</v>
      </c>
      <c r="F731" s="662"/>
      <c r="G731" s="21">
        <f t="shared" si="119"/>
        <v>1</v>
      </c>
      <c r="H731" s="662"/>
      <c r="I731" s="21">
        <f t="shared" si="120"/>
        <v>1</v>
      </c>
      <c r="J731" s="662"/>
      <c r="K731" s="21">
        <f t="shared" si="121"/>
        <v>1</v>
      </c>
      <c r="L731" s="662"/>
      <c r="M731" s="21">
        <f t="shared" si="122"/>
        <v>1</v>
      </c>
      <c r="N731" s="662"/>
      <c r="O731" s="21">
        <f t="shared" si="123"/>
        <v>1</v>
      </c>
      <c r="P731" s="662">
        <v>-2</v>
      </c>
      <c r="Q731" s="21">
        <f t="shared" si="124"/>
        <v>0.95</v>
      </c>
      <c r="R731" s="659">
        <f t="shared" ca="1" si="125"/>
        <v>4429</v>
      </c>
      <c r="S731" s="316">
        <f t="shared" ca="1" si="126"/>
        <v>18</v>
      </c>
      <c r="T731" s="720" t="str">
        <f>商办车库!H840</f>
        <v>车位</v>
      </c>
    </row>
    <row r="732" spans="1:20">
      <c r="A732" s="3539" t="str">
        <f>商办车库!E841</f>
        <v>B2363</v>
      </c>
      <c r="B732" s="54">
        <f>商办车库!F841</f>
        <v>40.43</v>
      </c>
      <c r="C732" s="21">
        <f t="shared" si="117"/>
        <v>1</v>
      </c>
      <c r="D732" s="662"/>
      <c r="E732" s="21">
        <f t="shared" si="118"/>
        <v>1</v>
      </c>
      <c r="F732" s="662"/>
      <c r="G732" s="21">
        <f t="shared" si="119"/>
        <v>1</v>
      </c>
      <c r="H732" s="662"/>
      <c r="I732" s="21">
        <f t="shared" si="120"/>
        <v>1</v>
      </c>
      <c r="J732" s="662"/>
      <c r="K732" s="21">
        <f t="shared" si="121"/>
        <v>1</v>
      </c>
      <c r="L732" s="662"/>
      <c r="M732" s="21">
        <f t="shared" si="122"/>
        <v>1</v>
      </c>
      <c r="N732" s="662"/>
      <c r="O732" s="21">
        <f t="shared" si="123"/>
        <v>1</v>
      </c>
      <c r="P732" s="662">
        <v>-2</v>
      </c>
      <c r="Q732" s="21">
        <f t="shared" si="124"/>
        <v>0.95</v>
      </c>
      <c r="R732" s="659">
        <f t="shared" ca="1" si="125"/>
        <v>4429</v>
      </c>
      <c r="S732" s="316">
        <f t="shared" ca="1" si="126"/>
        <v>18</v>
      </c>
      <c r="T732" s="720" t="str">
        <f>商办车库!H841</f>
        <v>车位</v>
      </c>
    </row>
    <row r="733" spans="1:20">
      <c r="A733" s="3539" t="str">
        <f>商办车库!E842</f>
        <v>B2364</v>
      </c>
      <c r="B733" s="54">
        <f>商办车库!F842</f>
        <v>40.43</v>
      </c>
      <c r="C733" s="21">
        <f t="shared" si="117"/>
        <v>1</v>
      </c>
      <c r="D733" s="662"/>
      <c r="E733" s="21">
        <f t="shared" si="118"/>
        <v>1</v>
      </c>
      <c r="F733" s="662"/>
      <c r="G733" s="21">
        <f t="shared" si="119"/>
        <v>1</v>
      </c>
      <c r="H733" s="662"/>
      <c r="I733" s="21">
        <f t="shared" si="120"/>
        <v>1</v>
      </c>
      <c r="J733" s="662"/>
      <c r="K733" s="21">
        <f t="shared" si="121"/>
        <v>1</v>
      </c>
      <c r="L733" s="662"/>
      <c r="M733" s="21">
        <f t="shared" si="122"/>
        <v>1</v>
      </c>
      <c r="N733" s="662"/>
      <c r="O733" s="21">
        <f t="shared" si="123"/>
        <v>1</v>
      </c>
      <c r="P733" s="662">
        <v>-2</v>
      </c>
      <c r="Q733" s="21">
        <f t="shared" si="124"/>
        <v>0.95</v>
      </c>
      <c r="R733" s="659">
        <f t="shared" ca="1" si="125"/>
        <v>4429</v>
      </c>
      <c r="S733" s="316">
        <f t="shared" ca="1" si="126"/>
        <v>18</v>
      </c>
      <c r="T733" s="720" t="str">
        <f>商办车库!H842</f>
        <v>车位</v>
      </c>
    </row>
    <row r="734" spans="1:20">
      <c r="A734" s="3539" t="str">
        <f>商办车库!E843</f>
        <v>B2365</v>
      </c>
      <c r="B734" s="54">
        <f>商办车库!F843</f>
        <v>40.43</v>
      </c>
      <c r="C734" s="21">
        <f t="shared" ref="C734:C797" si="127">IF(B734="",1,(LOOKUP(B734,$3:$3,$4:$4)-LOOKUP($B$24,$3:$3,$4:$4)+100)/100)</f>
        <v>1</v>
      </c>
      <c r="D734" s="662"/>
      <c r="E734" s="21">
        <f t="shared" ref="E734:E797" si="128">(SUMIF($5:$5,D734,$6:$6)-SUMIF($5:$5,$D$24,$6:$6)+100)/100</f>
        <v>1</v>
      </c>
      <c r="F734" s="662"/>
      <c r="G734" s="21">
        <f t="shared" ref="G734:G797" si="129">(SUMIF($7:$7,F734,$8:$8)-SUMIF($7:$7,$F$24,$8:$8)+100)/100</f>
        <v>1</v>
      </c>
      <c r="H734" s="662"/>
      <c r="I734" s="21">
        <f t="shared" ref="I734:I797" si="130">(SUMIF($9:$9,H734,$10:$10)-SUMIF($9:$9,$H$24,$10:$10)+100)/100</f>
        <v>1</v>
      </c>
      <c r="J734" s="662"/>
      <c r="K734" s="21">
        <f t="shared" ref="K734:K797" si="131">(SUMIF($11:$11,J734,$12:$12)-SUMIF($11:$11,$J$24,$12:$12)+100)/100</f>
        <v>1</v>
      </c>
      <c r="L734" s="662"/>
      <c r="M734" s="21">
        <f t="shared" ref="M734:M797" si="132">(SUMIF($13:$13,L734,$14:$14)-SUMIF($13:$13,$L$24,$14:$14)+100)/100</f>
        <v>1</v>
      </c>
      <c r="N734" s="662"/>
      <c r="O734" s="21">
        <f t="shared" ref="O734:O797" si="133">(SUMIF($15:$15,N734,$16:$16)-SUMIF($15:$15,$N$24,$16:$16)+100)/100</f>
        <v>1</v>
      </c>
      <c r="P734" s="662">
        <v>-2</v>
      </c>
      <c r="Q734" s="21">
        <f t="shared" ref="Q734:Q797" si="134">(SUMIF($17:$17,P734,$18:$18)-SUMIF($17:$17,$P$24,$18:$18)+100)/100</f>
        <v>0.95</v>
      </c>
      <c r="R734" s="659">
        <f t="shared" ref="R734:R797" ca="1" si="135">IF(B734="",0,ROUND($R$24*C734*E734*G734*I734*K734*M734*O734*Q734,0))</f>
        <v>4429</v>
      </c>
      <c r="S734" s="316">
        <f t="shared" ref="S734:S797" ca="1" si="136">ROUND(R734*B734/10000,0)</f>
        <v>18</v>
      </c>
      <c r="T734" s="720" t="str">
        <f>商办车库!H843</f>
        <v>车位</v>
      </c>
    </row>
    <row r="735" spans="1:20">
      <c r="A735" s="3539" t="str">
        <f>商办车库!E844</f>
        <v>B2366、B2367</v>
      </c>
      <c r="B735" s="54">
        <f>商办车库!F844</f>
        <v>80.86</v>
      </c>
      <c r="C735" s="3438">
        <v>1</v>
      </c>
      <c r="D735" s="662"/>
      <c r="E735" s="21">
        <f t="shared" si="128"/>
        <v>1</v>
      </c>
      <c r="F735" s="662"/>
      <c r="G735" s="21">
        <f t="shared" si="129"/>
        <v>1</v>
      </c>
      <c r="H735" s="662"/>
      <c r="I735" s="21">
        <f t="shared" si="130"/>
        <v>1</v>
      </c>
      <c r="J735" s="662"/>
      <c r="K735" s="21">
        <f t="shared" si="131"/>
        <v>1</v>
      </c>
      <c r="L735" s="662"/>
      <c r="M735" s="21">
        <f t="shared" si="132"/>
        <v>1</v>
      </c>
      <c r="N735" s="662"/>
      <c r="O735" s="21">
        <f t="shared" si="133"/>
        <v>1</v>
      </c>
      <c r="P735" s="662">
        <v>-2</v>
      </c>
      <c r="Q735" s="21">
        <f t="shared" si="134"/>
        <v>0.95</v>
      </c>
      <c r="R735" s="659">
        <f t="shared" ca="1" si="135"/>
        <v>4429</v>
      </c>
      <c r="S735" s="316">
        <f t="shared" ca="1" si="136"/>
        <v>36</v>
      </c>
      <c r="T735" s="720" t="str">
        <f>商办车库!H844</f>
        <v>车位</v>
      </c>
    </row>
    <row r="736" spans="1:20">
      <c r="A736" s="3539" t="str">
        <f>商办车库!E845</f>
        <v>B2368、B2369</v>
      </c>
      <c r="B736" s="54">
        <f>商办车库!F845</f>
        <v>80.86</v>
      </c>
      <c r="C736" s="3438">
        <v>1</v>
      </c>
      <c r="D736" s="662"/>
      <c r="E736" s="21">
        <f t="shared" si="128"/>
        <v>1</v>
      </c>
      <c r="F736" s="662"/>
      <c r="G736" s="21">
        <f t="shared" si="129"/>
        <v>1</v>
      </c>
      <c r="H736" s="662"/>
      <c r="I736" s="21">
        <f t="shared" si="130"/>
        <v>1</v>
      </c>
      <c r="J736" s="662"/>
      <c r="K736" s="21">
        <f t="shared" si="131"/>
        <v>1</v>
      </c>
      <c r="L736" s="662"/>
      <c r="M736" s="21">
        <f t="shared" si="132"/>
        <v>1</v>
      </c>
      <c r="N736" s="662"/>
      <c r="O736" s="21">
        <f t="shared" si="133"/>
        <v>1</v>
      </c>
      <c r="P736" s="662">
        <v>-2</v>
      </c>
      <c r="Q736" s="21">
        <f t="shared" si="134"/>
        <v>0.95</v>
      </c>
      <c r="R736" s="659">
        <f t="shared" ca="1" si="135"/>
        <v>4429</v>
      </c>
      <c r="S736" s="316">
        <f t="shared" ca="1" si="136"/>
        <v>36</v>
      </c>
      <c r="T736" s="720" t="str">
        <f>商办车库!H845</f>
        <v>车位</v>
      </c>
    </row>
    <row r="737" spans="1:20">
      <c r="A737" s="3539" t="str">
        <f>商办车库!E846</f>
        <v>B2370</v>
      </c>
      <c r="B737" s="54">
        <f>商办车库!F846</f>
        <v>40.43</v>
      </c>
      <c r="C737" s="21">
        <f t="shared" si="127"/>
        <v>1</v>
      </c>
      <c r="D737" s="662"/>
      <c r="E737" s="21">
        <f t="shared" si="128"/>
        <v>1</v>
      </c>
      <c r="F737" s="662"/>
      <c r="G737" s="21">
        <f t="shared" si="129"/>
        <v>1</v>
      </c>
      <c r="H737" s="662"/>
      <c r="I737" s="21">
        <f t="shared" si="130"/>
        <v>1</v>
      </c>
      <c r="J737" s="662"/>
      <c r="K737" s="21">
        <f t="shared" si="131"/>
        <v>1</v>
      </c>
      <c r="L737" s="662"/>
      <c r="M737" s="21">
        <f t="shared" si="132"/>
        <v>1</v>
      </c>
      <c r="N737" s="662"/>
      <c r="O737" s="21">
        <f t="shared" si="133"/>
        <v>1</v>
      </c>
      <c r="P737" s="662">
        <v>-2</v>
      </c>
      <c r="Q737" s="21">
        <f t="shared" si="134"/>
        <v>0.95</v>
      </c>
      <c r="R737" s="659">
        <f t="shared" ca="1" si="135"/>
        <v>4429</v>
      </c>
      <c r="S737" s="316">
        <f t="shared" ca="1" si="136"/>
        <v>18</v>
      </c>
      <c r="T737" s="720" t="str">
        <f>商办车库!H846</f>
        <v>车位</v>
      </c>
    </row>
    <row r="738" spans="1:20">
      <c r="A738" s="3539" t="str">
        <f>商办车库!E847</f>
        <v>B2371</v>
      </c>
      <c r="B738" s="54">
        <f>商办车库!F847</f>
        <v>40.43</v>
      </c>
      <c r="C738" s="21">
        <f t="shared" si="127"/>
        <v>1</v>
      </c>
      <c r="D738" s="662"/>
      <c r="E738" s="21">
        <f t="shared" si="128"/>
        <v>1</v>
      </c>
      <c r="F738" s="662"/>
      <c r="G738" s="21">
        <f t="shared" si="129"/>
        <v>1</v>
      </c>
      <c r="H738" s="662"/>
      <c r="I738" s="21">
        <f t="shared" si="130"/>
        <v>1</v>
      </c>
      <c r="J738" s="662"/>
      <c r="K738" s="21">
        <f t="shared" si="131"/>
        <v>1</v>
      </c>
      <c r="L738" s="662"/>
      <c r="M738" s="21">
        <f t="shared" si="132"/>
        <v>1</v>
      </c>
      <c r="N738" s="662"/>
      <c r="O738" s="21">
        <f t="shared" si="133"/>
        <v>1</v>
      </c>
      <c r="P738" s="662">
        <v>-2</v>
      </c>
      <c r="Q738" s="21">
        <f t="shared" si="134"/>
        <v>0.95</v>
      </c>
      <c r="R738" s="659">
        <f t="shared" ca="1" si="135"/>
        <v>4429</v>
      </c>
      <c r="S738" s="316">
        <f t="shared" ca="1" si="136"/>
        <v>18</v>
      </c>
      <c r="T738" s="720" t="str">
        <f>商办车库!H847</f>
        <v>车位</v>
      </c>
    </row>
    <row r="739" spans="1:20">
      <c r="A739" s="3539" t="str">
        <f>商办车库!E848</f>
        <v>B2372</v>
      </c>
      <c r="B739" s="54">
        <f>商办车库!F848</f>
        <v>40.43</v>
      </c>
      <c r="C739" s="21">
        <f t="shared" si="127"/>
        <v>1</v>
      </c>
      <c r="D739" s="662"/>
      <c r="E739" s="21">
        <f t="shared" si="128"/>
        <v>1</v>
      </c>
      <c r="F739" s="662"/>
      <c r="G739" s="21">
        <f t="shared" si="129"/>
        <v>1</v>
      </c>
      <c r="H739" s="662"/>
      <c r="I739" s="21">
        <f t="shared" si="130"/>
        <v>1</v>
      </c>
      <c r="J739" s="662"/>
      <c r="K739" s="21">
        <f t="shared" si="131"/>
        <v>1</v>
      </c>
      <c r="L739" s="662"/>
      <c r="M739" s="21">
        <f t="shared" si="132"/>
        <v>1</v>
      </c>
      <c r="N739" s="662"/>
      <c r="O739" s="21">
        <f t="shared" si="133"/>
        <v>1</v>
      </c>
      <c r="P739" s="662">
        <v>-2</v>
      </c>
      <c r="Q739" s="21">
        <f t="shared" si="134"/>
        <v>0.95</v>
      </c>
      <c r="R739" s="659">
        <f t="shared" ca="1" si="135"/>
        <v>4429</v>
      </c>
      <c r="S739" s="316">
        <f t="shared" ca="1" si="136"/>
        <v>18</v>
      </c>
      <c r="T739" s="720" t="str">
        <f>商办车库!H848</f>
        <v>车位</v>
      </c>
    </row>
    <row r="740" spans="1:20">
      <c r="A740" s="3539" t="str">
        <f>商办车库!E849</f>
        <v>B2373</v>
      </c>
      <c r="B740" s="54">
        <f>商办车库!F849</f>
        <v>40.43</v>
      </c>
      <c r="C740" s="21">
        <f t="shared" si="127"/>
        <v>1</v>
      </c>
      <c r="D740" s="662"/>
      <c r="E740" s="21">
        <f t="shared" si="128"/>
        <v>1</v>
      </c>
      <c r="F740" s="662"/>
      <c r="G740" s="21">
        <f t="shared" si="129"/>
        <v>1</v>
      </c>
      <c r="H740" s="662"/>
      <c r="I740" s="21">
        <f t="shared" si="130"/>
        <v>1</v>
      </c>
      <c r="J740" s="662"/>
      <c r="K740" s="21">
        <f t="shared" si="131"/>
        <v>1</v>
      </c>
      <c r="L740" s="662"/>
      <c r="M740" s="21">
        <f t="shared" si="132"/>
        <v>1</v>
      </c>
      <c r="N740" s="662"/>
      <c r="O740" s="21">
        <f t="shared" si="133"/>
        <v>1</v>
      </c>
      <c r="P740" s="662">
        <v>-2</v>
      </c>
      <c r="Q740" s="21">
        <f t="shared" si="134"/>
        <v>0.95</v>
      </c>
      <c r="R740" s="659">
        <f t="shared" ca="1" si="135"/>
        <v>4429</v>
      </c>
      <c r="S740" s="316">
        <f t="shared" ca="1" si="136"/>
        <v>18</v>
      </c>
      <c r="T740" s="720" t="str">
        <f>商办车库!H849</f>
        <v>车位</v>
      </c>
    </row>
    <row r="741" spans="1:20">
      <c r="A741" s="3539" t="str">
        <f>商办车库!E850</f>
        <v>B2374</v>
      </c>
      <c r="B741" s="54">
        <f>商办车库!F850</f>
        <v>40.43</v>
      </c>
      <c r="C741" s="21">
        <f t="shared" si="127"/>
        <v>1</v>
      </c>
      <c r="D741" s="662"/>
      <c r="E741" s="21">
        <f t="shared" si="128"/>
        <v>1</v>
      </c>
      <c r="F741" s="662"/>
      <c r="G741" s="21">
        <f t="shared" si="129"/>
        <v>1</v>
      </c>
      <c r="H741" s="662"/>
      <c r="I741" s="21">
        <f t="shared" si="130"/>
        <v>1</v>
      </c>
      <c r="J741" s="662"/>
      <c r="K741" s="21">
        <f t="shared" si="131"/>
        <v>1</v>
      </c>
      <c r="L741" s="662"/>
      <c r="M741" s="21">
        <f t="shared" si="132"/>
        <v>1</v>
      </c>
      <c r="N741" s="662"/>
      <c r="O741" s="21">
        <f t="shared" si="133"/>
        <v>1</v>
      </c>
      <c r="P741" s="662">
        <v>-2</v>
      </c>
      <c r="Q741" s="21">
        <f t="shared" si="134"/>
        <v>0.95</v>
      </c>
      <c r="R741" s="659">
        <f t="shared" ca="1" si="135"/>
        <v>4429</v>
      </c>
      <c r="S741" s="316">
        <f t="shared" ca="1" si="136"/>
        <v>18</v>
      </c>
      <c r="T741" s="720" t="str">
        <f>商办车库!H850</f>
        <v>车位</v>
      </c>
    </row>
    <row r="742" spans="1:20">
      <c r="A742" s="3539" t="str">
        <f>商办车库!E851</f>
        <v>B2375</v>
      </c>
      <c r="B742" s="54">
        <f>商办车库!F851</f>
        <v>40.43</v>
      </c>
      <c r="C742" s="21">
        <f t="shared" si="127"/>
        <v>1</v>
      </c>
      <c r="D742" s="662"/>
      <c r="E742" s="21">
        <f t="shared" si="128"/>
        <v>1</v>
      </c>
      <c r="F742" s="662"/>
      <c r="G742" s="21">
        <f t="shared" si="129"/>
        <v>1</v>
      </c>
      <c r="H742" s="662"/>
      <c r="I742" s="21">
        <f t="shared" si="130"/>
        <v>1</v>
      </c>
      <c r="J742" s="662"/>
      <c r="K742" s="21">
        <f t="shared" si="131"/>
        <v>1</v>
      </c>
      <c r="L742" s="662"/>
      <c r="M742" s="21">
        <f t="shared" si="132"/>
        <v>1</v>
      </c>
      <c r="N742" s="662"/>
      <c r="O742" s="21">
        <f t="shared" si="133"/>
        <v>1</v>
      </c>
      <c r="P742" s="662">
        <v>-2</v>
      </c>
      <c r="Q742" s="21">
        <f t="shared" si="134"/>
        <v>0.95</v>
      </c>
      <c r="R742" s="659">
        <f t="shared" ca="1" si="135"/>
        <v>4429</v>
      </c>
      <c r="S742" s="316">
        <f t="shared" ca="1" si="136"/>
        <v>18</v>
      </c>
      <c r="T742" s="720" t="str">
        <f>商办车库!H851</f>
        <v>车位</v>
      </c>
    </row>
    <row r="743" spans="1:20">
      <c r="A743" s="3539" t="str">
        <f>商办车库!E852</f>
        <v>B2376</v>
      </c>
      <c r="B743" s="54">
        <f>商办车库!F852</f>
        <v>40.43</v>
      </c>
      <c r="C743" s="21">
        <f t="shared" si="127"/>
        <v>1</v>
      </c>
      <c r="D743" s="662"/>
      <c r="E743" s="21">
        <f t="shared" si="128"/>
        <v>1</v>
      </c>
      <c r="F743" s="662"/>
      <c r="G743" s="21">
        <f t="shared" si="129"/>
        <v>1</v>
      </c>
      <c r="H743" s="662"/>
      <c r="I743" s="21">
        <f t="shared" si="130"/>
        <v>1</v>
      </c>
      <c r="J743" s="662"/>
      <c r="K743" s="21">
        <f t="shared" si="131"/>
        <v>1</v>
      </c>
      <c r="L743" s="662"/>
      <c r="M743" s="21">
        <f t="shared" si="132"/>
        <v>1</v>
      </c>
      <c r="N743" s="662"/>
      <c r="O743" s="21">
        <f t="shared" si="133"/>
        <v>1</v>
      </c>
      <c r="P743" s="662">
        <v>-2</v>
      </c>
      <c r="Q743" s="21">
        <f t="shared" si="134"/>
        <v>0.95</v>
      </c>
      <c r="R743" s="659">
        <f t="shared" ca="1" si="135"/>
        <v>4429</v>
      </c>
      <c r="S743" s="316">
        <f t="shared" ca="1" si="136"/>
        <v>18</v>
      </c>
      <c r="T743" s="720" t="str">
        <f>商办车库!H852</f>
        <v>车位</v>
      </c>
    </row>
    <row r="744" spans="1:20">
      <c r="A744" s="3539" t="str">
        <f>商办车库!E853</f>
        <v>B2377</v>
      </c>
      <c r="B744" s="54">
        <f>商办车库!F853</f>
        <v>40.43</v>
      </c>
      <c r="C744" s="21">
        <f t="shared" si="127"/>
        <v>1</v>
      </c>
      <c r="D744" s="662"/>
      <c r="E744" s="21">
        <f t="shared" si="128"/>
        <v>1</v>
      </c>
      <c r="F744" s="662"/>
      <c r="G744" s="21">
        <f t="shared" si="129"/>
        <v>1</v>
      </c>
      <c r="H744" s="662"/>
      <c r="I744" s="21">
        <f t="shared" si="130"/>
        <v>1</v>
      </c>
      <c r="J744" s="662"/>
      <c r="K744" s="21">
        <f t="shared" si="131"/>
        <v>1</v>
      </c>
      <c r="L744" s="662"/>
      <c r="M744" s="21">
        <f t="shared" si="132"/>
        <v>1</v>
      </c>
      <c r="N744" s="662"/>
      <c r="O744" s="21">
        <f t="shared" si="133"/>
        <v>1</v>
      </c>
      <c r="P744" s="662">
        <v>-2</v>
      </c>
      <c r="Q744" s="21">
        <f t="shared" si="134"/>
        <v>0.95</v>
      </c>
      <c r="R744" s="659">
        <f t="shared" ca="1" si="135"/>
        <v>4429</v>
      </c>
      <c r="S744" s="316">
        <f t="shared" ca="1" si="136"/>
        <v>18</v>
      </c>
      <c r="T744" s="720" t="str">
        <f>商办车库!H853</f>
        <v>车位</v>
      </c>
    </row>
    <row r="745" spans="1:20">
      <c r="A745" s="3539" t="str">
        <f>商办车库!E854</f>
        <v>B2378</v>
      </c>
      <c r="B745" s="54">
        <f>商办车库!F854</f>
        <v>40.43</v>
      </c>
      <c r="C745" s="21">
        <f t="shared" si="127"/>
        <v>1</v>
      </c>
      <c r="D745" s="662"/>
      <c r="E745" s="21">
        <f t="shared" si="128"/>
        <v>1</v>
      </c>
      <c r="F745" s="662"/>
      <c r="G745" s="21">
        <f t="shared" si="129"/>
        <v>1</v>
      </c>
      <c r="H745" s="662"/>
      <c r="I745" s="21">
        <f t="shared" si="130"/>
        <v>1</v>
      </c>
      <c r="J745" s="662"/>
      <c r="K745" s="21">
        <f t="shared" si="131"/>
        <v>1</v>
      </c>
      <c r="L745" s="662"/>
      <c r="M745" s="21">
        <f t="shared" si="132"/>
        <v>1</v>
      </c>
      <c r="N745" s="662"/>
      <c r="O745" s="21">
        <f t="shared" si="133"/>
        <v>1</v>
      </c>
      <c r="P745" s="662">
        <v>-2</v>
      </c>
      <c r="Q745" s="21">
        <f t="shared" si="134"/>
        <v>0.95</v>
      </c>
      <c r="R745" s="659">
        <f t="shared" ca="1" si="135"/>
        <v>4429</v>
      </c>
      <c r="S745" s="316">
        <f t="shared" ca="1" si="136"/>
        <v>18</v>
      </c>
      <c r="T745" s="720" t="str">
        <f>商办车库!H854</f>
        <v>车位</v>
      </c>
    </row>
    <row r="746" spans="1:20">
      <c r="A746" s="3539" t="str">
        <f>商办车库!E855</f>
        <v>B2379</v>
      </c>
      <c r="B746" s="54">
        <f>商办车库!F855</f>
        <v>40.43</v>
      </c>
      <c r="C746" s="21">
        <f t="shared" si="127"/>
        <v>1</v>
      </c>
      <c r="D746" s="662"/>
      <c r="E746" s="21">
        <f t="shared" si="128"/>
        <v>1</v>
      </c>
      <c r="F746" s="662"/>
      <c r="G746" s="21">
        <f t="shared" si="129"/>
        <v>1</v>
      </c>
      <c r="H746" s="662"/>
      <c r="I746" s="21">
        <f t="shared" si="130"/>
        <v>1</v>
      </c>
      <c r="J746" s="662"/>
      <c r="K746" s="21">
        <f t="shared" si="131"/>
        <v>1</v>
      </c>
      <c r="L746" s="662"/>
      <c r="M746" s="21">
        <f t="shared" si="132"/>
        <v>1</v>
      </c>
      <c r="N746" s="662"/>
      <c r="O746" s="21">
        <f t="shared" si="133"/>
        <v>1</v>
      </c>
      <c r="P746" s="662">
        <v>-2</v>
      </c>
      <c r="Q746" s="21">
        <f t="shared" si="134"/>
        <v>0.95</v>
      </c>
      <c r="R746" s="659">
        <f t="shared" ca="1" si="135"/>
        <v>4429</v>
      </c>
      <c r="S746" s="316">
        <f t="shared" ca="1" si="136"/>
        <v>18</v>
      </c>
      <c r="T746" s="720" t="str">
        <f>商办车库!H855</f>
        <v>车位</v>
      </c>
    </row>
    <row r="747" spans="1:20">
      <c r="A747" s="3539" t="str">
        <f>商办车库!E856</f>
        <v>B2380</v>
      </c>
      <c r="B747" s="54">
        <f>商办车库!F856</f>
        <v>40.43</v>
      </c>
      <c r="C747" s="21">
        <f t="shared" si="127"/>
        <v>1</v>
      </c>
      <c r="D747" s="662"/>
      <c r="E747" s="21">
        <f t="shared" si="128"/>
        <v>1</v>
      </c>
      <c r="F747" s="662"/>
      <c r="G747" s="21">
        <f t="shared" si="129"/>
        <v>1</v>
      </c>
      <c r="H747" s="662"/>
      <c r="I747" s="21">
        <f t="shared" si="130"/>
        <v>1</v>
      </c>
      <c r="J747" s="662"/>
      <c r="K747" s="21">
        <f t="shared" si="131"/>
        <v>1</v>
      </c>
      <c r="L747" s="662"/>
      <c r="M747" s="21">
        <f t="shared" si="132"/>
        <v>1</v>
      </c>
      <c r="N747" s="662"/>
      <c r="O747" s="21">
        <f t="shared" si="133"/>
        <v>1</v>
      </c>
      <c r="P747" s="662">
        <v>-2</v>
      </c>
      <c r="Q747" s="21">
        <f t="shared" si="134"/>
        <v>0.95</v>
      </c>
      <c r="R747" s="659">
        <f t="shared" ca="1" si="135"/>
        <v>4429</v>
      </c>
      <c r="S747" s="316">
        <f t="shared" ca="1" si="136"/>
        <v>18</v>
      </c>
      <c r="T747" s="720" t="str">
        <f>商办车库!H856</f>
        <v>车位</v>
      </c>
    </row>
    <row r="748" spans="1:20">
      <c r="A748" s="3539" t="str">
        <f>商办车库!E857</f>
        <v>B2381</v>
      </c>
      <c r="B748" s="54">
        <f>商办车库!F857</f>
        <v>40.43</v>
      </c>
      <c r="C748" s="21">
        <f t="shared" si="127"/>
        <v>1</v>
      </c>
      <c r="D748" s="662"/>
      <c r="E748" s="21">
        <f t="shared" si="128"/>
        <v>1</v>
      </c>
      <c r="F748" s="662"/>
      <c r="G748" s="21">
        <f t="shared" si="129"/>
        <v>1</v>
      </c>
      <c r="H748" s="662"/>
      <c r="I748" s="21">
        <f t="shared" si="130"/>
        <v>1</v>
      </c>
      <c r="J748" s="662"/>
      <c r="K748" s="21">
        <f t="shared" si="131"/>
        <v>1</v>
      </c>
      <c r="L748" s="662"/>
      <c r="M748" s="21">
        <f t="shared" si="132"/>
        <v>1</v>
      </c>
      <c r="N748" s="662"/>
      <c r="O748" s="21">
        <f t="shared" si="133"/>
        <v>1</v>
      </c>
      <c r="P748" s="662">
        <v>-2</v>
      </c>
      <c r="Q748" s="21">
        <f t="shared" si="134"/>
        <v>0.95</v>
      </c>
      <c r="R748" s="659">
        <f t="shared" ca="1" si="135"/>
        <v>4429</v>
      </c>
      <c r="S748" s="316">
        <f t="shared" ca="1" si="136"/>
        <v>18</v>
      </c>
      <c r="T748" s="720" t="str">
        <f>商办车库!H857</f>
        <v>车位</v>
      </c>
    </row>
    <row r="749" spans="1:20">
      <c r="A749" s="3539" t="str">
        <f>商办车库!E858</f>
        <v>B2382</v>
      </c>
      <c r="B749" s="54">
        <f>商办车库!F858</f>
        <v>40.43</v>
      </c>
      <c r="C749" s="21">
        <f t="shared" si="127"/>
        <v>1</v>
      </c>
      <c r="D749" s="662"/>
      <c r="E749" s="21">
        <f t="shared" si="128"/>
        <v>1</v>
      </c>
      <c r="F749" s="662"/>
      <c r="G749" s="21">
        <f t="shared" si="129"/>
        <v>1</v>
      </c>
      <c r="H749" s="662"/>
      <c r="I749" s="21">
        <f t="shared" si="130"/>
        <v>1</v>
      </c>
      <c r="J749" s="662"/>
      <c r="K749" s="21">
        <f t="shared" si="131"/>
        <v>1</v>
      </c>
      <c r="L749" s="662"/>
      <c r="M749" s="21">
        <f t="shared" si="132"/>
        <v>1</v>
      </c>
      <c r="N749" s="662"/>
      <c r="O749" s="21">
        <f t="shared" si="133"/>
        <v>1</v>
      </c>
      <c r="P749" s="662">
        <v>-2</v>
      </c>
      <c r="Q749" s="21">
        <f t="shared" si="134"/>
        <v>0.95</v>
      </c>
      <c r="R749" s="659">
        <f t="shared" ca="1" si="135"/>
        <v>4429</v>
      </c>
      <c r="S749" s="316">
        <f t="shared" ca="1" si="136"/>
        <v>18</v>
      </c>
      <c r="T749" s="720" t="str">
        <f>商办车库!H858</f>
        <v>车位</v>
      </c>
    </row>
    <row r="750" spans="1:20">
      <c r="A750" s="3539" t="str">
        <f>商办车库!E859</f>
        <v>B2383</v>
      </c>
      <c r="B750" s="54">
        <f>商办车库!F859</f>
        <v>40.43</v>
      </c>
      <c r="C750" s="21">
        <f t="shared" si="127"/>
        <v>1</v>
      </c>
      <c r="D750" s="662"/>
      <c r="E750" s="21">
        <f t="shared" si="128"/>
        <v>1</v>
      </c>
      <c r="F750" s="662"/>
      <c r="G750" s="21">
        <f t="shared" si="129"/>
        <v>1</v>
      </c>
      <c r="H750" s="662"/>
      <c r="I750" s="21">
        <f t="shared" si="130"/>
        <v>1</v>
      </c>
      <c r="J750" s="662"/>
      <c r="K750" s="21">
        <f t="shared" si="131"/>
        <v>1</v>
      </c>
      <c r="L750" s="662"/>
      <c r="M750" s="21">
        <f t="shared" si="132"/>
        <v>1</v>
      </c>
      <c r="N750" s="662"/>
      <c r="O750" s="21">
        <f t="shared" si="133"/>
        <v>1</v>
      </c>
      <c r="P750" s="662">
        <v>-2</v>
      </c>
      <c r="Q750" s="21">
        <f t="shared" si="134"/>
        <v>0.95</v>
      </c>
      <c r="R750" s="659">
        <f t="shared" ca="1" si="135"/>
        <v>4429</v>
      </c>
      <c r="S750" s="316">
        <f t="shared" ca="1" si="136"/>
        <v>18</v>
      </c>
      <c r="T750" s="720" t="str">
        <f>商办车库!H859</f>
        <v>车位</v>
      </c>
    </row>
    <row r="751" spans="1:20">
      <c r="A751" s="3539" t="str">
        <f>商办车库!E860</f>
        <v>B2384、B2385</v>
      </c>
      <c r="B751" s="54">
        <f>商办车库!F860</f>
        <v>80.86</v>
      </c>
      <c r="C751" s="3438">
        <v>1</v>
      </c>
      <c r="D751" s="662"/>
      <c r="E751" s="21">
        <f t="shared" si="128"/>
        <v>1</v>
      </c>
      <c r="F751" s="662"/>
      <c r="G751" s="21">
        <f t="shared" si="129"/>
        <v>1</v>
      </c>
      <c r="H751" s="662"/>
      <c r="I751" s="21">
        <f t="shared" si="130"/>
        <v>1</v>
      </c>
      <c r="J751" s="662"/>
      <c r="K751" s="21">
        <f t="shared" si="131"/>
        <v>1</v>
      </c>
      <c r="L751" s="662"/>
      <c r="M751" s="21">
        <f t="shared" si="132"/>
        <v>1</v>
      </c>
      <c r="N751" s="662"/>
      <c r="O751" s="21">
        <f t="shared" si="133"/>
        <v>1</v>
      </c>
      <c r="P751" s="662">
        <v>-2</v>
      </c>
      <c r="Q751" s="21">
        <f t="shared" si="134"/>
        <v>0.95</v>
      </c>
      <c r="R751" s="659">
        <f t="shared" ca="1" si="135"/>
        <v>4429</v>
      </c>
      <c r="S751" s="316">
        <f t="shared" ca="1" si="136"/>
        <v>36</v>
      </c>
      <c r="T751" s="720" t="str">
        <f>商办车库!H860</f>
        <v>车位</v>
      </c>
    </row>
    <row r="752" spans="1:20">
      <c r="A752" s="3539" t="str">
        <f>商办车库!E861</f>
        <v>B2386</v>
      </c>
      <c r="B752" s="54">
        <f>商办车库!F861</f>
        <v>40.43</v>
      </c>
      <c r="C752" s="21">
        <f t="shared" si="127"/>
        <v>1</v>
      </c>
      <c r="D752" s="662"/>
      <c r="E752" s="21">
        <f t="shared" si="128"/>
        <v>1</v>
      </c>
      <c r="F752" s="662"/>
      <c r="G752" s="21">
        <f t="shared" si="129"/>
        <v>1</v>
      </c>
      <c r="H752" s="662"/>
      <c r="I752" s="21">
        <f t="shared" si="130"/>
        <v>1</v>
      </c>
      <c r="J752" s="662"/>
      <c r="K752" s="21">
        <f t="shared" si="131"/>
        <v>1</v>
      </c>
      <c r="L752" s="662"/>
      <c r="M752" s="21">
        <f t="shared" si="132"/>
        <v>1</v>
      </c>
      <c r="N752" s="662"/>
      <c r="O752" s="21">
        <f t="shared" si="133"/>
        <v>1</v>
      </c>
      <c r="P752" s="662">
        <v>-2</v>
      </c>
      <c r="Q752" s="21">
        <f t="shared" si="134"/>
        <v>0.95</v>
      </c>
      <c r="R752" s="659">
        <f t="shared" ca="1" si="135"/>
        <v>4429</v>
      </c>
      <c r="S752" s="316">
        <f t="shared" ca="1" si="136"/>
        <v>18</v>
      </c>
      <c r="T752" s="720" t="str">
        <f>商办车库!H861</f>
        <v>车位</v>
      </c>
    </row>
    <row r="753" spans="1:20">
      <c r="A753" s="3539" t="str">
        <f>商办车库!E862</f>
        <v>B2387</v>
      </c>
      <c r="B753" s="54">
        <f>商办车库!F862</f>
        <v>40.43</v>
      </c>
      <c r="C753" s="21">
        <f t="shared" si="127"/>
        <v>1</v>
      </c>
      <c r="D753" s="662"/>
      <c r="E753" s="21">
        <f t="shared" si="128"/>
        <v>1</v>
      </c>
      <c r="F753" s="662"/>
      <c r="G753" s="21">
        <f t="shared" si="129"/>
        <v>1</v>
      </c>
      <c r="H753" s="662"/>
      <c r="I753" s="21">
        <f t="shared" si="130"/>
        <v>1</v>
      </c>
      <c r="J753" s="662"/>
      <c r="K753" s="21">
        <f t="shared" si="131"/>
        <v>1</v>
      </c>
      <c r="L753" s="662"/>
      <c r="M753" s="21">
        <f t="shared" si="132"/>
        <v>1</v>
      </c>
      <c r="N753" s="662"/>
      <c r="O753" s="21">
        <f t="shared" si="133"/>
        <v>1</v>
      </c>
      <c r="P753" s="662">
        <v>-2</v>
      </c>
      <c r="Q753" s="21">
        <f t="shared" si="134"/>
        <v>0.95</v>
      </c>
      <c r="R753" s="659">
        <f t="shared" ca="1" si="135"/>
        <v>4429</v>
      </c>
      <c r="S753" s="316">
        <f t="shared" ca="1" si="136"/>
        <v>18</v>
      </c>
      <c r="T753" s="720" t="str">
        <f>商办车库!H862</f>
        <v>车位</v>
      </c>
    </row>
    <row r="754" spans="1:20">
      <c r="A754" s="3539" t="str">
        <f>商办车库!E863</f>
        <v>B2388</v>
      </c>
      <c r="B754" s="54">
        <f>商办车库!F863</f>
        <v>40.43</v>
      </c>
      <c r="C754" s="21">
        <f t="shared" si="127"/>
        <v>1</v>
      </c>
      <c r="D754" s="662"/>
      <c r="E754" s="21">
        <f t="shared" si="128"/>
        <v>1</v>
      </c>
      <c r="F754" s="662"/>
      <c r="G754" s="21">
        <f t="shared" si="129"/>
        <v>1</v>
      </c>
      <c r="H754" s="662"/>
      <c r="I754" s="21">
        <f t="shared" si="130"/>
        <v>1</v>
      </c>
      <c r="J754" s="662"/>
      <c r="K754" s="21">
        <f t="shared" si="131"/>
        <v>1</v>
      </c>
      <c r="L754" s="662"/>
      <c r="M754" s="21">
        <f t="shared" si="132"/>
        <v>1</v>
      </c>
      <c r="N754" s="662"/>
      <c r="O754" s="21">
        <f t="shared" si="133"/>
        <v>1</v>
      </c>
      <c r="P754" s="662">
        <v>-2</v>
      </c>
      <c r="Q754" s="21">
        <f t="shared" si="134"/>
        <v>0.95</v>
      </c>
      <c r="R754" s="659">
        <f t="shared" ca="1" si="135"/>
        <v>4429</v>
      </c>
      <c r="S754" s="316">
        <f t="shared" ca="1" si="136"/>
        <v>18</v>
      </c>
      <c r="T754" s="720" t="str">
        <f>商办车库!H863</f>
        <v>车位</v>
      </c>
    </row>
    <row r="755" spans="1:20">
      <c r="A755" s="3539" t="str">
        <f>商办车库!E864</f>
        <v>B2389</v>
      </c>
      <c r="B755" s="54">
        <f>商办车库!F864</f>
        <v>40.43</v>
      </c>
      <c r="C755" s="21">
        <f t="shared" si="127"/>
        <v>1</v>
      </c>
      <c r="D755" s="662"/>
      <c r="E755" s="21">
        <f t="shared" si="128"/>
        <v>1</v>
      </c>
      <c r="F755" s="662"/>
      <c r="G755" s="21">
        <f t="shared" si="129"/>
        <v>1</v>
      </c>
      <c r="H755" s="662"/>
      <c r="I755" s="21">
        <f t="shared" si="130"/>
        <v>1</v>
      </c>
      <c r="J755" s="662"/>
      <c r="K755" s="21">
        <f t="shared" si="131"/>
        <v>1</v>
      </c>
      <c r="L755" s="662"/>
      <c r="M755" s="21">
        <f t="shared" si="132"/>
        <v>1</v>
      </c>
      <c r="N755" s="662"/>
      <c r="O755" s="21">
        <f t="shared" si="133"/>
        <v>1</v>
      </c>
      <c r="P755" s="662">
        <v>-2</v>
      </c>
      <c r="Q755" s="21">
        <f t="shared" si="134"/>
        <v>0.95</v>
      </c>
      <c r="R755" s="659">
        <f t="shared" ca="1" si="135"/>
        <v>4429</v>
      </c>
      <c r="S755" s="316">
        <f t="shared" ca="1" si="136"/>
        <v>18</v>
      </c>
      <c r="T755" s="720" t="str">
        <f>商办车库!H864</f>
        <v>车位</v>
      </c>
    </row>
    <row r="756" spans="1:20">
      <c r="A756" s="3539" t="str">
        <f>商办车库!E865</f>
        <v>B2390</v>
      </c>
      <c r="B756" s="54">
        <f>商办车库!F865</f>
        <v>40.43</v>
      </c>
      <c r="C756" s="21">
        <f t="shared" si="127"/>
        <v>1</v>
      </c>
      <c r="D756" s="662"/>
      <c r="E756" s="21">
        <f t="shared" si="128"/>
        <v>1</v>
      </c>
      <c r="F756" s="662"/>
      <c r="G756" s="21">
        <f t="shared" si="129"/>
        <v>1</v>
      </c>
      <c r="H756" s="662"/>
      <c r="I756" s="21">
        <f t="shared" si="130"/>
        <v>1</v>
      </c>
      <c r="J756" s="662"/>
      <c r="K756" s="21">
        <f t="shared" si="131"/>
        <v>1</v>
      </c>
      <c r="L756" s="662"/>
      <c r="M756" s="21">
        <f t="shared" si="132"/>
        <v>1</v>
      </c>
      <c r="N756" s="662"/>
      <c r="O756" s="21">
        <f t="shared" si="133"/>
        <v>1</v>
      </c>
      <c r="P756" s="662">
        <v>-2</v>
      </c>
      <c r="Q756" s="21">
        <f t="shared" si="134"/>
        <v>0.95</v>
      </c>
      <c r="R756" s="659">
        <f t="shared" ca="1" si="135"/>
        <v>4429</v>
      </c>
      <c r="S756" s="316">
        <f t="shared" ca="1" si="136"/>
        <v>18</v>
      </c>
      <c r="T756" s="720" t="str">
        <f>商办车库!H865</f>
        <v>车位</v>
      </c>
    </row>
    <row r="757" spans="1:20">
      <c r="A757" s="3539" t="str">
        <f>商办车库!E866</f>
        <v>B2391</v>
      </c>
      <c r="B757" s="54">
        <f>商办车库!F866</f>
        <v>40.43</v>
      </c>
      <c r="C757" s="21">
        <f t="shared" si="127"/>
        <v>1</v>
      </c>
      <c r="D757" s="662"/>
      <c r="E757" s="21">
        <f t="shared" si="128"/>
        <v>1</v>
      </c>
      <c r="F757" s="662"/>
      <c r="G757" s="21">
        <f t="shared" si="129"/>
        <v>1</v>
      </c>
      <c r="H757" s="662"/>
      <c r="I757" s="21">
        <f t="shared" si="130"/>
        <v>1</v>
      </c>
      <c r="J757" s="662"/>
      <c r="K757" s="21">
        <f t="shared" si="131"/>
        <v>1</v>
      </c>
      <c r="L757" s="662"/>
      <c r="M757" s="21">
        <f t="shared" si="132"/>
        <v>1</v>
      </c>
      <c r="N757" s="662"/>
      <c r="O757" s="21">
        <f t="shared" si="133"/>
        <v>1</v>
      </c>
      <c r="P757" s="662">
        <v>-2</v>
      </c>
      <c r="Q757" s="21">
        <f t="shared" si="134"/>
        <v>0.95</v>
      </c>
      <c r="R757" s="659">
        <f t="shared" ca="1" si="135"/>
        <v>4429</v>
      </c>
      <c r="S757" s="316">
        <f t="shared" ca="1" si="136"/>
        <v>18</v>
      </c>
      <c r="T757" s="720" t="str">
        <f>商办车库!H866</f>
        <v>车位</v>
      </c>
    </row>
    <row r="758" spans="1:20">
      <c r="A758" s="3539" t="str">
        <f>商办车库!E867</f>
        <v>B2392</v>
      </c>
      <c r="B758" s="54">
        <f>商办车库!F867</f>
        <v>40.43</v>
      </c>
      <c r="C758" s="21">
        <f t="shared" si="127"/>
        <v>1</v>
      </c>
      <c r="D758" s="662"/>
      <c r="E758" s="21">
        <f t="shared" si="128"/>
        <v>1</v>
      </c>
      <c r="F758" s="662"/>
      <c r="G758" s="21">
        <f t="shared" si="129"/>
        <v>1</v>
      </c>
      <c r="H758" s="662"/>
      <c r="I758" s="21">
        <f t="shared" si="130"/>
        <v>1</v>
      </c>
      <c r="J758" s="662"/>
      <c r="K758" s="21">
        <f t="shared" si="131"/>
        <v>1</v>
      </c>
      <c r="L758" s="662"/>
      <c r="M758" s="21">
        <f t="shared" si="132"/>
        <v>1</v>
      </c>
      <c r="N758" s="662"/>
      <c r="O758" s="21">
        <f t="shared" si="133"/>
        <v>1</v>
      </c>
      <c r="P758" s="662">
        <v>-2</v>
      </c>
      <c r="Q758" s="21">
        <f t="shared" si="134"/>
        <v>0.95</v>
      </c>
      <c r="R758" s="659">
        <f t="shared" ca="1" si="135"/>
        <v>4429</v>
      </c>
      <c r="S758" s="316">
        <f t="shared" ca="1" si="136"/>
        <v>18</v>
      </c>
      <c r="T758" s="720" t="str">
        <f>商办车库!H867</f>
        <v>车位</v>
      </c>
    </row>
    <row r="759" spans="1:20">
      <c r="A759" s="3539" t="str">
        <f>商办车库!E868</f>
        <v>B2393</v>
      </c>
      <c r="B759" s="54">
        <f>商办车库!F868</f>
        <v>40.43</v>
      </c>
      <c r="C759" s="21">
        <f t="shared" si="127"/>
        <v>1</v>
      </c>
      <c r="D759" s="662"/>
      <c r="E759" s="21">
        <f t="shared" si="128"/>
        <v>1</v>
      </c>
      <c r="F759" s="662"/>
      <c r="G759" s="21">
        <f t="shared" si="129"/>
        <v>1</v>
      </c>
      <c r="H759" s="662"/>
      <c r="I759" s="21">
        <f t="shared" si="130"/>
        <v>1</v>
      </c>
      <c r="J759" s="662"/>
      <c r="K759" s="21">
        <f t="shared" si="131"/>
        <v>1</v>
      </c>
      <c r="L759" s="662"/>
      <c r="M759" s="21">
        <f t="shared" si="132"/>
        <v>1</v>
      </c>
      <c r="N759" s="662"/>
      <c r="O759" s="21">
        <f t="shared" si="133"/>
        <v>1</v>
      </c>
      <c r="P759" s="662">
        <v>-2</v>
      </c>
      <c r="Q759" s="21">
        <f t="shared" si="134"/>
        <v>0.95</v>
      </c>
      <c r="R759" s="659">
        <f t="shared" ca="1" si="135"/>
        <v>4429</v>
      </c>
      <c r="S759" s="316">
        <f t="shared" ca="1" si="136"/>
        <v>18</v>
      </c>
      <c r="T759" s="720" t="str">
        <f>商办车库!H868</f>
        <v>车位</v>
      </c>
    </row>
    <row r="760" spans="1:20">
      <c r="A760" s="3539" t="str">
        <f>商办车库!E869</f>
        <v>B2394</v>
      </c>
      <c r="B760" s="54">
        <f>商办车库!F869</f>
        <v>40.43</v>
      </c>
      <c r="C760" s="21">
        <f t="shared" si="127"/>
        <v>1</v>
      </c>
      <c r="D760" s="662"/>
      <c r="E760" s="21">
        <f t="shared" si="128"/>
        <v>1</v>
      </c>
      <c r="F760" s="662"/>
      <c r="G760" s="21">
        <f t="shared" si="129"/>
        <v>1</v>
      </c>
      <c r="H760" s="662"/>
      <c r="I760" s="21">
        <f t="shared" si="130"/>
        <v>1</v>
      </c>
      <c r="J760" s="662"/>
      <c r="K760" s="21">
        <f t="shared" si="131"/>
        <v>1</v>
      </c>
      <c r="L760" s="662"/>
      <c r="M760" s="21">
        <f t="shared" si="132"/>
        <v>1</v>
      </c>
      <c r="N760" s="662"/>
      <c r="O760" s="21">
        <f t="shared" si="133"/>
        <v>1</v>
      </c>
      <c r="P760" s="662">
        <v>-2</v>
      </c>
      <c r="Q760" s="21">
        <f t="shared" si="134"/>
        <v>0.95</v>
      </c>
      <c r="R760" s="659">
        <f t="shared" ca="1" si="135"/>
        <v>4429</v>
      </c>
      <c r="S760" s="316">
        <f t="shared" ca="1" si="136"/>
        <v>18</v>
      </c>
      <c r="T760" s="720" t="str">
        <f>商办车库!H869</f>
        <v>车位</v>
      </c>
    </row>
    <row r="761" spans="1:20">
      <c r="A761" s="3539" t="str">
        <f>商办车库!E870</f>
        <v>B2395</v>
      </c>
      <c r="B761" s="54">
        <f>商办车库!F870</f>
        <v>40.43</v>
      </c>
      <c r="C761" s="21">
        <f t="shared" si="127"/>
        <v>1</v>
      </c>
      <c r="D761" s="662"/>
      <c r="E761" s="21">
        <f t="shared" si="128"/>
        <v>1</v>
      </c>
      <c r="F761" s="662"/>
      <c r="G761" s="21">
        <f t="shared" si="129"/>
        <v>1</v>
      </c>
      <c r="H761" s="662"/>
      <c r="I761" s="21">
        <f t="shared" si="130"/>
        <v>1</v>
      </c>
      <c r="J761" s="662"/>
      <c r="K761" s="21">
        <f t="shared" si="131"/>
        <v>1</v>
      </c>
      <c r="L761" s="662"/>
      <c r="M761" s="21">
        <f t="shared" si="132"/>
        <v>1</v>
      </c>
      <c r="N761" s="662"/>
      <c r="O761" s="21">
        <f t="shared" si="133"/>
        <v>1</v>
      </c>
      <c r="P761" s="662">
        <v>-2</v>
      </c>
      <c r="Q761" s="21">
        <f t="shared" si="134"/>
        <v>0.95</v>
      </c>
      <c r="R761" s="659">
        <f t="shared" ca="1" si="135"/>
        <v>4429</v>
      </c>
      <c r="S761" s="316">
        <f t="shared" ca="1" si="136"/>
        <v>18</v>
      </c>
      <c r="T761" s="720" t="str">
        <f>商办车库!H870</f>
        <v>车位</v>
      </c>
    </row>
    <row r="762" spans="1:20">
      <c r="A762" s="3539" t="str">
        <f>商办车库!E871</f>
        <v>B2396</v>
      </c>
      <c r="B762" s="54">
        <f>商办车库!F871</f>
        <v>40.43</v>
      </c>
      <c r="C762" s="21">
        <f t="shared" si="127"/>
        <v>1</v>
      </c>
      <c r="D762" s="662"/>
      <c r="E762" s="21">
        <f t="shared" si="128"/>
        <v>1</v>
      </c>
      <c r="F762" s="662"/>
      <c r="G762" s="21">
        <f t="shared" si="129"/>
        <v>1</v>
      </c>
      <c r="H762" s="662"/>
      <c r="I762" s="21">
        <f t="shared" si="130"/>
        <v>1</v>
      </c>
      <c r="J762" s="662"/>
      <c r="K762" s="21">
        <f t="shared" si="131"/>
        <v>1</v>
      </c>
      <c r="L762" s="662"/>
      <c r="M762" s="21">
        <f t="shared" si="132"/>
        <v>1</v>
      </c>
      <c r="N762" s="662"/>
      <c r="O762" s="21">
        <f t="shared" si="133"/>
        <v>1</v>
      </c>
      <c r="P762" s="662">
        <v>-2</v>
      </c>
      <c r="Q762" s="21">
        <f t="shared" si="134"/>
        <v>0.95</v>
      </c>
      <c r="R762" s="659">
        <f t="shared" ca="1" si="135"/>
        <v>4429</v>
      </c>
      <c r="S762" s="316">
        <f t="shared" ca="1" si="136"/>
        <v>18</v>
      </c>
      <c r="T762" s="720" t="str">
        <f>商办车库!H871</f>
        <v>车位</v>
      </c>
    </row>
    <row r="763" spans="1:20">
      <c r="A763" s="3539" t="str">
        <f>商办车库!E872</f>
        <v>B2397</v>
      </c>
      <c r="B763" s="54">
        <f>商办车库!F872</f>
        <v>40.43</v>
      </c>
      <c r="C763" s="21">
        <f t="shared" si="127"/>
        <v>1</v>
      </c>
      <c r="D763" s="662"/>
      <c r="E763" s="21">
        <f t="shared" si="128"/>
        <v>1</v>
      </c>
      <c r="F763" s="662"/>
      <c r="G763" s="21">
        <f t="shared" si="129"/>
        <v>1</v>
      </c>
      <c r="H763" s="662"/>
      <c r="I763" s="21">
        <f t="shared" si="130"/>
        <v>1</v>
      </c>
      <c r="J763" s="662"/>
      <c r="K763" s="21">
        <f t="shared" si="131"/>
        <v>1</v>
      </c>
      <c r="L763" s="662"/>
      <c r="M763" s="21">
        <f t="shared" si="132"/>
        <v>1</v>
      </c>
      <c r="N763" s="662"/>
      <c r="O763" s="21">
        <f t="shared" si="133"/>
        <v>1</v>
      </c>
      <c r="P763" s="662">
        <v>-2</v>
      </c>
      <c r="Q763" s="21">
        <f t="shared" si="134"/>
        <v>0.95</v>
      </c>
      <c r="R763" s="659">
        <f t="shared" ca="1" si="135"/>
        <v>4429</v>
      </c>
      <c r="S763" s="316">
        <f t="shared" ca="1" si="136"/>
        <v>18</v>
      </c>
      <c r="T763" s="720" t="str">
        <f>商办车库!H872</f>
        <v>车位</v>
      </c>
    </row>
    <row r="764" spans="1:20">
      <c r="A764" s="3539" t="str">
        <f>商办车库!E873</f>
        <v>B2398</v>
      </c>
      <c r="B764" s="54">
        <f>商办车库!F873</f>
        <v>40.43</v>
      </c>
      <c r="C764" s="21">
        <f t="shared" si="127"/>
        <v>1</v>
      </c>
      <c r="D764" s="662"/>
      <c r="E764" s="21">
        <f t="shared" si="128"/>
        <v>1</v>
      </c>
      <c r="F764" s="662"/>
      <c r="G764" s="21">
        <f t="shared" si="129"/>
        <v>1</v>
      </c>
      <c r="H764" s="662"/>
      <c r="I764" s="21">
        <f t="shared" si="130"/>
        <v>1</v>
      </c>
      <c r="J764" s="662"/>
      <c r="K764" s="21">
        <f t="shared" si="131"/>
        <v>1</v>
      </c>
      <c r="L764" s="662"/>
      <c r="M764" s="21">
        <f t="shared" si="132"/>
        <v>1</v>
      </c>
      <c r="N764" s="662"/>
      <c r="O764" s="21">
        <f t="shared" si="133"/>
        <v>1</v>
      </c>
      <c r="P764" s="662">
        <v>-2</v>
      </c>
      <c r="Q764" s="21">
        <f t="shared" si="134"/>
        <v>0.95</v>
      </c>
      <c r="R764" s="659">
        <f t="shared" ca="1" si="135"/>
        <v>4429</v>
      </c>
      <c r="S764" s="316">
        <f t="shared" ca="1" si="136"/>
        <v>18</v>
      </c>
      <c r="T764" s="720" t="str">
        <f>商办车库!H873</f>
        <v>车位</v>
      </c>
    </row>
    <row r="765" spans="1:20">
      <c r="A765" s="3539" t="str">
        <f>商办车库!E874</f>
        <v>B2399</v>
      </c>
      <c r="B765" s="54">
        <f>商办车库!F874</f>
        <v>40.43</v>
      </c>
      <c r="C765" s="21">
        <f t="shared" si="127"/>
        <v>1</v>
      </c>
      <c r="D765" s="662"/>
      <c r="E765" s="21">
        <f t="shared" si="128"/>
        <v>1</v>
      </c>
      <c r="F765" s="662"/>
      <c r="G765" s="21">
        <f t="shared" si="129"/>
        <v>1</v>
      </c>
      <c r="H765" s="662"/>
      <c r="I765" s="21">
        <f t="shared" si="130"/>
        <v>1</v>
      </c>
      <c r="J765" s="662"/>
      <c r="K765" s="21">
        <f t="shared" si="131"/>
        <v>1</v>
      </c>
      <c r="L765" s="662"/>
      <c r="M765" s="21">
        <f t="shared" si="132"/>
        <v>1</v>
      </c>
      <c r="N765" s="662"/>
      <c r="O765" s="21">
        <f t="shared" si="133"/>
        <v>1</v>
      </c>
      <c r="P765" s="662">
        <v>-2</v>
      </c>
      <c r="Q765" s="21">
        <f t="shared" si="134"/>
        <v>0.95</v>
      </c>
      <c r="R765" s="659">
        <f t="shared" ca="1" si="135"/>
        <v>4429</v>
      </c>
      <c r="S765" s="316">
        <f t="shared" ca="1" si="136"/>
        <v>18</v>
      </c>
      <c r="T765" s="720" t="str">
        <f>商办车库!H874</f>
        <v>车位</v>
      </c>
    </row>
    <row r="766" spans="1:20">
      <c r="A766" s="3539" t="str">
        <f>商办车库!E875</f>
        <v>B2400</v>
      </c>
      <c r="B766" s="54">
        <f>商办车库!F875</f>
        <v>40.43</v>
      </c>
      <c r="C766" s="21">
        <f t="shared" si="127"/>
        <v>1</v>
      </c>
      <c r="D766" s="662"/>
      <c r="E766" s="21">
        <f t="shared" si="128"/>
        <v>1</v>
      </c>
      <c r="F766" s="662"/>
      <c r="G766" s="21">
        <f t="shared" si="129"/>
        <v>1</v>
      </c>
      <c r="H766" s="662"/>
      <c r="I766" s="21">
        <f t="shared" si="130"/>
        <v>1</v>
      </c>
      <c r="J766" s="662"/>
      <c r="K766" s="21">
        <f t="shared" si="131"/>
        <v>1</v>
      </c>
      <c r="L766" s="662"/>
      <c r="M766" s="21">
        <f t="shared" si="132"/>
        <v>1</v>
      </c>
      <c r="N766" s="662"/>
      <c r="O766" s="21">
        <f t="shared" si="133"/>
        <v>1</v>
      </c>
      <c r="P766" s="662">
        <v>-2</v>
      </c>
      <c r="Q766" s="21">
        <f t="shared" si="134"/>
        <v>0.95</v>
      </c>
      <c r="R766" s="659">
        <f t="shared" ca="1" si="135"/>
        <v>4429</v>
      </c>
      <c r="S766" s="316">
        <f t="shared" ca="1" si="136"/>
        <v>18</v>
      </c>
      <c r="T766" s="720" t="str">
        <f>商办车库!H875</f>
        <v>车位</v>
      </c>
    </row>
    <row r="767" spans="1:20">
      <c r="A767" s="3539" t="str">
        <f>商办车库!E876</f>
        <v>B2401</v>
      </c>
      <c r="B767" s="54">
        <f>商办车库!F876</f>
        <v>40.43</v>
      </c>
      <c r="C767" s="21">
        <f t="shared" si="127"/>
        <v>1</v>
      </c>
      <c r="D767" s="662"/>
      <c r="E767" s="21">
        <f t="shared" si="128"/>
        <v>1</v>
      </c>
      <c r="F767" s="662"/>
      <c r="G767" s="21">
        <f t="shared" si="129"/>
        <v>1</v>
      </c>
      <c r="H767" s="662"/>
      <c r="I767" s="21">
        <f t="shared" si="130"/>
        <v>1</v>
      </c>
      <c r="J767" s="662"/>
      <c r="K767" s="21">
        <f t="shared" si="131"/>
        <v>1</v>
      </c>
      <c r="L767" s="662"/>
      <c r="M767" s="21">
        <f t="shared" si="132"/>
        <v>1</v>
      </c>
      <c r="N767" s="662"/>
      <c r="O767" s="21">
        <f t="shared" si="133"/>
        <v>1</v>
      </c>
      <c r="P767" s="662">
        <v>-2</v>
      </c>
      <c r="Q767" s="21">
        <f t="shared" si="134"/>
        <v>0.95</v>
      </c>
      <c r="R767" s="659">
        <f t="shared" ca="1" si="135"/>
        <v>4429</v>
      </c>
      <c r="S767" s="316">
        <f t="shared" ca="1" si="136"/>
        <v>18</v>
      </c>
      <c r="T767" s="720" t="str">
        <f>商办车库!H876</f>
        <v>车位</v>
      </c>
    </row>
    <row r="768" spans="1:20">
      <c r="A768" s="3539" t="str">
        <f>商办车库!E877</f>
        <v>B2402</v>
      </c>
      <c r="B768" s="54">
        <f>商办车库!F877</f>
        <v>40.43</v>
      </c>
      <c r="C768" s="21">
        <f t="shared" si="127"/>
        <v>1</v>
      </c>
      <c r="D768" s="662"/>
      <c r="E768" s="21">
        <f t="shared" si="128"/>
        <v>1</v>
      </c>
      <c r="F768" s="662"/>
      <c r="G768" s="21">
        <f t="shared" si="129"/>
        <v>1</v>
      </c>
      <c r="H768" s="662"/>
      <c r="I768" s="21">
        <f t="shared" si="130"/>
        <v>1</v>
      </c>
      <c r="J768" s="662"/>
      <c r="K768" s="21">
        <f t="shared" si="131"/>
        <v>1</v>
      </c>
      <c r="L768" s="662"/>
      <c r="M768" s="21">
        <f t="shared" si="132"/>
        <v>1</v>
      </c>
      <c r="N768" s="662"/>
      <c r="O768" s="21">
        <f t="shared" si="133"/>
        <v>1</v>
      </c>
      <c r="P768" s="662">
        <v>-2</v>
      </c>
      <c r="Q768" s="21">
        <f t="shared" si="134"/>
        <v>0.95</v>
      </c>
      <c r="R768" s="659">
        <f t="shared" ca="1" si="135"/>
        <v>4429</v>
      </c>
      <c r="S768" s="316">
        <f t="shared" ca="1" si="136"/>
        <v>18</v>
      </c>
      <c r="T768" s="720" t="str">
        <f>商办车库!H877</f>
        <v>车位</v>
      </c>
    </row>
    <row r="769" spans="1:20">
      <c r="A769" s="3539" t="str">
        <f>商办车库!E878</f>
        <v>B2403</v>
      </c>
      <c r="B769" s="54">
        <f>商办车库!F878</f>
        <v>40.43</v>
      </c>
      <c r="C769" s="21">
        <f t="shared" si="127"/>
        <v>1</v>
      </c>
      <c r="D769" s="662"/>
      <c r="E769" s="21">
        <f t="shared" si="128"/>
        <v>1</v>
      </c>
      <c r="F769" s="662"/>
      <c r="G769" s="21">
        <f t="shared" si="129"/>
        <v>1</v>
      </c>
      <c r="H769" s="662"/>
      <c r="I769" s="21">
        <f t="shared" si="130"/>
        <v>1</v>
      </c>
      <c r="J769" s="662"/>
      <c r="K769" s="21">
        <f t="shared" si="131"/>
        <v>1</v>
      </c>
      <c r="L769" s="662"/>
      <c r="M769" s="21">
        <f t="shared" si="132"/>
        <v>1</v>
      </c>
      <c r="N769" s="662"/>
      <c r="O769" s="21">
        <f t="shared" si="133"/>
        <v>1</v>
      </c>
      <c r="P769" s="662">
        <v>-2</v>
      </c>
      <c r="Q769" s="21">
        <f t="shared" si="134"/>
        <v>0.95</v>
      </c>
      <c r="R769" s="659">
        <f t="shared" ca="1" si="135"/>
        <v>4429</v>
      </c>
      <c r="S769" s="316">
        <f t="shared" ca="1" si="136"/>
        <v>18</v>
      </c>
      <c r="T769" s="720" t="str">
        <f>商办车库!H878</f>
        <v>车位</v>
      </c>
    </row>
    <row r="770" spans="1:20">
      <c r="A770" s="3539" t="str">
        <f>商办车库!E879</f>
        <v>B2404</v>
      </c>
      <c r="B770" s="54">
        <f>商办车库!F879</f>
        <v>40.43</v>
      </c>
      <c r="C770" s="21">
        <f t="shared" si="127"/>
        <v>1</v>
      </c>
      <c r="D770" s="662"/>
      <c r="E770" s="21">
        <f t="shared" si="128"/>
        <v>1</v>
      </c>
      <c r="F770" s="662"/>
      <c r="G770" s="21">
        <f t="shared" si="129"/>
        <v>1</v>
      </c>
      <c r="H770" s="662"/>
      <c r="I770" s="21">
        <f t="shared" si="130"/>
        <v>1</v>
      </c>
      <c r="J770" s="662"/>
      <c r="K770" s="21">
        <f t="shared" si="131"/>
        <v>1</v>
      </c>
      <c r="L770" s="662"/>
      <c r="M770" s="21">
        <f t="shared" si="132"/>
        <v>1</v>
      </c>
      <c r="N770" s="662"/>
      <c r="O770" s="21">
        <f t="shared" si="133"/>
        <v>1</v>
      </c>
      <c r="P770" s="662">
        <v>-2</v>
      </c>
      <c r="Q770" s="21">
        <f t="shared" si="134"/>
        <v>0.95</v>
      </c>
      <c r="R770" s="659">
        <f t="shared" ca="1" si="135"/>
        <v>4429</v>
      </c>
      <c r="S770" s="316">
        <f t="shared" ca="1" si="136"/>
        <v>18</v>
      </c>
      <c r="T770" s="720" t="str">
        <f>商办车库!H879</f>
        <v>车位</v>
      </c>
    </row>
    <row r="771" spans="1:20">
      <c r="A771" s="3539" t="str">
        <f>商办车库!E880</f>
        <v>B2405</v>
      </c>
      <c r="B771" s="54">
        <f>商办车库!F880</f>
        <v>40.43</v>
      </c>
      <c r="C771" s="21">
        <f t="shared" si="127"/>
        <v>1</v>
      </c>
      <c r="D771" s="662"/>
      <c r="E771" s="21">
        <f t="shared" si="128"/>
        <v>1</v>
      </c>
      <c r="F771" s="662"/>
      <c r="G771" s="21">
        <f t="shared" si="129"/>
        <v>1</v>
      </c>
      <c r="H771" s="662"/>
      <c r="I771" s="21">
        <f t="shared" si="130"/>
        <v>1</v>
      </c>
      <c r="J771" s="662"/>
      <c r="K771" s="21">
        <f t="shared" si="131"/>
        <v>1</v>
      </c>
      <c r="L771" s="662"/>
      <c r="M771" s="21">
        <f t="shared" si="132"/>
        <v>1</v>
      </c>
      <c r="N771" s="662"/>
      <c r="O771" s="21">
        <f t="shared" si="133"/>
        <v>1</v>
      </c>
      <c r="P771" s="662">
        <v>-2</v>
      </c>
      <c r="Q771" s="21">
        <f t="shared" si="134"/>
        <v>0.95</v>
      </c>
      <c r="R771" s="659">
        <f t="shared" ca="1" si="135"/>
        <v>4429</v>
      </c>
      <c r="S771" s="316">
        <f t="shared" ca="1" si="136"/>
        <v>18</v>
      </c>
      <c r="T771" s="720" t="str">
        <f>商办车库!H880</f>
        <v>车位</v>
      </c>
    </row>
    <row r="772" spans="1:20">
      <c r="A772" s="3539" t="str">
        <f>商办车库!E881</f>
        <v>B2406</v>
      </c>
      <c r="B772" s="54">
        <f>商办车库!F881</f>
        <v>40.43</v>
      </c>
      <c r="C772" s="21">
        <f t="shared" si="127"/>
        <v>1</v>
      </c>
      <c r="D772" s="662"/>
      <c r="E772" s="21">
        <f t="shared" si="128"/>
        <v>1</v>
      </c>
      <c r="F772" s="662"/>
      <c r="G772" s="21">
        <f t="shared" si="129"/>
        <v>1</v>
      </c>
      <c r="H772" s="662"/>
      <c r="I772" s="21">
        <f t="shared" si="130"/>
        <v>1</v>
      </c>
      <c r="J772" s="662"/>
      <c r="K772" s="21">
        <f t="shared" si="131"/>
        <v>1</v>
      </c>
      <c r="L772" s="662"/>
      <c r="M772" s="21">
        <f t="shared" si="132"/>
        <v>1</v>
      </c>
      <c r="N772" s="662"/>
      <c r="O772" s="21">
        <f t="shared" si="133"/>
        <v>1</v>
      </c>
      <c r="P772" s="662">
        <v>-2</v>
      </c>
      <c r="Q772" s="21">
        <f t="shared" si="134"/>
        <v>0.95</v>
      </c>
      <c r="R772" s="659">
        <f t="shared" ca="1" si="135"/>
        <v>4429</v>
      </c>
      <c r="S772" s="316">
        <f t="shared" ca="1" si="136"/>
        <v>18</v>
      </c>
      <c r="T772" s="720" t="str">
        <f>商办车库!H881</f>
        <v>车位</v>
      </c>
    </row>
    <row r="773" spans="1:20">
      <c r="A773" s="3539" t="str">
        <f>商办车库!E882</f>
        <v>B2407</v>
      </c>
      <c r="B773" s="54">
        <f>商办车库!F882</f>
        <v>40.43</v>
      </c>
      <c r="C773" s="21">
        <f t="shared" si="127"/>
        <v>1</v>
      </c>
      <c r="D773" s="662"/>
      <c r="E773" s="21">
        <f t="shared" si="128"/>
        <v>1</v>
      </c>
      <c r="F773" s="662"/>
      <c r="G773" s="21">
        <f t="shared" si="129"/>
        <v>1</v>
      </c>
      <c r="H773" s="662"/>
      <c r="I773" s="21">
        <f t="shared" si="130"/>
        <v>1</v>
      </c>
      <c r="J773" s="662"/>
      <c r="K773" s="21">
        <f t="shared" si="131"/>
        <v>1</v>
      </c>
      <c r="L773" s="662"/>
      <c r="M773" s="21">
        <f t="shared" si="132"/>
        <v>1</v>
      </c>
      <c r="N773" s="662"/>
      <c r="O773" s="21">
        <f t="shared" si="133"/>
        <v>1</v>
      </c>
      <c r="P773" s="662">
        <v>-2</v>
      </c>
      <c r="Q773" s="21">
        <f t="shared" si="134"/>
        <v>0.95</v>
      </c>
      <c r="R773" s="659">
        <f t="shared" ca="1" si="135"/>
        <v>4429</v>
      </c>
      <c r="S773" s="316">
        <f t="shared" ca="1" si="136"/>
        <v>18</v>
      </c>
      <c r="T773" s="720" t="str">
        <f>商办车库!H882</f>
        <v>车位</v>
      </c>
    </row>
    <row r="774" spans="1:20">
      <c r="A774" s="3539" t="str">
        <f>商办车库!E883</f>
        <v>B2408</v>
      </c>
      <c r="B774" s="54">
        <f>商办车库!F883</f>
        <v>40.43</v>
      </c>
      <c r="C774" s="21">
        <f t="shared" si="127"/>
        <v>1</v>
      </c>
      <c r="D774" s="662"/>
      <c r="E774" s="21">
        <f t="shared" si="128"/>
        <v>1</v>
      </c>
      <c r="F774" s="662"/>
      <c r="G774" s="21">
        <f t="shared" si="129"/>
        <v>1</v>
      </c>
      <c r="H774" s="662"/>
      <c r="I774" s="21">
        <f t="shared" si="130"/>
        <v>1</v>
      </c>
      <c r="J774" s="662"/>
      <c r="K774" s="21">
        <f t="shared" si="131"/>
        <v>1</v>
      </c>
      <c r="L774" s="662"/>
      <c r="M774" s="21">
        <f t="shared" si="132"/>
        <v>1</v>
      </c>
      <c r="N774" s="662"/>
      <c r="O774" s="21">
        <f t="shared" si="133"/>
        <v>1</v>
      </c>
      <c r="P774" s="662">
        <v>-2</v>
      </c>
      <c r="Q774" s="21">
        <f t="shared" si="134"/>
        <v>0.95</v>
      </c>
      <c r="R774" s="659">
        <f t="shared" ca="1" si="135"/>
        <v>4429</v>
      </c>
      <c r="S774" s="316">
        <f t="shared" ca="1" si="136"/>
        <v>18</v>
      </c>
      <c r="T774" s="720" t="str">
        <f>商办车库!H883</f>
        <v>车位</v>
      </c>
    </row>
    <row r="775" spans="1:20">
      <c r="A775" s="3539" t="str">
        <f>商办车库!E884</f>
        <v>B2409</v>
      </c>
      <c r="B775" s="54">
        <f>商办车库!F884</f>
        <v>40.43</v>
      </c>
      <c r="C775" s="21">
        <f t="shared" si="127"/>
        <v>1</v>
      </c>
      <c r="D775" s="662"/>
      <c r="E775" s="21">
        <f t="shared" si="128"/>
        <v>1</v>
      </c>
      <c r="F775" s="662"/>
      <c r="G775" s="21">
        <f t="shared" si="129"/>
        <v>1</v>
      </c>
      <c r="H775" s="662"/>
      <c r="I775" s="21">
        <f t="shared" si="130"/>
        <v>1</v>
      </c>
      <c r="J775" s="662"/>
      <c r="K775" s="21">
        <f t="shared" si="131"/>
        <v>1</v>
      </c>
      <c r="L775" s="662"/>
      <c r="M775" s="21">
        <f t="shared" si="132"/>
        <v>1</v>
      </c>
      <c r="N775" s="662"/>
      <c r="O775" s="21">
        <f t="shared" si="133"/>
        <v>1</v>
      </c>
      <c r="P775" s="662">
        <v>-2</v>
      </c>
      <c r="Q775" s="21">
        <f t="shared" si="134"/>
        <v>0.95</v>
      </c>
      <c r="R775" s="659">
        <f t="shared" ca="1" si="135"/>
        <v>4429</v>
      </c>
      <c r="S775" s="316">
        <f t="shared" ca="1" si="136"/>
        <v>18</v>
      </c>
      <c r="T775" s="720" t="str">
        <f>商办车库!H884</f>
        <v>车位</v>
      </c>
    </row>
    <row r="776" spans="1:20">
      <c r="A776" s="3539" t="str">
        <f>商办车库!E885</f>
        <v>B2410</v>
      </c>
      <c r="B776" s="54">
        <f>商办车库!F885</f>
        <v>40.43</v>
      </c>
      <c r="C776" s="21">
        <f t="shared" si="127"/>
        <v>1</v>
      </c>
      <c r="D776" s="662"/>
      <c r="E776" s="21">
        <f t="shared" si="128"/>
        <v>1</v>
      </c>
      <c r="F776" s="662"/>
      <c r="G776" s="21">
        <f t="shared" si="129"/>
        <v>1</v>
      </c>
      <c r="H776" s="662"/>
      <c r="I776" s="21">
        <f t="shared" si="130"/>
        <v>1</v>
      </c>
      <c r="J776" s="662"/>
      <c r="K776" s="21">
        <f t="shared" si="131"/>
        <v>1</v>
      </c>
      <c r="L776" s="662"/>
      <c r="M776" s="21">
        <f t="shared" si="132"/>
        <v>1</v>
      </c>
      <c r="N776" s="662"/>
      <c r="O776" s="21">
        <f t="shared" si="133"/>
        <v>1</v>
      </c>
      <c r="P776" s="662">
        <v>-2</v>
      </c>
      <c r="Q776" s="21">
        <f t="shared" si="134"/>
        <v>0.95</v>
      </c>
      <c r="R776" s="659">
        <f t="shared" ca="1" si="135"/>
        <v>4429</v>
      </c>
      <c r="S776" s="316">
        <f t="shared" ca="1" si="136"/>
        <v>18</v>
      </c>
      <c r="T776" s="720" t="str">
        <f>商办车库!H885</f>
        <v>车位</v>
      </c>
    </row>
    <row r="777" spans="1:20">
      <c r="A777" s="3539" t="str">
        <f>商办车库!E886</f>
        <v>B2411</v>
      </c>
      <c r="B777" s="54">
        <f>商办车库!F886</f>
        <v>40.43</v>
      </c>
      <c r="C777" s="21">
        <f t="shared" si="127"/>
        <v>1</v>
      </c>
      <c r="D777" s="662"/>
      <c r="E777" s="21">
        <f t="shared" si="128"/>
        <v>1</v>
      </c>
      <c r="F777" s="662"/>
      <c r="G777" s="21">
        <f t="shared" si="129"/>
        <v>1</v>
      </c>
      <c r="H777" s="662"/>
      <c r="I777" s="21">
        <f t="shared" si="130"/>
        <v>1</v>
      </c>
      <c r="J777" s="662"/>
      <c r="K777" s="21">
        <f t="shared" si="131"/>
        <v>1</v>
      </c>
      <c r="L777" s="662"/>
      <c r="M777" s="21">
        <f t="shared" si="132"/>
        <v>1</v>
      </c>
      <c r="N777" s="662"/>
      <c r="O777" s="21">
        <f t="shared" si="133"/>
        <v>1</v>
      </c>
      <c r="P777" s="662">
        <v>-2</v>
      </c>
      <c r="Q777" s="21">
        <f t="shared" si="134"/>
        <v>0.95</v>
      </c>
      <c r="R777" s="659">
        <f t="shared" ca="1" si="135"/>
        <v>4429</v>
      </c>
      <c r="S777" s="316">
        <f t="shared" ca="1" si="136"/>
        <v>18</v>
      </c>
      <c r="T777" s="720" t="str">
        <f>商办车库!H886</f>
        <v>车位</v>
      </c>
    </row>
    <row r="778" spans="1:20">
      <c r="A778" s="3539" t="str">
        <f>商办车库!E887</f>
        <v>B2412</v>
      </c>
      <c r="B778" s="54">
        <f>商办车库!F887</f>
        <v>40.43</v>
      </c>
      <c r="C778" s="21">
        <f t="shared" si="127"/>
        <v>1</v>
      </c>
      <c r="D778" s="662"/>
      <c r="E778" s="21">
        <f t="shared" si="128"/>
        <v>1</v>
      </c>
      <c r="F778" s="662"/>
      <c r="G778" s="21">
        <f t="shared" si="129"/>
        <v>1</v>
      </c>
      <c r="H778" s="662"/>
      <c r="I778" s="21">
        <f t="shared" si="130"/>
        <v>1</v>
      </c>
      <c r="J778" s="662"/>
      <c r="K778" s="21">
        <f t="shared" si="131"/>
        <v>1</v>
      </c>
      <c r="L778" s="662"/>
      <c r="M778" s="21">
        <f t="shared" si="132"/>
        <v>1</v>
      </c>
      <c r="N778" s="662"/>
      <c r="O778" s="21">
        <f t="shared" si="133"/>
        <v>1</v>
      </c>
      <c r="P778" s="662">
        <v>-2</v>
      </c>
      <c r="Q778" s="21">
        <f t="shared" si="134"/>
        <v>0.95</v>
      </c>
      <c r="R778" s="659">
        <f t="shared" ca="1" si="135"/>
        <v>4429</v>
      </c>
      <c r="S778" s="316">
        <f t="shared" ca="1" si="136"/>
        <v>18</v>
      </c>
      <c r="T778" s="720" t="str">
        <f>商办车库!H887</f>
        <v>车位</v>
      </c>
    </row>
    <row r="779" spans="1:20">
      <c r="A779" s="3539" t="str">
        <f>商办车库!E888</f>
        <v>B2413</v>
      </c>
      <c r="B779" s="54">
        <f>商办车库!F888</f>
        <v>40.43</v>
      </c>
      <c r="C779" s="21">
        <f t="shared" si="127"/>
        <v>1</v>
      </c>
      <c r="D779" s="662"/>
      <c r="E779" s="21">
        <f t="shared" si="128"/>
        <v>1</v>
      </c>
      <c r="F779" s="662"/>
      <c r="G779" s="21">
        <f t="shared" si="129"/>
        <v>1</v>
      </c>
      <c r="H779" s="662"/>
      <c r="I779" s="21">
        <f t="shared" si="130"/>
        <v>1</v>
      </c>
      <c r="J779" s="662"/>
      <c r="K779" s="21">
        <f t="shared" si="131"/>
        <v>1</v>
      </c>
      <c r="L779" s="662"/>
      <c r="M779" s="21">
        <f t="shared" si="132"/>
        <v>1</v>
      </c>
      <c r="N779" s="662"/>
      <c r="O779" s="21">
        <f t="shared" si="133"/>
        <v>1</v>
      </c>
      <c r="P779" s="662">
        <v>-2</v>
      </c>
      <c r="Q779" s="21">
        <f t="shared" si="134"/>
        <v>0.95</v>
      </c>
      <c r="R779" s="659">
        <f t="shared" ca="1" si="135"/>
        <v>4429</v>
      </c>
      <c r="S779" s="316">
        <f t="shared" ca="1" si="136"/>
        <v>18</v>
      </c>
      <c r="T779" s="720" t="str">
        <f>商办车库!H888</f>
        <v>车位</v>
      </c>
    </row>
    <row r="780" spans="1:20">
      <c r="A780" s="3539" t="str">
        <f>商办车库!E889</f>
        <v>B2414</v>
      </c>
      <c r="B780" s="54">
        <f>商办车库!F889</f>
        <v>40.43</v>
      </c>
      <c r="C780" s="21">
        <f t="shared" si="127"/>
        <v>1</v>
      </c>
      <c r="D780" s="662"/>
      <c r="E780" s="21">
        <f t="shared" si="128"/>
        <v>1</v>
      </c>
      <c r="F780" s="662"/>
      <c r="G780" s="21">
        <f t="shared" si="129"/>
        <v>1</v>
      </c>
      <c r="H780" s="662"/>
      <c r="I780" s="21">
        <f t="shared" si="130"/>
        <v>1</v>
      </c>
      <c r="J780" s="662"/>
      <c r="K780" s="21">
        <f t="shared" si="131"/>
        <v>1</v>
      </c>
      <c r="L780" s="662"/>
      <c r="M780" s="21">
        <f t="shared" si="132"/>
        <v>1</v>
      </c>
      <c r="N780" s="662"/>
      <c r="O780" s="21">
        <f t="shared" si="133"/>
        <v>1</v>
      </c>
      <c r="P780" s="662">
        <v>-2</v>
      </c>
      <c r="Q780" s="21">
        <f t="shared" si="134"/>
        <v>0.95</v>
      </c>
      <c r="R780" s="659">
        <f t="shared" ca="1" si="135"/>
        <v>4429</v>
      </c>
      <c r="S780" s="316">
        <f t="shared" ca="1" si="136"/>
        <v>18</v>
      </c>
      <c r="T780" s="720" t="str">
        <f>商办车库!H889</f>
        <v>车位</v>
      </c>
    </row>
    <row r="781" spans="1:20">
      <c r="A781" s="3539" t="str">
        <f>商办车库!E890</f>
        <v>B2415</v>
      </c>
      <c r="B781" s="54">
        <f>商办车库!F890</f>
        <v>40.43</v>
      </c>
      <c r="C781" s="21">
        <f t="shared" si="127"/>
        <v>1</v>
      </c>
      <c r="D781" s="662"/>
      <c r="E781" s="21">
        <f t="shared" si="128"/>
        <v>1</v>
      </c>
      <c r="F781" s="662"/>
      <c r="G781" s="21">
        <f t="shared" si="129"/>
        <v>1</v>
      </c>
      <c r="H781" s="662"/>
      <c r="I781" s="21">
        <f t="shared" si="130"/>
        <v>1</v>
      </c>
      <c r="J781" s="662"/>
      <c r="K781" s="21">
        <f t="shared" si="131"/>
        <v>1</v>
      </c>
      <c r="L781" s="662"/>
      <c r="M781" s="21">
        <f t="shared" si="132"/>
        <v>1</v>
      </c>
      <c r="N781" s="662"/>
      <c r="O781" s="21">
        <f t="shared" si="133"/>
        <v>1</v>
      </c>
      <c r="P781" s="662">
        <v>-2</v>
      </c>
      <c r="Q781" s="21">
        <f t="shared" si="134"/>
        <v>0.95</v>
      </c>
      <c r="R781" s="659">
        <f t="shared" ca="1" si="135"/>
        <v>4429</v>
      </c>
      <c r="S781" s="316">
        <f t="shared" ca="1" si="136"/>
        <v>18</v>
      </c>
      <c r="T781" s="720" t="str">
        <f>商办车库!H890</f>
        <v>车位</v>
      </c>
    </row>
    <row r="782" spans="1:20">
      <c r="A782" s="3539" t="str">
        <f>商办车库!E891</f>
        <v>B2416</v>
      </c>
      <c r="B782" s="54">
        <f>商办车库!F891</f>
        <v>40.43</v>
      </c>
      <c r="C782" s="21">
        <f t="shared" si="127"/>
        <v>1</v>
      </c>
      <c r="D782" s="662"/>
      <c r="E782" s="21">
        <f t="shared" si="128"/>
        <v>1</v>
      </c>
      <c r="F782" s="662"/>
      <c r="G782" s="21">
        <f t="shared" si="129"/>
        <v>1</v>
      </c>
      <c r="H782" s="662"/>
      <c r="I782" s="21">
        <f t="shared" si="130"/>
        <v>1</v>
      </c>
      <c r="J782" s="662"/>
      <c r="K782" s="21">
        <f t="shared" si="131"/>
        <v>1</v>
      </c>
      <c r="L782" s="662"/>
      <c r="M782" s="21">
        <f t="shared" si="132"/>
        <v>1</v>
      </c>
      <c r="N782" s="662"/>
      <c r="O782" s="21">
        <f t="shared" si="133"/>
        <v>1</v>
      </c>
      <c r="P782" s="662">
        <v>-2</v>
      </c>
      <c r="Q782" s="21">
        <f t="shared" si="134"/>
        <v>0.95</v>
      </c>
      <c r="R782" s="659">
        <f t="shared" ca="1" si="135"/>
        <v>4429</v>
      </c>
      <c r="S782" s="316">
        <f t="shared" ca="1" si="136"/>
        <v>18</v>
      </c>
      <c r="T782" s="720" t="str">
        <f>商办车库!H891</f>
        <v>车位</v>
      </c>
    </row>
    <row r="783" spans="1:20">
      <c r="A783" s="3539" t="str">
        <f>商办车库!E892</f>
        <v>B2417</v>
      </c>
      <c r="B783" s="54">
        <f>商办车库!F892</f>
        <v>40.43</v>
      </c>
      <c r="C783" s="21">
        <f t="shared" si="127"/>
        <v>1</v>
      </c>
      <c r="D783" s="662"/>
      <c r="E783" s="21">
        <f t="shared" si="128"/>
        <v>1</v>
      </c>
      <c r="F783" s="662"/>
      <c r="G783" s="21">
        <f t="shared" si="129"/>
        <v>1</v>
      </c>
      <c r="H783" s="662"/>
      <c r="I783" s="21">
        <f t="shared" si="130"/>
        <v>1</v>
      </c>
      <c r="J783" s="662"/>
      <c r="K783" s="21">
        <f t="shared" si="131"/>
        <v>1</v>
      </c>
      <c r="L783" s="662"/>
      <c r="M783" s="21">
        <f t="shared" si="132"/>
        <v>1</v>
      </c>
      <c r="N783" s="662"/>
      <c r="O783" s="21">
        <f t="shared" si="133"/>
        <v>1</v>
      </c>
      <c r="P783" s="662">
        <v>-2</v>
      </c>
      <c r="Q783" s="21">
        <f t="shared" si="134"/>
        <v>0.95</v>
      </c>
      <c r="R783" s="659">
        <f t="shared" ca="1" si="135"/>
        <v>4429</v>
      </c>
      <c r="S783" s="316">
        <f t="shared" ca="1" si="136"/>
        <v>18</v>
      </c>
      <c r="T783" s="720" t="str">
        <f>商办车库!H892</f>
        <v>车位</v>
      </c>
    </row>
    <row r="784" spans="1:20">
      <c r="A784" s="3539" t="str">
        <f>商办车库!E893</f>
        <v>B2418</v>
      </c>
      <c r="B784" s="54">
        <f>商办车库!F893</f>
        <v>40.43</v>
      </c>
      <c r="C784" s="21">
        <f t="shared" si="127"/>
        <v>1</v>
      </c>
      <c r="D784" s="662"/>
      <c r="E784" s="21">
        <f t="shared" si="128"/>
        <v>1</v>
      </c>
      <c r="F784" s="662"/>
      <c r="G784" s="21">
        <f t="shared" si="129"/>
        <v>1</v>
      </c>
      <c r="H784" s="662"/>
      <c r="I784" s="21">
        <f t="shared" si="130"/>
        <v>1</v>
      </c>
      <c r="J784" s="662"/>
      <c r="K784" s="21">
        <f t="shared" si="131"/>
        <v>1</v>
      </c>
      <c r="L784" s="662"/>
      <c r="M784" s="21">
        <f t="shared" si="132"/>
        <v>1</v>
      </c>
      <c r="N784" s="662"/>
      <c r="O784" s="21">
        <f t="shared" si="133"/>
        <v>1</v>
      </c>
      <c r="P784" s="662">
        <v>-2</v>
      </c>
      <c r="Q784" s="21">
        <f t="shared" si="134"/>
        <v>0.95</v>
      </c>
      <c r="R784" s="659">
        <f t="shared" ca="1" si="135"/>
        <v>4429</v>
      </c>
      <c r="S784" s="316">
        <f t="shared" ca="1" si="136"/>
        <v>18</v>
      </c>
      <c r="T784" s="720" t="str">
        <f>商办车库!H893</f>
        <v>车位</v>
      </c>
    </row>
    <row r="785" spans="1:20">
      <c r="A785" s="3539" t="str">
        <f>商办车库!E894</f>
        <v>B2419</v>
      </c>
      <c r="B785" s="54">
        <f>商办车库!F894</f>
        <v>40.43</v>
      </c>
      <c r="C785" s="21">
        <f t="shared" si="127"/>
        <v>1</v>
      </c>
      <c r="D785" s="662"/>
      <c r="E785" s="21">
        <f t="shared" si="128"/>
        <v>1</v>
      </c>
      <c r="F785" s="662"/>
      <c r="G785" s="21">
        <f t="shared" si="129"/>
        <v>1</v>
      </c>
      <c r="H785" s="662"/>
      <c r="I785" s="21">
        <f t="shared" si="130"/>
        <v>1</v>
      </c>
      <c r="J785" s="662"/>
      <c r="K785" s="21">
        <f t="shared" si="131"/>
        <v>1</v>
      </c>
      <c r="L785" s="662"/>
      <c r="M785" s="21">
        <f t="shared" si="132"/>
        <v>1</v>
      </c>
      <c r="N785" s="662"/>
      <c r="O785" s="21">
        <f t="shared" si="133"/>
        <v>1</v>
      </c>
      <c r="P785" s="662">
        <v>-2</v>
      </c>
      <c r="Q785" s="21">
        <f t="shared" si="134"/>
        <v>0.95</v>
      </c>
      <c r="R785" s="659">
        <f t="shared" ca="1" si="135"/>
        <v>4429</v>
      </c>
      <c r="S785" s="316">
        <f t="shared" ca="1" si="136"/>
        <v>18</v>
      </c>
      <c r="T785" s="720" t="str">
        <f>商办车库!H894</f>
        <v>车位</v>
      </c>
    </row>
    <row r="786" spans="1:20">
      <c r="A786" s="3539" t="str">
        <f>商办车库!E895</f>
        <v>B2420</v>
      </c>
      <c r="B786" s="54">
        <f>商办车库!F895</f>
        <v>40.43</v>
      </c>
      <c r="C786" s="21">
        <f t="shared" si="127"/>
        <v>1</v>
      </c>
      <c r="D786" s="662"/>
      <c r="E786" s="21">
        <f t="shared" si="128"/>
        <v>1</v>
      </c>
      <c r="F786" s="662"/>
      <c r="G786" s="21">
        <f t="shared" si="129"/>
        <v>1</v>
      </c>
      <c r="H786" s="662"/>
      <c r="I786" s="21">
        <f t="shared" si="130"/>
        <v>1</v>
      </c>
      <c r="J786" s="662"/>
      <c r="K786" s="21">
        <f t="shared" si="131"/>
        <v>1</v>
      </c>
      <c r="L786" s="662"/>
      <c r="M786" s="21">
        <f t="shared" si="132"/>
        <v>1</v>
      </c>
      <c r="N786" s="662"/>
      <c r="O786" s="21">
        <f t="shared" si="133"/>
        <v>1</v>
      </c>
      <c r="P786" s="662">
        <v>-2</v>
      </c>
      <c r="Q786" s="21">
        <f t="shared" si="134"/>
        <v>0.95</v>
      </c>
      <c r="R786" s="659">
        <f t="shared" ca="1" si="135"/>
        <v>4429</v>
      </c>
      <c r="S786" s="316">
        <f t="shared" ca="1" si="136"/>
        <v>18</v>
      </c>
      <c r="T786" s="720" t="str">
        <f>商办车库!H895</f>
        <v>车位</v>
      </c>
    </row>
    <row r="787" spans="1:20">
      <c r="A787" s="3539" t="str">
        <f>商办车库!E896</f>
        <v>B2421</v>
      </c>
      <c r="B787" s="54">
        <f>商办车库!F896</f>
        <v>40.43</v>
      </c>
      <c r="C787" s="21">
        <f t="shared" si="127"/>
        <v>1</v>
      </c>
      <c r="D787" s="662"/>
      <c r="E787" s="21">
        <f t="shared" si="128"/>
        <v>1</v>
      </c>
      <c r="F787" s="662"/>
      <c r="G787" s="21">
        <f t="shared" si="129"/>
        <v>1</v>
      </c>
      <c r="H787" s="662"/>
      <c r="I787" s="21">
        <f t="shared" si="130"/>
        <v>1</v>
      </c>
      <c r="J787" s="662"/>
      <c r="K787" s="21">
        <f t="shared" si="131"/>
        <v>1</v>
      </c>
      <c r="L787" s="662"/>
      <c r="M787" s="21">
        <f t="shared" si="132"/>
        <v>1</v>
      </c>
      <c r="N787" s="662"/>
      <c r="O787" s="21">
        <f t="shared" si="133"/>
        <v>1</v>
      </c>
      <c r="P787" s="662">
        <v>-2</v>
      </c>
      <c r="Q787" s="21">
        <f t="shared" si="134"/>
        <v>0.95</v>
      </c>
      <c r="R787" s="659">
        <f t="shared" ca="1" si="135"/>
        <v>4429</v>
      </c>
      <c r="S787" s="316">
        <f t="shared" ca="1" si="136"/>
        <v>18</v>
      </c>
      <c r="T787" s="720" t="str">
        <f>商办车库!H896</f>
        <v>车位</v>
      </c>
    </row>
    <row r="788" spans="1:20">
      <c r="A788" s="3539" t="str">
        <f>商办车库!E897</f>
        <v>B2422</v>
      </c>
      <c r="B788" s="54">
        <f>商办车库!F897</f>
        <v>40.43</v>
      </c>
      <c r="C788" s="21">
        <f t="shared" si="127"/>
        <v>1</v>
      </c>
      <c r="D788" s="662"/>
      <c r="E788" s="21">
        <f t="shared" si="128"/>
        <v>1</v>
      </c>
      <c r="F788" s="662"/>
      <c r="G788" s="21">
        <f t="shared" si="129"/>
        <v>1</v>
      </c>
      <c r="H788" s="662"/>
      <c r="I788" s="21">
        <f t="shared" si="130"/>
        <v>1</v>
      </c>
      <c r="J788" s="662"/>
      <c r="K788" s="21">
        <f t="shared" si="131"/>
        <v>1</v>
      </c>
      <c r="L788" s="662"/>
      <c r="M788" s="21">
        <f t="shared" si="132"/>
        <v>1</v>
      </c>
      <c r="N788" s="662"/>
      <c r="O788" s="21">
        <f t="shared" si="133"/>
        <v>1</v>
      </c>
      <c r="P788" s="662">
        <v>-2</v>
      </c>
      <c r="Q788" s="21">
        <f t="shared" si="134"/>
        <v>0.95</v>
      </c>
      <c r="R788" s="659">
        <f t="shared" ca="1" si="135"/>
        <v>4429</v>
      </c>
      <c r="S788" s="316">
        <f t="shared" ca="1" si="136"/>
        <v>18</v>
      </c>
      <c r="T788" s="720" t="str">
        <f>商办车库!H897</f>
        <v>车位</v>
      </c>
    </row>
    <row r="789" spans="1:20">
      <c r="A789" s="3539" t="str">
        <f>商办车库!E898</f>
        <v>B2423</v>
      </c>
      <c r="B789" s="54">
        <f>商办车库!F898</f>
        <v>40.43</v>
      </c>
      <c r="C789" s="21">
        <f t="shared" si="127"/>
        <v>1</v>
      </c>
      <c r="D789" s="662"/>
      <c r="E789" s="21">
        <f t="shared" si="128"/>
        <v>1</v>
      </c>
      <c r="F789" s="662"/>
      <c r="G789" s="21">
        <f t="shared" si="129"/>
        <v>1</v>
      </c>
      <c r="H789" s="662"/>
      <c r="I789" s="21">
        <f t="shared" si="130"/>
        <v>1</v>
      </c>
      <c r="J789" s="662"/>
      <c r="K789" s="21">
        <f t="shared" si="131"/>
        <v>1</v>
      </c>
      <c r="L789" s="662"/>
      <c r="M789" s="21">
        <f t="shared" si="132"/>
        <v>1</v>
      </c>
      <c r="N789" s="662"/>
      <c r="O789" s="21">
        <f t="shared" si="133"/>
        <v>1</v>
      </c>
      <c r="P789" s="662">
        <v>-2</v>
      </c>
      <c r="Q789" s="21">
        <f t="shared" si="134"/>
        <v>0.95</v>
      </c>
      <c r="R789" s="659">
        <f t="shared" ca="1" si="135"/>
        <v>4429</v>
      </c>
      <c r="S789" s="316">
        <f t="shared" ca="1" si="136"/>
        <v>18</v>
      </c>
      <c r="T789" s="720" t="str">
        <f>商办车库!H898</f>
        <v>车位</v>
      </c>
    </row>
    <row r="790" spans="1:20">
      <c r="A790" s="3539" t="str">
        <f>商办车库!E899</f>
        <v>B2424</v>
      </c>
      <c r="B790" s="54">
        <f>商办车库!F899</f>
        <v>40.43</v>
      </c>
      <c r="C790" s="21">
        <f t="shared" si="127"/>
        <v>1</v>
      </c>
      <c r="D790" s="662"/>
      <c r="E790" s="21">
        <f t="shared" si="128"/>
        <v>1</v>
      </c>
      <c r="F790" s="662"/>
      <c r="G790" s="21">
        <f t="shared" si="129"/>
        <v>1</v>
      </c>
      <c r="H790" s="662"/>
      <c r="I790" s="21">
        <f t="shared" si="130"/>
        <v>1</v>
      </c>
      <c r="J790" s="662"/>
      <c r="K790" s="21">
        <f t="shared" si="131"/>
        <v>1</v>
      </c>
      <c r="L790" s="662"/>
      <c r="M790" s="21">
        <f t="shared" si="132"/>
        <v>1</v>
      </c>
      <c r="N790" s="662"/>
      <c r="O790" s="21">
        <f t="shared" si="133"/>
        <v>1</v>
      </c>
      <c r="P790" s="662">
        <v>-2</v>
      </c>
      <c r="Q790" s="21">
        <f t="shared" si="134"/>
        <v>0.95</v>
      </c>
      <c r="R790" s="659">
        <f t="shared" ca="1" si="135"/>
        <v>4429</v>
      </c>
      <c r="S790" s="316">
        <f t="shared" ca="1" si="136"/>
        <v>18</v>
      </c>
      <c r="T790" s="720" t="str">
        <f>商办车库!H899</f>
        <v>车位</v>
      </c>
    </row>
    <row r="791" spans="1:20">
      <c r="A791" s="3539" t="str">
        <f>商办车库!E900</f>
        <v>B2425</v>
      </c>
      <c r="B791" s="54">
        <f>商办车库!F900</f>
        <v>68.27</v>
      </c>
      <c r="C791" s="21">
        <f t="shared" si="127"/>
        <v>1.01</v>
      </c>
      <c r="D791" s="662"/>
      <c r="E791" s="21">
        <f t="shared" si="128"/>
        <v>1</v>
      </c>
      <c r="F791" s="662"/>
      <c r="G791" s="21">
        <f t="shared" si="129"/>
        <v>1</v>
      </c>
      <c r="H791" s="662"/>
      <c r="I791" s="21">
        <f t="shared" si="130"/>
        <v>1</v>
      </c>
      <c r="J791" s="662"/>
      <c r="K791" s="21">
        <f t="shared" si="131"/>
        <v>1</v>
      </c>
      <c r="L791" s="662"/>
      <c r="M791" s="21">
        <f t="shared" si="132"/>
        <v>1</v>
      </c>
      <c r="N791" s="662"/>
      <c r="O791" s="21">
        <f t="shared" si="133"/>
        <v>1</v>
      </c>
      <c r="P791" s="662">
        <v>-2</v>
      </c>
      <c r="Q791" s="21">
        <f t="shared" si="134"/>
        <v>0.95</v>
      </c>
      <c r="R791" s="659">
        <f t="shared" ca="1" si="135"/>
        <v>4473</v>
      </c>
      <c r="S791" s="316">
        <f t="shared" ca="1" si="136"/>
        <v>31</v>
      </c>
      <c r="T791" s="720" t="str">
        <f>商办车库!H900</f>
        <v>车位</v>
      </c>
    </row>
    <row r="792" spans="1:20">
      <c r="A792" s="3539" t="str">
        <f>商办车库!E901</f>
        <v>B2426</v>
      </c>
      <c r="B792" s="54">
        <f>商办车库!F901</f>
        <v>40.43</v>
      </c>
      <c r="C792" s="21">
        <f t="shared" si="127"/>
        <v>1</v>
      </c>
      <c r="D792" s="662"/>
      <c r="E792" s="21">
        <f t="shared" si="128"/>
        <v>1</v>
      </c>
      <c r="F792" s="662"/>
      <c r="G792" s="21">
        <f t="shared" si="129"/>
        <v>1</v>
      </c>
      <c r="H792" s="662"/>
      <c r="I792" s="21">
        <f t="shared" si="130"/>
        <v>1</v>
      </c>
      <c r="J792" s="662"/>
      <c r="K792" s="21">
        <f t="shared" si="131"/>
        <v>1</v>
      </c>
      <c r="L792" s="662"/>
      <c r="M792" s="21">
        <f t="shared" si="132"/>
        <v>1</v>
      </c>
      <c r="N792" s="662"/>
      <c r="O792" s="21">
        <f t="shared" si="133"/>
        <v>1</v>
      </c>
      <c r="P792" s="662">
        <v>-2</v>
      </c>
      <c r="Q792" s="21">
        <f t="shared" si="134"/>
        <v>0.95</v>
      </c>
      <c r="R792" s="659">
        <f t="shared" ca="1" si="135"/>
        <v>4429</v>
      </c>
      <c r="S792" s="316">
        <f t="shared" ca="1" si="136"/>
        <v>18</v>
      </c>
      <c r="T792" s="720" t="str">
        <f>商办车库!H901</f>
        <v>车位</v>
      </c>
    </row>
    <row r="793" spans="1:20">
      <c r="A793" s="3539" t="str">
        <f>商办车库!E902</f>
        <v>B2427</v>
      </c>
      <c r="B793" s="54">
        <f>商办车库!F902</f>
        <v>40.43</v>
      </c>
      <c r="C793" s="21">
        <f t="shared" si="127"/>
        <v>1</v>
      </c>
      <c r="D793" s="662"/>
      <c r="E793" s="21">
        <f t="shared" si="128"/>
        <v>1</v>
      </c>
      <c r="F793" s="662"/>
      <c r="G793" s="21">
        <f t="shared" si="129"/>
        <v>1</v>
      </c>
      <c r="H793" s="662"/>
      <c r="I793" s="21">
        <f t="shared" si="130"/>
        <v>1</v>
      </c>
      <c r="J793" s="662"/>
      <c r="K793" s="21">
        <f t="shared" si="131"/>
        <v>1</v>
      </c>
      <c r="L793" s="662"/>
      <c r="M793" s="21">
        <f t="shared" si="132"/>
        <v>1</v>
      </c>
      <c r="N793" s="662"/>
      <c r="O793" s="21">
        <f t="shared" si="133"/>
        <v>1</v>
      </c>
      <c r="P793" s="662">
        <v>-2</v>
      </c>
      <c r="Q793" s="21">
        <f t="shared" si="134"/>
        <v>0.95</v>
      </c>
      <c r="R793" s="659">
        <f t="shared" ca="1" si="135"/>
        <v>4429</v>
      </c>
      <c r="S793" s="316">
        <f t="shared" ca="1" si="136"/>
        <v>18</v>
      </c>
      <c r="T793" s="720" t="str">
        <f>商办车库!H902</f>
        <v>车位</v>
      </c>
    </row>
    <row r="794" spans="1:20">
      <c r="A794" s="3539" t="str">
        <f>商办车库!E903</f>
        <v>B2428</v>
      </c>
      <c r="B794" s="54">
        <f>商办车库!F903</f>
        <v>40.43</v>
      </c>
      <c r="C794" s="21">
        <f t="shared" si="127"/>
        <v>1</v>
      </c>
      <c r="D794" s="662"/>
      <c r="E794" s="21">
        <f t="shared" si="128"/>
        <v>1</v>
      </c>
      <c r="F794" s="662"/>
      <c r="G794" s="21">
        <f t="shared" si="129"/>
        <v>1</v>
      </c>
      <c r="H794" s="662"/>
      <c r="I794" s="21">
        <f t="shared" si="130"/>
        <v>1</v>
      </c>
      <c r="J794" s="662"/>
      <c r="K794" s="21">
        <f t="shared" si="131"/>
        <v>1</v>
      </c>
      <c r="L794" s="662"/>
      <c r="M794" s="21">
        <f t="shared" si="132"/>
        <v>1</v>
      </c>
      <c r="N794" s="662"/>
      <c r="O794" s="21">
        <f t="shared" si="133"/>
        <v>1</v>
      </c>
      <c r="P794" s="662">
        <v>-2</v>
      </c>
      <c r="Q794" s="21">
        <f t="shared" si="134"/>
        <v>0.95</v>
      </c>
      <c r="R794" s="659">
        <f t="shared" ca="1" si="135"/>
        <v>4429</v>
      </c>
      <c r="S794" s="316">
        <f t="shared" ca="1" si="136"/>
        <v>18</v>
      </c>
      <c r="T794" s="720" t="str">
        <f>商办车库!H903</f>
        <v>车位</v>
      </c>
    </row>
    <row r="795" spans="1:20">
      <c r="A795" s="3539" t="str">
        <f>商办车库!E904</f>
        <v>B2429</v>
      </c>
      <c r="B795" s="54">
        <f>商办车库!F904</f>
        <v>40.43</v>
      </c>
      <c r="C795" s="21">
        <f t="shared" si="127"/>
        <v>1</v>
      </c>
      <c r="D795" s="662"/>
      <c r="E795" s="21">
        <f t="shared" si="128"/>
        <v>1</v>
      </c>
      <c r="F795" s="662"/>
      <c r="G795" s="21">
        <f t="shared" si="129"/>
        <v>1</v>
      </c>
      <c r="H795" s="662"/>
      <c r="I795" s="21">
        <f t="shared" si="130"/>
        <v>1</v>
      </c>
      <c r="J795" s="662"/>
      <c r="K795" s="21">
        <f t="shared" si="131"/>
        <v>1</v>
      </c>
      <c r="L795" s="662"/>
      <c r="M795" s="21">
        <f t="shared" si="132"/>
        <v>1</v>
      </c>
      <c r="N795" s="662"/>
      <c r="O795" s="21">
        <f t="shared" si="133"/>
        <v>1</v>
      </c>
      <c r="P795" s="662">
        <v>-2</v>
      </c>
      <c r="Q795" s="21">
        <f t="shared" si="134"/>
        <v>0.95</v>
      </c>
      <c r="R795" s="659">
        <f t="shared" ca="1" si="135"/>
        <v>4429</v>
      </c>
      <c r="S795" s="316">
        <f t="shared" ca="1" si="136"/>
        <v>18</v>
      </c>
      <c r="T795" s="720" t="str">
        <f>商办车库!H904</f>
        <v>车位</v>
      </c>
    </row>
    <row r="796" spans="1:20">
      <c r="A796" s="3539" t="str">
        <f>商办车库!E905</f>
        <v>B2430</v>
      </c>
      <c r="B796" s="54">
        <f>商办车库!F905</f>
        <v>40.43</v>
      </c>
      <c r="C796" s="21">
        <f t="shared" si="127"/>
        <v>1</v>
      </c>
      <c r="D796" s="662"/>
      <c r="E796" s="21">
        <f t="shared" si="128"/>
        <v>1</v>
      </c>
      <c r="F796" s="662"/>
      <c r="G796" s="21">
        <f t="shared" si="129"/>
        <v>1</v>
      </c>
      <c r="H796" s="662"/>
      <c r="I796" s="21">
        <f t="shared" si="130"/>
        <v>1</v>
      </c>
      <c r="J796" s="662"/>
      <c r="K796" s="21">
        <f t="shared" si="131"/>
        <v>1</v>
      </c>
      <c r="L796" s="662"/>
      <c r="M796" s="21">
        <f t="shared" si="132"/>
        <v>1</v>
      </c>
      <c r="N796" s="662"/>
      <c r="O796" s="21">
        <f t="shared" si="133"/>
        <v>1</v>
      </c>
      <c r="P796" s="662">
        <v>-2</v>
      </c>
      <c r="Q796" s="21">
        <f t="shared" si="134"/>
        <v>0.95</v>
      </c>
      <c r="R796" s="659">
        <f t="shared" ca="1" si="135"/>
        <v>4429</v>
      </c>
      <c r="S796" s="316">
        <f t="shared" ca="1" si="136"/>
        <v>18</v>
      </c>
      <c r="T796" s="720" t="str">
        <f>商办车库!H905</f>
        <v>车位</v>
      </c>
    </row>
    <row r="797" spans="1:20">
      <c r="A797" s="3539" t="str">
        <f>商办车库!E906</f>
        <v>B2431</v>
      </c>
      <c r="B797" s="54">
        <f>商办车库!F906</f>
        <v>40.43</v>
      </c>
      <c r="C797" s="21">
        <f t="shared" si="127"/>
        <v>1</v>
      </c>
      <c r="D797" s="662"/>
      <c r="E797" s="21">
        <f t="shared" si="128"/>
        <v>1</v>
      </c>
      <c r="F797" s="662"/>
      <c r="G797" s="21">
        <f t="shared" si="129"/>
        <v>1</v>
      </c>
      <c r="H797" s="662"/>
      <c r="I797" s="21">
        <f t="shared" si="130"/>
        <v>1</v>
      </c>
      <c r="J797" s="662"/>
      <c r="K797" s="21">
        <f t="shared" si="131"/>
        <v>1</v>
      </c>
      <c r="L797" s="662"/>
      <c r="M797" s="21">
        <f t="shared" si="132"/>
        <v>1</v>
      </c>
      <c r="N797" s="662"/>
      <c r="O797" s="21">
        <f t="shared" si="133"/>
        <v>1</v>
      </c>
      <c r="P797" s="662">
        <v>-2</v>
      </c>
      <c r="Q797" s="21">
        <f t="shared" si="134"/>
        <v>0.95</v>
      </c>
      <c r="R797" s="659">
        <f t="shared" ca="1" si="135"/>
        <v>4429</v>
      </c>
      <c r="S797" s="316">
        <f t="shared" ca="1" si="136"/>
        <v>18</v>
      </c>
      <c r="T797" s="720" t="str">
        <f>商办车库!H906</f>
        <v>车位</v>
      </c>
    </row>
    <row r="798" spans="1:20">
      <c r="A798" s="3539" t="str">
        <f>商办车库!E907</f>
        <v>B2432</v>
      </c>
      <c r="B798" s="54">
        <f>商办车库!F907</f>
        <v>40.43</v>
      </c>
      <c r="C798" s="21">
        <f t="shared" ref="C798:C857" si="137">IF(B798="",1,(LOOKUP(B798,$3:$3,$4:$4)-LOOKUP($B$24,$3:$3,$4:$4)+100)/100)</f>
        <v>1</v>
      </c>
      <c r="D798" s="662"/>
      <c r="E798" s="21">
        <f t="shared" ref="E798:E857" si="138">(SUMIF($5:$5,D798,$6:$6)-SUMIF($5:$5,$D$24,$6:$6)+100)/100</f>
        <v>1</v>
      </c>
      <c r="F798" s="662"/>
      <c r="G798" s="21">
        <f t="shared" ref="G798:G857" si="139">(SUMIF($7:$7,F798,$8:$8)-SUMIF($7:$7,$F$24,$8:$8)+100)/100</f>
        <v>1</v>
      </c>
      <c r="H798" s="662"/>
      <c r="I798" s="21">
        <f t="shared" ref="I798:I857" si="140">(SUMIF($9:$9,H798,$10:$10)-SUMIF($9:$9,$H$24,$10:$10)+100)/100</f>
        <v>1</v>
      </c>
      <c r="J798" s="662"/>
      <c r="K798" s="21">
        <f t="shared" ref="K798:K857" si="141">(SUMIF($11:$11,J798,$12:$12)-SUMIF($11:$11,$J$24,$12:$12)+100)/100</f>
        <v>1</v>
      </c>
      <c r="L798" s="662"/>
      <c r="M798" s="21">
        <f t="shared" ref="M798:M857" si="142">(SUMIF($13:$13,L798,$14:$14)-SUMIF($13:$13,$L$24,$14:$14)+100)/100</f>
        <v>1</v>
      </c>
      <c r="N798" s="662"/>
      <c r="O798" s="21">
        <f t="shared" ref="O798:O857" si="143">(SUMIF($15:$15,N798,$16:$16)-SUMIF($15:$15,$N$24,$16:$16)+100)/100</f>
        <v>1</v>
      </c>
      <c r="P798" s="662">
        <v>-2</v>
      </c>
      <c r="Q798" s="21">
        <f t="shared" ref="Q798:Q857" si="144">(SUMIF($17:$17,P798,$18:$18)-SUMIF($17:$17,$P$24,$18:$18)+100)/100</f>
        <v>0.95</v>
      </c>
      <c r="R798" s="659">
        <f t="shared" ref="R798:R857" ca="1" si="145">IF(B798="",0,ROUND($R$24*C798*E798*G798*I798*K798*M798*O798*Q798,0))</f>
        <v>4429</v>
      </c>
      <c r="S798" s="316">
        <f t="shared" ref="S798:S857" ca="1" si="146">ROUND(R798*B798/10000,0)</f>
        <v>18</v>
      </c>
      <c r="T798" s="720" t="str">
        <f>商办车库!H907</f>
        <v>车位</v>
      </c>
    </row>
    <row r="799" spans="1:20">
      <c r="A799" s="3539" t="str">
        <f>商办车库!E908</f>
        <v>B2433</v>
      </c>
      <c r="B799" s="54">
        <f>商办车库!F908</f>
        <v>40.43</v>
      </c>
      <c r="C799" s="21">
        <f t="shared" si="137"/>
        <v>1</v>
      </c>
      <c r="D799" s="662"/>
      <c r="E799" s="21">
        <f t="shared" si="138"/>
        <v>1</v>
      </c>
      <c r="F799" s="662"/>
      <c r="G799" s="21">
        <f t="shared" si="139"/>
        <v>1</v>
      </c>
      <c r="H799" s="662"/>
      <c r="I799" s="21">
        <f t="shared" si="140"/>
        <v>1</v>
      </c>
      <c r="J799" s="662"/>
      <c r="K799" s="21">
        <f t="shared" si="141"/>
        <v>1</v>
      </c>
      <c r="L799" s="662"/>
      <c r="M799" s="21">
        <f t="shared" si="142"/>
        <v>1</v>
      </c>
      <c r="N799" s="662"/>
      <c r="O799" s="21">
        <f t="shared" si="143"/>
        <v>1</v>
      </c>
      <c r="P799" s="662">
        <v>-2</v>
      </c>
      <c r="Q799" s="21">
        <f t="shared" si="144"/>
        <v>0.95</v>
      </c>
      <c r="R799" s="659">
        <f t="shared" ca="1" si="145"/>
        <v>4429</v>
      </c>
      <c r="S799" s="316">
        <f t="shared" ca="1" si="146"/>
        <v>18</v>
      </c>
      <c r="T799" s="720" t="str">
        <f>商办车库!H908</f>
        <v>车位</v>
      </c>
    </row>
    <row r="800" spans="1:20">
      <c r="A800" s="3539" t="str">
        <f>商办车库!E909</f>
        <v>B2434</v>
      </c>
      <c r="B800" s="54">
        <f>商办车库!F909</f>
        <v>40.43</v>
      </c>
      <c r="C800" s="21">
        <f t="shared" si="137"/>
        <v>1</v>
      </c>
      <c r="D800" s="662"/>
      <c r="E800" s="21">
        <f t="shared" si="138"/>
        <v>1</v>
      </c>
      <c r="F800" s="662"/>
      <c r="G800" s="21">
        <f t="shared" si="139"/>
        <v>1</v>
      </c>
      <c r="H800" s="662"/>
      <c r="I800" s="21">
        <f t="shared" si="140"/>
        <v>1</v>
      </c>
      <c r="J800" s="662"/>
      <c r="K800" s="21">
        <f t="shared" si="141"/>
        <v>1</v>
      </c>
      <c r="L800" s="662"/>
      <c r="M800" s="21">
        <f t="shared" si="142"/>
        <v>1</v>
      </c>
      <c r="N800" s="662"/>
      <c r="O800" s="21">
        <f t="shared" si="143"/>
        <v>1</v>
      </c>
      <c r="P800" s="662">
        <v>-2</v>
      </c>
      <c r="Q800" s="21">
        <f t="shared" si="144"/>
        <v>0.95</v>
      </c>
      <c r="R800" s="659">
        <f t="shared" ca="1" si="145"/>
        <v>4429</v>
      </c>
      <c r="S800" s="316">
        <f t="shared" ca="1" si="146"/>
        <v>18</v>
      </c>
      <c r="T800" s="720" t="str">
        <f>商办车库!H909</f>
        <v>车位</v>
      </c>
    </row>
    <row r="801" spans="1:20">
      <c r="A801" s="3539" t="str">
        <f>商办车库!E910</f>
        <v>B2435</v>
      </c>
      <c r="B801" s="54">
        <f>商办车库!F910</f>
        <v>40.43</v>
      </c>
      <c r="C801" s="21">
        <f t="shared" si="137"/>
        <v>1</v>
      </c>
      <c r="D801" s="662"/>
      <c r="E801" s="21">
        <f t="shared" si="138"/>
        <v>1</v>
      </c>
      <c r="F801" s="662"/>
      <c r="G801" s="21">
        <f t="shared" si="139"/>
        <v>1</v>
      </c>
      <c r="H801" s="662"/>
      <c r="I801" s="21">
        <f t="shared" si="140"/>
        <v>1</v>
      </c>
      <c r="J801" s="662"/>
      <c r="K801" s="21">
        <f t="shared" si="141"/>
        <v>1</v>
      </c>
      <c r="L801" s="662"/>
      <c r="M801" s="21">
        <f t="shared" si="142"/>
        <v>1</v>
      </c>
      <c r="N801" s="662"/>
      <c r="O801" s="21">
        <f t="shared" si="143"/>
        <v>1</v>
      </c>
      <c r="P801" s="662">
        <v>-2</v>
      </c>
      <c r="Q801" s="21">
        <f t="shared" si="144"/>
        <v>0.95</v>
      </c>
      <c r="R801" s="659">
        <f t="shared" ca="1" si="145"/>
        <v>4429</v>
      </c>
      <c r="S801" s="316">
        <f t="shared" ca="1" si="146"/>
        <v>18</v>
      </c>
      <c r="T801" s="720" t="str">
        <f>商办车库!H910</f>
        <v>车位</v>
      </c>
    </row>
    <row r="802" spans="1:20">
      <c r="A802" s="3539" t="str">
        <f>商办车库!E911</f>
        <v>B2436</v>
      </c>
      <c r="B802" s="54">
        <f>商办车库!F911</f>
        <v>40.43</v>
      </c>
      <c r="C802" s="21">
        <f t="shared" si="137"/>
        <v>1</v>
      </c>
      <c r="D802" s="662"/>
      <c r="E802" s="21">
        <f t="shared" si="138"/>
        <v>1</v>
      </c>
      <c r="F802" s="662"/>
      <c r="G802" s="21">
        <f t="shared" si="139"/>
        <v>1</v>
      </c>
      <c r="H802" s="662"/>
      <c r="I802" s="21">
        <f t="shared" si="140"/>
        <v>1</v>
      </c>
      <c r="J802" s="662"/>
      <c r="K802" s="21">
        <f t="shared" si="141"/>
        <v>1</v>
      </c>
      <c r="L802" s="662"/>
      <c r="M802" s="21">
        <f t="shared" si="142"/>
        <v>1</v>
      </c>
      <c r="N802" s="662"/>
      <c r="O802" s="21">
        <f t="shared" si="143"/>
        <v>1</v>
      </c>
      <c r="P802" s="662">
        <v>-2</v>
      </c>
      <c r="Q802" s="21">
        <f t="shared" si="144"/>
        <v>0.95</v>
      </c>
      <c r="R802" s="659">
        <f t="shared" ca="1" si="145"/>
        <v>4429</v>
      </c>
      <c r="S802" s="316">
        <f t="shared" ca="1" si="146"/>
        <v>18</v>
      </c>
      <c r="T802" s="720" t="str">
        <f>商办车库!H911</f>
        <v>车位</v>
      </c>
    </row>
    <row r="803" spans="1:20">
      <c r="A803" s="3539" t="str">
        <f>商办车库!E912</f>
        <v>B2437</v>
      </c>
      <c r="B803" s="54">
        <f>商办车库!F912</f>
        <v>40.43</v>
      </c>
      <c r="C803" s="21">
        <f t="shared" si="137"/>
        <v>1</v>
      </c>
      <c r="D803" s="662"/>
      <c r="E803" s="21">
        <f t="shared" si="138"/>
        <v>1</v>
      </c>
      <c r="F803" s="662"/>
      <c r="G803" s="21">
        <f t="shared" si="139"/>
        <v>1</v>
      </c>
      <c r="H803" s="662"/>
      <c r="I803" s="21">
        <f t="shared" si="140"/>
        <v>1</v>
      </c>
      <c r="J803" s="662"/>
      <c r="K803" s="21">
        <f t="shared" si="141"/>
        <v>1</v>
      </c>
      <c r="L803" s="662"/>
      <c r="M803" s="21">
        <f t="shared" si="142"/>
        <v>1</v>
      </c>
      <c r="N803" s="662"/>
      <c r="O803" s="21">
        <f t="shared" si="143"/>
        <v>1</v>
      </c>
      <c r="P803" s="662">
        <v>-2</v>
      </c>
      <c r="Q803" s="21">
        <f t="shared" si="144"/>
        <v>0.95</v>
      </c>
      <c r="R803" s="659">
        <f t="shared" ca="1" si="145"/>
        <v>4429</v>
      </c>
      <c r="S803" s="316">
        <f t="shared" ca="1" si="146"/>
        <v>18</v>
      </c>
      <c r="T803" s="720" t="str">
        <f>商办车库!H912</f>
        <v>车位</v>
      </c>
    </row>
    <row r="804" spans="1:20">
      <c r="A804" s="3539" t="str">
        <f>商办车库!E913</f>
        <v>B2438</v>
      </c>
      <c r="B804" s="54">
        <f>商办车库!F913</f>
        <v>40.43</v>
      </c>
      <c r="C804" s="21">
        <f t="shared" si="137"/>
        <v>1</v>
      </c>
      <c r="D804" s="662"/>
      <c r="E804" s="21">
        <f t="shared" si="138"/>
        <v>1</v>
      </c>
      <c r="F804" s="662"/>
      <c r="G804" s="21">
        <f t="shared" si="139"/>
        <v>1</v>
      </c>
      <c r="H804" s="662"/>
      <c r="I804" s="21">
        <f t="shared" si="140"/>
        <v>1</v>
      </c>
      <c r="J804" s="662"/>
      <c r="K804" s="21">
        <f t="shared" si="141"/>
        <v>1</v>
      </c>
      <c r="L804" s="662"/>
      <c r="M804" s="21">
        <f t="shared" si="142"/>
        <v>1</v>
      </c>
      <c r="N804" s="662"/>
      <c r="O804" s="21">
        <f t="shared" si="143"/>
        <v>1</v>
      </c>
      <c r="P804" s="662">
        <v>-2</v>
      </c>
      <c r="Q804" s="21">
        <f t="shared" si="144"/>
        <v>0.95</v>
      </c>
      <c r="R804" s="659">
        <f t="shared" ca="1" si="145"/>
        <v>4429</v>
      </c>
      <c r="S804" s="316">
        <f t="shared" ca="1" si="146"/>
        <v>18</v>
      </c>
      <c r="T804" s="720" t="str">
        <f>商办车库!H913</f>
        <v>车位</v>
      </c>
    </row>
    <row r="805" spans="1:20">
      <c r="A805" s="3539" t="str">
        <f>商办车库!E914</f>
        <v>B2439</v>
      </c>
      <c r="B805" s="54">
        <f>商办车库!F914</f>
        <v>40.43</v>
      </c>
      <c r="C805" s="21">
        <f t="shared" si="137"/>
        <v>1</v>
      </c>
      <c r="D805" s="662"/>
      <c r="E805" s="21">
        <f t="shared" si="138"/>
        <v>1</v>
      </c>
      <c r="F805" s="662"/>
      <c r="G805" s="21">
        <f t="shared" si="139"/>
        <v>1</v>
      </c>
      <c r="H805" s="662"/>
      <c r="I805" s="21">
        <f t="shared" si="140"/>
        <v>1</v>
      </c>
      <c r="J805" s="662"/>
      <c r="K805" s="21">
        <f t="shared" si="141"/>
        <v>1</v>
      </c>
      <c r="L805" s="662"/>
      <c r="M805" s="21">
        <f t="shared" si="142"/>
        <v>1</v>
      </c>
      <c r="N805" s="662"/>
      <c r="O805" s="21">
        <f t="shared" si="143"/>
        <v>1</v>
      </c>
      <c r="P805" s="662">
        <v>-2</v>
      </c>
      <c r="Q805" s="21">
        <f t="shared" si="144"/>
        <v>0.95</v>
      </c>
      <c r="R805" s="659">
        <f t="shared" ca="1" si="145"/>
        <v>4429</v>
      </c>
      <c r="S805" s="316">
        <f t="shared" ca="1" si="146"/>
        <v>18</v>
      </c>
      <c r="T805" s="720" t="str">
        <f>商办车库!H914</f>
        <v>车位</v>
      </c>
    </row>
    <row r="806" spans="1:20">
      <c r="A806" s="3539" t="str">
        <f>商办车库!E915</f>
        <v>B2440</v>
      </c>
      <c r="B806" s="54">
        <f>商办车库!F915</f>
        <v>40.43</v>
      </c>
      <c r="C806" s="21">
        <f t="shared" si="137"/>
        <v>1</v>
      </c>
      <c r="D806" s="662"/>
      <c r="E806" s="21">
        <f t="shared" si="138"/>
        <v>1</v>
      </c>
      <c r="F806" s="662"/>
      <c r="G806" s="21">
        <f t="shared" si="139"/>
        <v>1</v>
      </c>
      <c r="H806" s="662"/>
      <c r="I806" s="21">
        <f t="shared" si="140"/>
        <v>1</v>
      </c>
      <c r="J806" s="662"/>
      <c r="K806" s="21">
        <f t="shared" si="141"/>
        <v>1</v>
      </c>
      <c r="L806" s="662"/>
      <c r="M806" s="21">
        <f t="shared" si="142"/>
        <v>1</v>
      </c>
      <c r="N806" s="662"/>
      <c r="O806" s="21">
        <f t="shared" si="143"/>
        <v>1</v>
      </c>
      <c r="P806" s="662">
        <v>-2</v>
      </c>
      <c r="Q806" s="21">
        <f t="shared" si="144"/>
        <v>0.95</v>
      </c>
      <c r="R806" s="659">
        <f t="shared" ca="1" si="145"/>
        <v>4429</v>
      </c>
      <c r="S806" s="316">
        <f t="shared" ca="1" si="146"/>
        <v>18</v>
      </c>
      <c r="T806" s="720" t="str">
        <f>商办车库!H915</f>
        <v>车位</v>
      </c>
    </row>
    <row r="807" spans="1:20">
      <c r="A807" s="3539"/>
      <c r="B807" s="54"/>
      <c r="C807" s="21">
        <f t="shared" si="137"/>
        <v>1</v>
      </c>
      <c r="D807" s="662"/>
      <c r="E807" s="21">
        <f t="shared" si="138"/>
        <v>1</v>
      </c>
      <c r="F807" s="662"/>
      <c r="G807" s="21">
        <f t="shared" si="139"/>
        <v>1</v>
      </c>
      <c r="H807" s="662"/>
      <c r="I807" s="21">
        <f t="shared" si="140"/>
        <v>1</v>
      </c>
      <c r="J807" s="662"/>
      <c r="K807" s="21">
        <f t="shared" si="141"/>
        <v>1</v>
      </c>
      <c r="L807" s="662"/>
      <c r="M807" s="21">
        <f t="shared" si="142"/>
        <v>1</v>
      </c>
      <c r="N807" s="662"/>
      <c r="O807" s="21">
        <f t="shared" si="143"/>
        <v>1</v>
      </c>
      <c r="P807" s="662"/>
      <c r="Q807" s="21">
        <f t="shared" si="144"/>
        <v>0</v>
      </c>
      <c r="R807" s="659">
        <f t="shared" si="145"/>
        <v>0</v>
      </c>
      <c r="S807" s="316">
        <f t="shared" si="146"/>
        <v>0</v>
      </c>
      <c r="T807" s="720">
        <f>商办车库!H916</f>
        <v>0</v>
      </c>
    </row>
    <row r="808" spans="1:20">
      <c r="A808" s="3539"/>
      <c r="B808" s="54"/>
      <c r="C808" s="21">
        <f t="shared" si="137"/>
        <v>1</v>
      </c>
      <c r="D808" s="662"/>
      <c r="E808" s="21">
        <f t="shared" si="138"/>
        <v>1</v>
      </c>
      <c r="F808" s="662"/>
      <c r="G808" s="21">
        <f t="shared" si="139"/>
        <v>1</v>
      </c>
      <c r="H808" s="662"/>
      <c r="I808" s="21">
        <f t="shared" si="140"/>
        <v>1</v>
      </c>
      <c r="J808" s="662"/>
      <c r="K808" s="21">
        <f t="shared" si="141"/>
        <v>1</v>
      </c>
      <c r="L808" s="662"/>
      <c r="M808" s="21">
        <f t="shared" si="142"/>
        <v>1</v>
      </c>
      <c r="N808" s="662"/>
      <c r="O808" s="21">
        <f t="shared" si="143"/>
        <v>1</v>
      </c>
      <c r="P808" s="662"/>
      <c r="Q808" s="21">
        <f t="shared" si="144"/>
        <v>0</v>
      </c>
      <c r="R808" s="659">
        <f t="shared" si="145"/>
        <v>0</v>
      </c>
      <c r="S808" s="316">
        <f t="shared" si="146"/>
        <v>0</v>
      </c>
      <c r="T808" s="720">
        <f>商办车库!H917</f>
        <v>0</v>
      </c>
    </row>
    <row r="809" spans="1:20">
      <c r="A809" s="3539"/>
      <c r="B809" s="54"/>
      <c r="C809" s="21">
        <f t="shared" si="137"/>
        <v>1</v>
      </c>
      <c r="D809" s="662"/>
      <c r="E809" s="21">
        <f t="shared" si="138"/>
        <v>1</v>
      </c>
      <c r="F809" s="662"/>
      <c r="G809" s="21">
        <f t="shared" si="139"/>
        <v>1</v>
      </c>
      <c r="H809" s="662"/>
      <c r="I809" s="21">
        <f t="shared" si="140"/>
        <v>1</v>
      </c>
      <c r="J809" s="662"/>
      <c r="K809" s="21">
        <f t="shared" si="141"/>
        <v>1</v>
      </c>
      <c r="L809" s="662"/>
      <c r="M809" s="21">
        <f t="shared" si="142"/>
        <v>1</v>
      </c>
      <c r="N809" s="662"/>
      <c r="O809" s="21">
        <f t="shared" si="143"/>
        <v>1</v>
      </c>
      <c r="P809" s="662"/>
      <c r="Q809" s="21">
        <f t="shared" si="144"/>
        <v>0</v>
      </c>
      <c r="R809" s="659">
        <f t="shared" si="145"/>
        <v>0</v>
      </c>
      <c r="S809" s="316">
        <f t="shared" si="146"/>
        <v>0</v>
      </c>
      <c r="T809" s="720">
        <f>商办车库!H918</f>
        <v>0</v>
      </c>
    </row>
    <row r="810" spans="1:20">
      <c r="A810" s="3539"/>
      <c r="B810" s="54"/>
      <c r="C810" s="21">
        <f t="shared" si="137"/>
        <v>1</v>
      </c>
      <c r="D810" s="662"/>
      <c r="E810" s="21">
        <f t="shared" si="138"/>
        <v>1</v>
      </c>
      <c r="F810" s="662"/>
      <c r="G810" s="21">
        <f t="shared" si="139"/>
        <v>1</v>
      </c>
      <c r="H810" s="662"/>
      <c r="I810" s="21">
        <f t="shared" si="140"/>
        <v>1</v>
      </c>
      <c r="J810" s="662"/>
      <c r="K810" s="21">
        <f t="shared" si="141"/>
        <v>1</v>
      </c>
      <c r="L810" s="662"/>
      <c r="M810" s="21">
        <f t="shared" si="142"/>
        <v>1</v>
      </c>
      <c r="N810" s="662"/>
      <c r="O810" s="21">
        <f t="shared" si="143"/>
        <v>1</v>
      </c>
      <c r="P810" s="662"/>
      <c r="Q810" s="21">
        <f t="shared" si="144"/>
        <v>0</v>
      </c>
      <c r="R810" s="659">
        <f t="shared" si="145"/>
        <v>0</v>
      </c>
      <c r="S810" s="316">
        <f t="shared" si="146"/>
        <v>0</v>
      </c>
    </row>
    <row r="811" spans="1:20">
      <c r="A811" s="3539"/>
      <c r="B811" s="54"/>
      <c r="C811" s="21">
        <f t="shared" si="137"/>
        <v>1</v>
      </c>
      <c r="D811" s="662"/>
      <c r="E811" s="21">
        <f t="shared" si="138"/>
        <v>1</v>
      </c>
      <c r="F811" s="662"/>
      <c r="G811" s="21">
        <f t="shared" si="139"/>
        <v>1</v>
      </c>
      <c r="H811" s="662"/>
      <c r="I811" s="21">
        <f t="shared" si="140"/>
        <v>1</v>
      </c>
      <c r="J811" s="662"/>
      <c r="K811" s="21">
        <f t="shared" si="141"/>
        <v>1</v>
      </c>
      <c r="L811" s="662"/>
      <c r="M811" s="21">
        <f t="shared" si="142"/>
        <v>1</v>
      </c>
      <c r="N811" s="662"/>
      <c r="O811" s="21">
        <f t="shared" si="143"/>
        <v>1</v>
      </c>
      <c r="P811" s="662"/>
      <c r="Q811" s="21">
        <f t="shared" si="144"/>
        <v>0</v>
      </c>
      <c r="R811" s="659">
        <f t="shared" si="145"/>
        <v>0</v>
      </c>
      <c r="S811" s="316">
        <f t="shared" si="146"/>
        <v>0</v>
      </c>
    </row>
    <row r="812" spans="1:20">
      <c r="A812" s="3539"/>
      <c r="B812" s="54"/>
      <c r="C812" s="21">
        <f t="shared" si="137"/>
        <v>1</v>
      </c>
      <c r="D812" s="662"/>
      <c r="E812" s="21">
        <f t="shared" si="138"/>
        <v>1</v>
      </c>
      <c r="F812" s="662"/>
      <c r="G812" s="21">
        <f t="shared" si="139"/>
        <v>1</v>
      </c>
      <c r="H812" s="662"/>
      <c r="I812" s="21">
        <f t="shared" si="140"/>
        <v>1</v>
      </c>
      <c r="J812" s="662"/>
      <c r="K812" s="21">
        <f t="shared" si="141"/>
        <v>1</v>
      </c>
      <c r="L812" s="662"/>
      <c r="M812" s="21">
        <f t="shared" si="142"/>
        <v>1</v>
      </c>
      <c r="N812" s="662"/>
      <c r="O812" s="21">
        <f t="shared" si="143"/>
        <v>1</v>
      </c>
      <c r="P812" s="662"/>
      <c r="Q812" s="21">
        <f t="shared" si="144"/>
        <v>0</v>
      </c>
      <c r="R812" s="659">
        <f t="shared" si="145"/>
        <v>0</v>
      </c>
      <c r="S812" s="316">
        <f t="shared" si="146"/>
        <v>0</v>
      </c>
    </row>
    <row r="813" spans="1:20">
      <c r="A813" s="3539"/>
      <c r="B813" s="54"/>
      <c r="C813" s="21">
        <f t="shared" si="137"/>
        <v>1</v>
      </c>
      <c r="D813" s="662"/>
      <c r="E813" s="21">
        <f t="shared" si="138"/>
        <v>1</v>
      </c>
      <c r="F813" s="662"/>
      <c r="G813" s="21">
        <f t="shared" si="139"/>
        <v>1</v>
      </c>
      <c r="H813" s="662"/>
      <c r="I813" s="21">
        <f t="shared" si="140"/>
        <v>1</v>
      </c>
      <c r="J813" s="662"/>
      <c r="K813" s="21">
        <f t="shared" si="141"/>
        <v>1</v>
      </c>
      <c r="L813" s="662"/>
      <c r="M813" s="21">
        <f t="shared" si="142"/>
        <v>1</v>
      </c>
      <c r="N813" s="662"/>
      <c r="O813" s="21">
        <f t="shared" si="143"/>
        <v>1</v>
      </c>
      <c r="P813" s="662"/>
      <c r="Q813" s="21">
        <f t="shared" si="144"/>
        <v>0</v>
      </c>
      <c r="R813" s="659">
        <f t="shared" si="145"/>
        <v>0</v>
      </c>
      <c r="S813" s="316">
        <f t="shared" si="146"/>
        <v>0</v>
      </c>
    </row>
    <row r="814" spans="1:20">
      <c r="A814" s="3539"/>
      <c r="B814" s="54"/>
      <c r="C814" s="21">
        <f t="shared" si="137"/>
        <v>1</v>
      </c>
      <c r="D814" s="662"/>
      <c r="E814" s="21">
        <f t="shared" si="138"/>
        <v>1</v>
      </c>
      <c r="F814" s="662"/>
      <c r="G814" s="21">
        <f t="shared" si="139"/>
        <v>1</v>
      </c>
      <c r="H814" s="662"/>
      <c r="I814" s="21">
        <f t="shared" si="140"/>
        <v>1</v>
      </c>
      <c r="J814" s="662"/>
      <c r="K814" s="21">
        <f t="shared" si="141"/>
        <v>1</v>
      </c>
      <c r="L814" s="662"/>
      <c r="M814" s="21">
        <f t="shared" si="142"/>
        <v>1</v>
      </c>
      <c r="N814" s="662"/>
      <c r="O814" s="21">
        <f t="shared" si="143"/>
        <v>1</v>
      </c>
      <c r="P814" s="662"/>
      <c r="Q814" s="21">
        <f t="shared" si="144"/>
        <v>0</v>
      </c>
      <c r="R814" s="659">
        <f t="shared" si="145"/>
        <v>0</v>
      </c>
      <c r="S814" s="316">
        <f t="shared" si="146"/>
        <v>0</v>
      </c>
    </row>
    <row r="815" spans="1:20">
      <c r="A815" s="3539"/>
      <c r="B815" s="54"/>
      <c r="C815" s="21">
        <f t="shared" si="137"/>
        <v>1</v>
      </c>
      <c r="D815" s="662"/>
      <c r="E815" s="21">
        <f t="shared" si="138"/>
        <v>1</v>
      </c>
      <c r="F815" s="662"/>
      <c r="G815" s="21">
        <f t="shared" si="139"/>
        <v>1</v>
      </c>
      <c r="H815" s="662"/>
      <c r="I815" s="21">
        <f t="shared" si="140"/>
        <v>1</v>
      </c>
      <c r="J815" s="662"/>
      <c r="K815" s="21">
        <f t="shared" si="141"/>
        <v>1</v>
      </c>
      <c r="L815" s="662"/>
      <c r="M815" s="21">
        <f t="shared" si="142"/>
        <v>1</v>
      </c>
      <c r="N815" s="662"/>
      <c r="O815" s="21">
        <f t="shared" si="143"/>
        <v>1</v>
      </c>
      <c r="P815" s="662"/>
      <c r="Q815" s="21">
        <f t="shared" si="144"/>
        <v>0</v>
      </c>
      <c r="R815" s="659">
        <f t="shared" si="145"/>
        <v>0</v>
      </c>
      <c r="S815" s="316">
        <f t="shared" si="146"/>
        <v>0</v>
      </c>
    </row>
    <row r="816" spans="1:20">
      <c r="A816" s="3539"/>
      <c r="B816" s="54"/>
      <c r="C816" s="21">
        <f t="shared" si="137"/>
        <v>1</v>
      </c>
      <c r="D816" s="662"/>
      <c r="E816" s="21">
        <f t="shared" si="138"/>
        <v>1</v>
      </c>
      <c r="F816" s="662"/>
      <c r="G816" s="21">
        <f t="shared" si="139"/>
        <v>1</v>
      </c>
      <c r="H816" s="662"/>
      <c r="I816" s="21">
        <f t="shared" si="140"/>
        <v>1</v>
      </c>
      <c r="J816" s="662"/>
      <c r="K816" s="21">
        <f t="shared" si="141"/>
        <v>1</v>
      </c>
      <c r="L816" s="662"/>
      <c r="M816" s="21">
        <f t="shared" si="142"/>
        <v>1</v>
      </c>
      <c r="N816" s="662"/>
      <c r="O816" s="21">
        <f t="shared" si="143"/>
        <v>1</v>
      </c>
      <c r="P816" s="662"/>
      <c r="Q816" s="21">
        <f t="shared" si="144"/>
        <v>0</v>
      </c>
      <c r="R816" s="659">
        <f t="shared" si="145"/>
        <v>0</v>
      </c>
      <c r="S816" s="316">
        <f t="shared" si="146"/>
        <v>0</v>
      </c>
    </row>
    <row r="817" spans="1:19">
      <c r="A817" s="3539"/>
      <c r="B817" s="54"/>
      <c r="C817" s="21">
        <f t="shared" si="137"/>
        <v>1</v>
      </c>
      <c r="D817" s="662"/>
      <c r="E817" s="21">
        <f t="shared" si="138"/>
        <v>1</v>
      </c>
      <c r="F817" s="662"/>
      <c r="G817" s="21">
        <f t="shared" si="139"/>
        <v>1</v>
      </c>
      <c r="H817" s="662"/>
      <c r="I817" s="21">
        <f t="shared" si="140"/>
        <v>1</v>
      </c>
      <c r="J817" s="662"/>
      <c r="K817" s="21">
        <f t="shared" si="141"/>
        <v>1</v>
      </c>
      <c r="L817" s="662"/>
      <c r="M817" s="21">
        <f t="shared" si="142"/>
        <v>1</v>
      </c>
      <c r="N817" s="662"/>
      <c r="O817" s="21">
        <f t="shared" si="143"/>
        <v>1</v>
      </c>
      <c r="P817" s="662"/>
      <c r="Q817" s="21">
        <f t="shared" si="144"/>
        <v>0</v>
      </c>
      <c r="R817" s="659">
        <f t="shared" si="145"/>
        <v>0</v>
      </c>
      <c r="S817" s="316">
        <f t="shared" si="146"/>
        <v>0</v>
      </c>
    </row>
    <row r="818" spans="1:19">
      <c r="A818" s="3539"/>
      <c r="B818" s="54"/>
      <c r="C818" s="21">
        <f t="shared" si="137"/>
        <v>1</v>
      </c>
      <c r="D818" s="662"/>
      <c r="E818" s="21">
        <f t="shared" si="138"/>
        <v>1</v>
      </c>
      <c r="F818" s="662"/>
      <c r="G818" s="21">
        <f t="shared" si="139"/>
        <v>1</v>
      </c>
      <c r="H818" s="662"/>
      <c r="I818" s="21">
        <f t="shared" si="140"/>
        <v>1</v>
      </c>
      <c r="J818" s="662"/>
      <c r="K818" s="21">
        <f t="shared" si="141"/>
        <v>1</v>
      </c>
      <c r="L818" s="662"/>
      <c r="M818" s="21">
        <f t="shared" si="142"/>
        <v>1</v>
      </c>
      <c r="N818" s="662"/>
      <c r="O818" s="21">
        <f t="shared" si="143"/>
        <v>1</v>
      </c>
      <c r="P818" s="662"/>
      <c r="Q818" s="21">
        <f t="shared" si="144"/>
        <v>0</v>
      </c>
      <c r="R818" s="659">
        <f t="shared" si="145"/>
        <v>0</v>
      </c>
      <c r="S818" s="316">
        <f t="shared" si="146"/>
        <v>0</v>
      </c>
    </row>
    <row r="819" spans="1:19">
      <c r="A819" s="3539"/>
      <c r="B819" s="54"/>
      <c r="C819" s="21">
        <f t="shared" si="137"/>
        <v>1</v>
      </c>
      <c r="D819" s="662"/>
      <c r="E819" s="21">
        <f t="shared" si="138"/>
        <v>1</v>
      </c>
      <c r="F819" s="662"/>
      <c r="G819" s="21">
        <f t="shared" si="139"/>
        <v>1</v>
      </c>
      <c r="H819" s="662"/>
      <c r="I819" s="21">
        <f t="shared" si="140"/>
        <v>1</v>
      </c>
      <c r="J819" s="662"/>
      <c r="K819" s="21">
        <f t="shared" si="141"/>
        <v>1</v>
      </c>
      <c r="L819" s="662"/>
      <c r="M819" s="21">
        <f t="shared" si="142"/>
        <v>1</v>
      </c>
      <c r="N819" s="662"/>
      <c r="O819" s="21">
        <f t="shared" si="143"/>
        <v>1</v>
      </c>
      <c r="P819" s="662"/>
      <c r="Q819" s="21">
        <f t="shared" si="144"/>
        <v>0</v>
      </c>
      <c r="R819" s="659">
        <f t="shared" si="145"/>
        <v>0</v>
      </c>
      <c r="S819" s="316">
        <f t="shared" si="146"/>
        <v>0</v>
      </c>
    </row>
    <row r="820" spans="1:19">
      <c r="A820" s="3539"/>
      <c r="B820" s="54"/>
      <c r="C820" s="21">
        <f t="shared" si="137"/>
        <v>1</v>
      </c>
      <c r="D820" s="662"/>
      <c r="E820" s="21">
        <f t="shared" si="138"/>
        <v>1</v>
      </c>
      <c r="F820" s="662"/>
      <c r="G820" s="21">
        <f t="shared" si="139"/>
        <v>1</v>
      </c>
      <c r="H820" s="662"/>
      <c r="I820" s="21">
        <f t="shared" si="140"/>
        <v>1</v>
      </c>
      <c r="J820" s="662"/>
      <c r="K820" s="21">
        <f t="shared" si="141"/>
        <v>1</v>
      </c>
      <c r="L820" s="662"/>
      <c r="M820" s="21">
        <f t="shared" si="142"/>
        <v>1</v>
      </c>
      <c r="N820" s="662"/>
      <c r="O820" s="21">
        <f t="shared" si="143"/>
        <v>1</v>
      </c>
      <c r="P820" s="662"/>
      <c r="Q820" s="21">
        <f t="shared" si="144"/>
        <v>0</v>
      </c>
      <c r="R820" s="659">
        <f t="shared" si="145"/>
        <v>0</v>
      </c>
      <c r="S820" s="316">
        <f t="shared" si="146"/>
        <v>0</v>
      </c>
    </row>
    <row r="821" spans="1:19">
      <c r="A821" s="3539"/>
      <c r="B821" s="54"/>
      <c r="C821" s="21">
        <f t="shared" si="137"/>
        <v>1</v>
      </c>
      <c r="D821" s="662"/>
      <c r="E821" s="21">
        <f t="shared" si="138"/>
        <v>1</v>
      </c>
      <c r="F821" s="662"/>
      <c r="G821" s="21">
        <f t="shared" si="139"/>
        <v>1</v>
      </c>
      <c r="H821" s="662"/>
      <c r="I821" s="21">
        <f t="shared" si="140"/>
        <v>1</v>
      </c>
      <c r="J821" s="662"/>
      <c r="K821" s="21">
        <f t="shared" si="141"/>
        <v>1</v>
      </c>
      <c r="L821" s="662"/>
      <c r="M821" s="21">
        <f t="shared" si="142"/>
        <v>1</v>
      </c>
      <c r="N821" s="662"/>
      <c r="O821" s="21">
        <f t="shared" si="143"/>
        <v>1</v>
      </c>
      <c r="P821" s="662"/>
      <c r="Q821" s="21">
        <f t="shared" si="144"/>
        <v>0</v>
      </c>
      <c r="R821" s="659">
        <f t="shared" si="145"/>
        <v>0</v>
      </c>
      <c r="S821" s="316">
        <f t="shared" si="146"/>
        <v>0</v>
      </c>
    </row>
    <row r="822" spans="1:19">
      <c r="A822" s="3539"/>
      <c r="B822" s="54"/>
      <c r="C822" s="21">
        <f t="shared" si="137"/>
        <v>1</v>
      </c>
      <c r="D822" s="662"/>
      <c r="E822" s="21">
        <f t="shared" si="138"/>
        <v>1</v>
      </c>
      <c r="F822" s="662"/>
      <c r="G822" s="21">
        <f t="shared" si="139"/>
        <v>1</v>
      </c>
      <c r="H822" s="662"/>
      <c r="I822" s="21">
        <f t="shared" si="140"/>
        <v>1</v>
      </c>
      <c r="J822" s="662"/>
      <c r="K822" s="21">
        <f t="shared" si="141"/>
        <v>1</v>
      </c>
      <c r="L822" s="662"/>
      <c r="M822" s="21">
        <f t="shared" si="142"/>
        <v>1</v>
      </c>
      <c r="N822" s="662"/>
      <c r="O822" s="21">
        <f t="shared" si="143"/>
        <v>1</v>
      </c>
      <c r="P822" s="662"/>
      <c r="Q822" s="21">
        <f t="shared" si="144"/>
        <v>0</v>
      </c>
      <c r="R822" s="659">
        <f t="shared" si="145"/>
        <v>0</v>
      </c>
      <c r="S822" s="316">
        <f t="shared" si="146"/>
        <v>0</v>
      </c>
    </row>
    <row r="823" spans="1:19">
      <c r="A823" s="3539"/>
      <c r="B823" s="54"/>
      <c r="C823" s="21">
        <f t="shared" si="137"/>
        <v>1</v>
      </c>
      <c r="D823" s="662"/>
      <c r="E823" s="21">
        <f t="shared" si="138"/>
        <v>1</v>
      </c>
      <c r="F823" s="662"/>
      <c r="G823" s="21">
        <f t="shared" si="139"/>
        <v>1</v>
      </c>
      <c r="H823" s="662"/>
      <c r="I823" s="21">
        <f t="shared" si="140"/>
        <v>1</v>
      </c>
      <c r="J823" s="662"/>
      <c r="K823" s="21">
        <f t="shared" si="141"/>
        <v>1</v>
      </c>
      <c r="L823" s="662"/>
      <c r="M823" s="21">
        <f t="shared" si="142"/>
        <v>1</v>
      </c>
      <c r="N823" s="662"/>
      <c r="O823" s="21">
        <f t="shared" si="143"/>
        <v>1</v>
      </c>
      <c r="P823" s="662"/>
      <c r="Q823" s="21">
        <f t="shared" si="144"/>
        <v>0</v>
      </c>
      <c r="R823" s="659">
        <f t="shared" si="145"/>
        <v>0</v>
      </c>
      <c r="S823" s="316">
        <f t="shared" si="146"/>
        <v>0</v>
      </c>
    </row>
    <row r="824" spans="1:19">
      <c r="A824" s="3539"/>
      <c r="B824" s="54"/>
      <c r="C824" s="21">
        <f t="shared" si="137"/>
        <v>1</v>
      </c>
      <c r="D824" s="662"/>
      <c r="E824" s="21">
        <f t="shared" si="138"/>
        <v>1</v>
      </c>
      <c r="F824" s="662"/>
      <c r="G824" s="21">
        <f t="shared" si="139"/>
        <v>1</v>
      </c>
      <c r="H824" s="662"/>
      <c r="I824" s="21">
        <f t="shared" si="140"/>
        <v>1</v>
      </c>
      <c r="J824" s="662"/>
      <c r="K824" s="21">
        <f t="shared" si="141"/>
        <v>1</v>
      </c>
      <c r="L824" s="662"/>
      <c r="M824" s="21">
        <f t="shared" si="142"/>
        <v>1</v>
      </c>
      <c r="N824" s="662"/>
      <c r="O824" s="21">
        <f t="shared" si="143"/>
        <v>1</v>
      </c>
      <c r="P824" s="662"/>
      <c r="Q824" s="21">
        <f t="shared" si="144"/>
        <v>0</v>
      </c>
      <c r="R824" s="659">
        <f t="shared" si="145"/>
        <v>0</v>
      </c>
      <c r="S824" s="316">
        <f t="shared" si="146"/>
        <v>0</v>
      </c>
    </row>
    <row r="825" spans="1:19">
      <c r="A825" s="3539"/>
      <c r="B825" s="54"/>
      <c r="C825" s="21">
        <f t="shared" si="137"/>
        <v>1</v>
      </c>
      <c r="D825" s="662"/>
      <c r="E825" s="21">
        <f t="shared" si="138"/>
        <v>1</v>
      </c>
      <c r="F825" s="662"/>
      <c r="G825" s="21">
        <f t="shared" si="139"/>
        <v>1</v>
      </c>
      <c r="H825" s="662"/>
      <c r="I825" s="21">
        <f t="shared" si="140"/>
        <v>1</v>
      </c>
      <c r="J825" s="662"/>
      <c r="K825" s="21">
        <f t="shared" si="141"/>
        <v>1</v>
      </c>
      <c r="L825" s="662"/>
      <c r="M825" s="21">
        <f t="shared" si="142"/>
        <v>1</v>
      </c>
      <c r="N825" s="662"/>
      <c r="O825" s="21">
        <f t="shared" si="143"/>
        <v>1</v>
      </c>
      <c r="P825" s="662"/>
      <c r="Q825" s="21">
        <f t="shared" si="144"/>
        <v>0</v>
      </c>
      <c r="R825" s="659">
        <f t="shared" si="145"/>
        <v>0</v>
      </c>
      <c r="S825" s="316">
        <f t="shared" si="146"/>
        <v>0</v>
      </c>
    </row>
    <row r="826" spans="1:19">
      <c r="A826" s="3539"/>
      <c r="B826" s="54"/>
      <c r="C826" s="21">
        <f t="shared" si="137"/>
        <v>1</v>
      </c>
      <c r="D826" s="662"/>
      <c r="E826" s="21">
        <f t="shared" si="138"/>
        <v>1</v>
      </c>
      <c r="F826" s="662"/>
      <c r="G826" s="21">
        <f t="shared" si="139"/>
        <v>1</v>
      </c>
      <c r="H826" s="662"/>
      <c r="I826" s="21">
        <f t="shared" si="140"/>
        <v>1</v>
      </c>
      <c r="J826" s="662"/>
      <c r="K826" s="21">
        <f t="shared" si="141"/>
        <v>1</v>
      </c>
      <c r="L826" s="662"/>
      <c r="M826" s="21">
        <f t="shared" si="142"/>
        <v>1</v>
      </c>
      <c r="N826" s="662"/>
      <c r="O826" s="21">
        <f t="shared" si="143"/>
        <v>1</v>
      </c>
      <c r="P826" s="662"/>
      <c r="Q826" s="21">
        <f t="shared" si="144"/>
        <v>0</v>
      </c>
      <c r="R826" s="659">
        <f t="shared" si="145"/>
        <v>0</v>
      </c>
      <c r="S826" s="316">
        <f t="shared" si="146"/>
        <v>0</v>
      </c>
    </row>
    <row r="827" spans="1:19">
      <c r="A827" s="3539"/>
      <c r="B827" s="54"/>
      <c r="C827" s="21">
        <f t="shared" si="137"/>
        <v>1</v>
      </c>
      <c r="D827" s="662"/>
      <c r="E827" s="21">
        <f t="shared" si="138"/>
        <v>1</v>
      </c>
      <c r="F827" s="662"/>
      <c r="G827" s="21">
        <f t="shared" si="139"/>
        <v>1</v>
      </c>
      <c r="H827" s="662"/>
      <c r="I827" s="21">
        <f t="shared" si="140"/>
        <v>1</v>
      </c>
      <c r="J827" s="662"/>
      <c r="K827" s="21">
        <f t="shared" si="141"/>
        <v>1</v>
      </c>
      <c r="L827" s="662"/>
      <c r="M827" s="21">
        <f t="shared" si="142"/>
        <v>1</v>
      </c>
      <c r="N827" s="662"/>
      <c r="O827" s="21">
        <f t="shared" si="143"/>
        <v>1</v>
      </c>
      <c r="P827" s="662"/>
      <c r="Q827" s="21">
        <f t="shared" si="144"/>
        <v>0</v>
      </c>
      <c r="R827" s="659">
        <f t="shared" si="145"/>
        <v>0</v>
      </c>
      <c r="S827" s="316">
        <f t="shared" si="146"/>
        <v>0</v>
      </c>
    </row>
    <row r="828" spans="1:19">
      <c r="A828" s="3539"/>
      <c r="B828" s="54"/>
      <c r="C828" s="21">
        <f t="shared" si="137"/>
        <v>1</v>
      </c>
      <c r="D828" s="662"/>
      <c r="E828" s="21">
        <f t="shared" si="138"/>
        <v>1</v>
      </c>
      <c r="F828" s="662"/>
      <c r="G828" s="21">
        <f t="shared" si="139"/>
        <v>1</v>
      </c>
      <c r="H828" s="662"/>
      <c r="I828" s="21">
        <f t="shared" si="140"/>
        <v>1</v>
      </c>
      <c r="J828" s="662"/>
      <c r="K828" s="21">
        <f t="shared" si="141"/>
        <v>1</v>
      </c>
      <c r="L828" s="662"/>
      <c r="M828" s="21">
        <f t="shared" si="142"/>
        <v>1</v>
      </c>
      <c r="N828" s="662"/>
      <c r="O828" s="21">
        <f t="shared" si="143"/>
        <v>1</v>
      </c>
      <c r="P828" s="662"/>
      <c r="Q828" s="21">
        <f t="shared" si="144"/>
        <v>0</v>
      </c>
      <c r="R828" s="659">
        <f t="shared" si="145"/>
        <v>0</v>
      </c>
      <c r="S828" s="316">
        <f t="shared" si="146"/>
        <v>0</v>
      </c>
    </row>
    <row r="829" spans="1:19">
      <c r="A829" s="3539"/>
      <c r="B829" s="54"/>
      <c r="C829" s="21">
        <f t="shared" si="137"/>
        <v>1</v>
      </c>
      <c r="D829" s="662"/>
      <c r="E829" s="21">
        <f t="shared" si="138"/>
        <v>1</v>
      </c>
      <c r="F829" s="662"/>
      <c r="G829" s="21">
        <f t="shared" si="139"/>
        <v>1</v>
      </c>
      <c r="H829" s="662"/>
      <c r="I829" s="21">
        <f t="shared" si="140"/>
        <v>1</v>
      </c>
      <c r="J829" s="662"/>
      <c r="K829" s="21">
        <f t="shared" si="141"/>
        <v>1</v>
      </c>
      <c r="L829" s="662"/>
      <c r="M829" s="21">
        <f t="shared" si="142"/>
        <v>1</v>
      </c>
      <c r="N829" s="662"/>
      <c r="O829" s="21">
        <f t="shared" si="143"/>
        <v>1</v>
      </c>
      <c r="P829" s="662"/>
      <c r="Q829" s="21">
        <f t="shared" si="144"/>
        <v>0</v>
      </c>
      <c r="R829" s="659">
        <f t="shared" si="145"/>
        <v>0</v>
      </c>
      <c r="S829" s="316">
        <f t="shared" si="146"/>
        <v>0</v>
      </c>
    </row>
    <row r="830" spans="1:19">
      <c r="A830" s="3539"/>
      <c r="B830" s="54"/>
      <c r="C830" s="21">
        <f t="shared" si="137"/>
        <v>1</v>
      </c>
      <c r="D830" s="662"/>
      <c r="E830" s="21">
        <f t="shared" si="138"/>
        <v>1</v>
      </c>
      <c r="F830" s="662"/>
      <c r="G830" s="21">
        <f t="shared" si="139"/>
        <v>1</v>
      </c>
      <c r="H830" s="662"/>
      <c r="I830" s="21">
        <f t="shared" si="140"/>
        <v>1</v>
      </c>
      <c r="J830" s="662"/>
      <c r="K830" s="21">
        <f t="shared" si="141"/>
        <v>1</v>
      </c>
      <c r="L830" s="662"/>
      <c r="M830" s="21">
        <f t="shared" si="142"/>
        <v>1</v>
      </c>
      <c r="N830" s="662"/>
      <c r="O830" s="21">
        <f t="shared" si="143"/>
        <v>1</v>
      </c>
      <c r="P830" s="662"/>
      <c r="Q830" s="21">
        <f t="shared" si="144"/>
        <v>0</v>
      </c>
      <c r="R830" s="659">
        <f t="shared" si="145"/>
        <v>0</v>
      </c>
      <c r="S830" s="316">
        <f t="shared" si="146"/>
        <v>0</v>
      </c>
    </row>
    <row r="831" spans="1:19">
      <c r="A831" s="3539"/>
      <c r="B831" s="54"/>
      <c r="C831" s="21">
        <f t="shared" si="137"/>
        <v>1</v>
      </c>
      <c r="D831" s="662"/>
      <c r="E831" s="21">
        <f t="shared" si="138"/>
        <v>1</v>
      </c>
      <c r="F831" s="662"/>
      <c r="G831" s="21">
        <f t="shared" si="139"/>
        <v>1</v>
      </c>
      <c r="H831" s="662"/>
      <c r="I831" s="21">
        <f t="shared" si="140"/>
        <v>1</v>
      </c>
      <c r="J831" s="662"/>
      <c r="K831" s="21">
        <f t="shared" si="141"/>
        <v>1</v>
      </c>
      <c r="L831" s="662"/>
      <c r="M831" s="21">
        <f t="shared" si="142"/>
        <v>1</v>
      </c>
      <c r="N831" s="662"/>
      <c r="O831" s="21">
        <f t="shared" si="143"/>
        <v>1</v>
      </c>
      <c r="P831" s="662"/>
      <c r="Q831" s="21">
        <f t="shared" si="144"/>
        <v>0</v>
      </c>
      <c r="R831" s="659">
        <f t="shared" si="145"/>
        <v>0</v>
      </c>
      <c r="S831" s="316">
        <f t="shared" si="146"/>
        <v>0</v>
      </c>
    </row>
    <row r="832" spans="1:19">
      <c r="A832" s="3539"/>
      <c r="B832" s="54"/>
      <c r="C832" s="21">
        <f t="shared" si="137"/>
        <v>1</v>
      </c>
      <c r="D832" s="662"/>
      <c r="E832" s="21">
        <f t="shared" si="138"/>
        <v>1</v>
      </c>
      <c r="F832" s="662"/>
      <c r="G832" s="21">
        <f t="shared" si="139"/>
        <v>1</v>
      </c>
      <c r="H832" s="662"/>
      <c r="I832" s="21">
        <f t="shared" si="140"/>
        <v>1</v>
      </c>
      <c r="J832" s="662"/>
      <c r="K832" s="21">
        <f t="shared" si="141"/>
        <v>1</v>
      </c>
      <c r="L832" s="662"/>
      <c r="M832" s="21">
        <f t="shared" si="142"/>
        <v>1</v>
      </c>
      <c r="N832" s="662"/>
      <c r="O832" s="21">
        <f t="shared" si="143"/>
        <v>1</v>
      </c>
      <c r="P832" s="662"/>
      <c r="Q832" s="21">
        <f t="shared" si="144"/>
        <v>0</v>
      </c>
      <c r="R832" s="659">
        <f t="shared" si="145"/>
        <v>0</v>
      </c>
      <c r="S832" s="316">
        <f t="shared" si="146"/>
        <v>0</v>
      </c>
    </row>
    <row r="833" spans="1:19">
      <c r="A833" s="3539"/>
      <c r="B833" s="54"/>
      <c r="C833" s="21">
        <f t="shared" si="137"/>
        <v>1</v>
      </c>
      <c r="D833" s="662"/>
      <c r="E833" s="21">
        <f t="shared" si="138"/>
        <v>1</v>
      </c>
      <c r="F833" s="662"/>
      <c r="G833" s="21">
        <f t="shared" si="139"/>
        <v>1</v>
      </c>
      <c r="H833" s="662"/>
      <c r="I833" s="21">
        <f t="shared" si="140"/>
        <v>1</v>
      </c>
      <c r="J833" s="662"/>
      <c r="K833" s="21">
        <f t="shared" si="141"/>
        <v>1</v>
      </c>
      <c r="L833" s="662"/>
      <c r="M833" s="21">
        <f t="shared" si="142"/>
        <v>1</v>
      </c>
      <c r="N833" s="662"/>
      <c r="O833" s="21">
        <f t="shared" si="143"/>
        <v>1</v>
      </c>
      <c r="P833" s="662"/>
      <c r="Q833" s="21">
        <f t="shared" si="144"/>
        <v>0</v>
      </c>
      <c r="R833" s="659">
        <f t="shared" si="145"/>
        <v>0</v>
      </c>
      <c r="S833" s="316">
        <f t="shared" si="146"/>
        <v>0</v>
      </c>
    </row>
    <row r="834" spans="1:19">
      <c r="A834" s="3539"/>
      <c r="B834" s="54"/>
      <c r="C834" s="21">
        <f t="shared" si="137"/>
        <v>1</v>
      </c>
      <c r="D834" s="662"/>
      <c r="E834" s="21">
        <f t="shared" si="138"/>
        <v>1</v>
      </c>
      <c r="F834" s="662"/>
      <c r="G834" s="21">
        <f t="shared" si="139"/>
        <v>1</v>
      </c>
      <c r="H834" s="662"/>
      <c r="I834" s="21">
        <f t="shared" si="140"/>
        <v>1</v>
      </c>
      <c r="J834" s="662"/>
      <c r="K834" s="21">
        <f t="shared" si="141"/>
        <v>1</v>
      </c>
      <c r="L834" s="662"/>
      <c r="M834" s="21">
        <f t="shared" si="142"/>
        <v>1</v>
      </c>
      <c r="N834" s="662"/>
      <c r="O834" s="21">
        <f t="shared" si="143"/>
        <v>1</v>
      </c>
      <c r="P834" s="662"/>
      <c r="Q834" s="21">
        <f t="shared" si="144"/>
        <v>0</v>
      </c>
      <c r="R834" s="659">
        <f t="shared" si="145"/>
        <v>0</v>
      </c>
      <c r="S834" s="316">
        <f t="shared" si="146"/>
        <v>0</v>
      </c>
    </row>
    <row r="835" spans="1:19">
      <c r="A835" s="3539"/>
      <c r="B835" s="54"/>
      <c r="C835" s="21">
        <f t="shared" si="137"/>
        <v>1</v>
      </c>
      <c r="D835" s="662"/>
      <c r="E835" s="21">
        <f t="shared" si="138"/>
        <v>1</v>
      </c>
      <c r="F835" s="662"/>
      <c r="G835" s="21">
        <f t="shared" si="139"/>
        <v>1</v>
      </c>
      <c r="H835" s="662"/>
      <c r="I835" s="21">
        <f t="shared" si="140"/>
        <v>1</v>
      </c>
      <c r="J835" s="662"/>
      <c r="K835" s="21">
        <f t="shared" si="141"/>
        <v>1</v>
      </c>
      <c r="L835" s="662"/>
      <c r="M835" s="21">
        <f t="shared" si="142"/>
        <v>1</v>
      </c>
      <c r="N835" s="662"/>
      <c r="O835" s="21">
        <f t="shared" si="143"/>
        <v>1</v>
      </c>
      <c r="P835" s="662"/>
      <c r="Q835" s="21">
        <f t="shared" si="144"/>
        <v>0</v>
      </c>
      <c r="R835" s="659">
        <f t="shared" si="145"/>
        <v>0</v>
      </c>
      <c r="S835" s="316">
        <f t="shared" si="146"/>
        <v>0</v>
      </c>
    </row>
    <row r="836" spans="1:19">
      <c r="A836" s="3539"/>
      <c r="B836" s="54"/>
      <c r="C836" s="21">
        <f t="shared" si="137"/>
        <v>1</v>
      </c>
      <c r="D836" s="662"/>
      <c r="E836" s="21">
        <f t="shared" si="138"/>
        <v>1</v>
      </c>
      <c r="F836" s="662"/>
      <c r="G836" s="21">
        <f t="shared" si="139"/>
        <v>1</v>
      </c>
      <c r="H836" s="662"/>
      <c r="I836" s="21">
        <f t="shared" si="140"/>
        <v>1</v>
      </c>
      <c r="J836" s="662"/>
      <c r="K836" s="21">
        <f t="shared" si="141"/>
        <v>1</v>
      </c>
      <c r="L836" s="662"/>
      <c r="M836" s="21">
        <f t="shared" si="142"/>
        <v>1</v>
      </c>
      <c r="N836" s="662"/>
      <c r="O836" s="21">
        <f t="shared" si="143"/>
        <v>1</v>
      </c>
      <c r="P836" s="662"/>
      <c r="Q836" s="21">
        <f t="shared" si="144"/>
        <v>0</v>
      </c>
      <c r="R836" s="659">
        <f t="shared" si="145"/>
        <v>0</v>
      </c>
      <c r="S836" s="316">
        <f t="shared" si="146"/>
        <v>0</v>
      </c>
    </row>
    <row r="837" spans="1:19">
      <c r="A837" s="3539"/>
      <c r="B837" s="54"/>
      <c r="C837" s="21">
        <f t="shared" si="137"/>
        <v>1</v>
      </c>
      <c r="D837" s="662"/>
      <c r="E837" s="21">
        <f t="shared" si="138"/>
        <v>1</v>
      </c>
      <c r="F837" s="662"/>
      <c r="G837" s="21">
        <f t="shared" si="139"/>
        <v>1</v>
      </c>
      <c r="H837" s="662"/>
      <c r="I837" s="21">
        <f t="shared" si="140"/>
        <v>1</v>
      </c>
      <c r="J837" s="662"/>
      <c r="K837" s="21">
        <f t="shared" si="141"/>
        <v>1</v>
      </c>
      <c r="L837" s="662"/>
      <c r="M837" s="21">
        <f t="shared" si="142"/>
        <v>1</v>
      </c>
      <c r="N837" s="662"/>
      <c r="O837" s="21">
        <f t="shared" si="143"/>
        <v>1</v>
      </c>
      <c r="P837" s="662"/>
      <c r="Q837" s="21">
        <f t="shared" si="144"/>
        <v>0</v>
      </c>
      <c r="R837" s="659">
        <f t="shared" si="145"/>
        <v>0</v>
      </c>
      <c r="S837" s="316">
        <f t="shared" si="146"/>
        <v>0</v>
      </c>
    </row>
    <row r="838" spans="1:19">
      <c r="A838" s="3539"/>
      <c r="B838" s="54"/>
      <c r="C838" s="21">
        <f t="shared" si="137"/>
        <v>1</v>
      </c>
      <c r="D838" s="662"/>
      <c r="E838" s="21">
        <f t="shared" si="138"/>
        <v>1</v>
      </c>
      <c r="F838" s="662"/>
      <c r="G838" s="21">
        <f t="shared" si="139"/>
        <v>1</v>
      </c>
      <c r="H838" s="662"/>
      <c r="I838" s="21">
        <f t="shared" si="140"/>
        <v>1</v>
      </c>
      <c r="J838" s="662"/>
      <c r="K838" s="21">
        <f t="shared" si="141"/>
        <v>1</v>
      </c>
      <c r="L838" s="662"/>
      <c r="M838" s="21">
        <f t="shared" si="142"/>
        <v>1</v>
      </c>
      <c r="N838" s="662"/>
      <c r="O838" s="21">
        <f t="shared" si="143"/>
        <v>1</v>
      </c>
      <c r="P838" s="662"/>
      <c r="Q838" s="21">
        <f t="shared" si="144"/>
        <v>0</v>
      </c>
      <c r="R838" s="659">
        <f t="shared" si="145"/>
        <v>0</v>
      </c>
      <c r="S838" s="316">
        <f t="shared" si="146"/>
        <v>0</v>
      </c>
    </row>
    <row r="839" spans="1:19">
      <c r="A839" s="3539"/>
      <c r="B839" s="54"/>
      <c r="C839" s="21">
        <f t="shared" si="137"/>
        <v>1</v>
      </c>
      <c r="D839" s="662"/>
      <c r="E839" s="21">
        <f t="shared" si="138"/>
        <v>1</v>
      </c>
      <c r="F839" s="662"/>
      <c r="G839" s="21">
        <f t="shared" si="139"/>
        <v>1</v>
      </c>
      <c r="H839" s="662"/>
      <c r="I839" s="21">
        <f t="shared" si="140"/>
        <v>1</v>
      </c>
      <c r="J839" s="662"/>
      <c r="K839" s="21">
        <f t="shared" si="141"/>
        <v>1</v>
      </c>
      <c r="L839" s="662"/>
      <c r="M839" s="21">
        <f t="shared" si="142"/>
        <v>1</v>
      </c>
      <c r="N839" s="662"/>
      <c r="O839" s="21">
        <f t="shared" si="143"/>
        <v>1</v>
      </c>
      <c r="P839" s="662"/>
      <c r="Q839" s="21">
        <f t="shared" si="144"/>
        <v>0</v>
      </c>
      <c r="R839" s="659">
        <f t="shared" si="145"/>
        <v>0</v>
      </c>
      <c r="S839" s="316">
        <f t="shared" si="146"/>
        <v>0</v>
      </c>
    </row>
    <row r="840" spans="1:19">
      <c r="A840" s="3539"/>
      <c r="B840" s="54"/>
      <c r="C840" s="21">
        <f t="shared" si="137"/>
        <v>1</v>
      </c>
      <c r="D840" s="662"/>
      <c r="E840" s="21">
        <f t="shared" si="138"/>
        <v>1</v>
      </c>
      <c r="F840" s="662"/>
      <c r="G840" s="21">
        <f t="shared" si="139"/>
        <v>1</v>
      </c>
      <c r="H840" s="662"/>
      <c r="I840" s="21">
        <f t="shared" si="140"/>
        <v>1</v>
      </c>
      <c r="J840" s="662"/>
      <c r="K840" s="21">
        <f t="shared" si="141"/>
        <v>1</v>
      </c>
      <c r="L840" s="662"/>
      <c r="M840" s="21">
        <f t="shared" si="142"/>
        <v>1</v>
      </c>
      <c r="N840" s="662"/>
      <c r="O840" s="21">
        <f t="shared" si="143"/>
        <v>1</v>
      </c>
      <c r="P840" s="662"/>
      <c r="Q840" s="21">
        <f t="shared" si="144"/>
        <v>0</v>
      </c>
      <c r="R840" s="659">
        <f t="shared" si="145"/>
        <v>0</v>
      </c>
      <c r="S840" s="316">
        <f t="shared" si="146"/>
        <v>0</v>
      </c>
    </row>
    <row r="841" spans="1:19">
      <c r="A841" s="3539"/>
      <c r="B841" s="54"/>
      <c r="C841" s="21">
        <f t="shared" si="137"/>
        <v>1</v>
      </c>
      <c r="D841" s="662"/>
      <c r="E841" s="21">
        <f t="shared" si="138"/>
        <v>1</v>
      </c>
      <c r="F841" s="662"/>
      <c r="G841" s="21">
        <f t="shared" si="139"/>
        <v>1</v>
      </c>
      <c r="H841" s="662"/>
      <c r="I841" s="21">
        <f t="shared" si="140"/>
        <v>1</v>
      </c>
      <c r="J841" s="662"/>
      <c r="K841" s="21">
        <f t="shared" si="141"/>
        <v>1</v>
      </c>
      <c r="L841" s="662"/>
      <c r="M841" s="21">
        <f t="shared" si="142"/>
        <v>1</v>
      </c>
      <c r="N841" s="662"/>
      <c r="O841" s="21">
        <f t="shared" si="143"/>
        <v>1</v>
      </c>
      <c r="P841" s="662"/>
      <c r="Q841" s="21">
        <f t="shared" si="144"/>
        <v>0</v>
      </c>
      <c r="R841" s="659">
        <f t="shared" si="145"/>
        <v>0</v>
      </c>
      <c r="S841" s="316">
        <f t="shared" si="146"/>
        <v>0</v>
      </c>
    </row>
    <row r="842" spans="1:19">
      <c r="A842" s="3539"/>
      <c r="B842" s="54"/>
      <c r="C842" s="21">
        <f t="shared" si="137"/>
        <v>1</v>
      </c>
      <c r="D842" s="662"/>
      <c r="E842" s="21">
        <f t="shared" si="138"/>
        <v>1</v>
      </c>
      <c r="F842" s="662"/>
      <c r="G842" s="21">
        <f t="shared" si="139"/>
        <v>1</v>
      </c>
      <c r="H842" s="662"/>
      <c r="I842" s="21">
        <f t="shared" si="140"/>
        <v>1</v>
      </c>
      <c r="J842" s="662"/>
      <c r="K842" s="21">
        <f t="shared" si="141"/>
        <v>1</v>
      </c>
      <c r="L842" s="662"/>
      <c r="M842" s="21">
        <f t="shared" si="142"/>
        <v>1</v>
      </c>
      <c r="N842" s="662"/>
      <c r="O842" s="21">
        <f t="shared" si="143"/>
        <v>1</v>
      </c>
      <c r="P842" s="662"/>
      <c r="Q842" s="21">
        <f t="shared" si="144"/>
        <v>0</v>
      </c>
      <c r="R842" s="659">
        <f t="shared" si="145"/>
        <v>0</v>
      </c>
      <c r="S842" s="316">
        <f t="shared" si="146"/>
        <v>0</v>
      </c>
    </row>
    <row r="843" spans="1:19">
      <c r="A843" s="3539"/>
      <c r="B843" s="54"/>
      <c r="C843" s="21">
        <f t="shared" si="137"/>
        <v>1</v>
      </c>
      <c r="D843" s="662"/>
      <c r="E843" s="21">
        <f t="shared" si="138"/>
        <v>1</v>
      </c>
      <c r="F843" s="662"/>
      <c r="G843" s="21">
        <f t="shared" si="139"/>
        <v>1</v>
      </c>
      <c r="H843" s="662"/>
      <c r="I843" s="21">
        <f t="shared" si="140"/>
        <v>1</v>
      </c>
      <c r="J843" s="662"/>
      <c r="K843" s="21">
        <f t="shared" si="141"/>
        <v>1</v>
      </c>
      <c r="L843" s="662"/>
      <c r="M843" s="21">
        <f t="shared" si="142"/>
        <v>1</v>
      </c>
      <c r="N843" s="662"/>
      <c r="O843" s="21">
        <f t="shared" si="143"/>
        <v>1</v>
      </c>
      <c r="P843" s="662"/>
      <c r="Q843" s="21">
        <f t="shared" si="144"/>
        <v>0</v>
      </c>
      <c r="R843" s="659">
        <f t="shared" si="145"/>
        <v>0</v>
      </c>
      <c r="S843" s="316">
        <f t="shared" si="146"/>
        <v>0</v>
      </c>
    </row>
    <row r="844" spans="1:19">
      <c r="A844" s="3539"/>
      <c r="B844" s="54"/>
      <c r="C844" s="21">
        <f t="shared" si="137"/>
        <v>1</v>
      </c>
      <c r="D844" s="662"/>
      <c r="E844" s="21">
        <f t="shared" si="138"/>
        <v>1</v>
      </c>
      <c r="F844" s="662"/>
      <c r="G844" s="21">
        <f t="shared" si="139"/>
        <v>1</v>
      </c>
      <c r="H844" s="662"/>
      <c r="I844" s="21">
        <f t="shared" si="140"/>
        <v>1</v>
      </c>
      <c r="J844" s="662"/>
      <c r="K844" s="21">
        <f t="shared" si="141"/>
        <v>1</v>
      </c>
      <c r="L844" s="662"/>
      <c r="M844" s="21">
        <f t="shared" si="142"/>
        <v>1</v>
      </c>
      <c r="N844" s="662"/>
      <c r="O844" s="21">
        <f t="shared" si="143"/>
        <v>1</v>
      </c>
      <c r="P844" s="662"/>
      <c r="Q844" s="21">
        <f t="shared" si="144"/>
        <v>0</v>
      </c>
      <c r="R844" s="659">
        <f t="shared" si="145"/>
        <v>0</v>
      </c>
      <c r="S844" s="316">
        <f t="shared" si="146"/>
        <v>0</v>
      </c>
    </row>
    <row r="845" spans="1:19">
      <c r="A845" s="3539"/>
      <c r="B845" s="54"/>
      <c r="C845" s="21">
        <f t="shared" si="137"/>
        <v>1</v>
      </c>
      <c r="D845" s="662"/>
      <c r="E845" s="21">
        <f t="shared" si="138"/>
        <v>1</v>
      </c>
      <c r="F845" s="662"/>
      <c r="G845" s="21">
        <f t="shared" si="139"/>
        <v>1</v>
      </c>
      <c r="H845" s="662"/>
      <c r="I845" s="21">
        <f t="shared" si="140"/>
        <v>1</v>
      </c>
      <c r="J845" s="662"/>
      <c r="K845" s="21">
        <f t="shared" si="141"/>
        <v>1</v>
      </c>
      <c r="L845" s="662"/>
      <c r="M845" s="21">
        <f t="shared" si="142"/>
        <v>1</v>
      </c>
      <c r="N845" s="662"/>
      <c r="O845" s="21">
        <f t="shared" si="143"/>
        <v>1</v>
      </c>
      <c r="P845" s="662"/>
      <c r="Q845" s="21">
        <f t="shared" si="144"/>
        <v>0</v>
      </c>
      <c r="R845" s="659">
        <f t="shared" si="145"/>
        <v>0</v>
      </c>
      <c r="S845" s="316">
        <f t="shared" si="146"/>
        <v>0</v>
      </c>
    </row>
    <row r="846" spans="1:19">
      <c r="A846" s="3539"/>
      <c r="B846" s="54"/>
      <c r="C846" s="21">
        <f t="shared" si="137"/>
        <v>1</v>
      </c>
      <c r="D846" s="662"/>
      <c r="E846" s="21">
        <f t="shared" si="138"/>
        <v>1</v>
      </c>
      <c r="F846" s="662"/>
      <c r="G846" s="21">
        <f t="shared" si="139"/>
        <v>1</v>
      </c>
      <c r="H846" s="662"/>
      <c r="I846" s="21">
        <f t="shared" si="140"/>
        <v>1</v>
      </c>
      <c r="J846" s="662"/>
      <c r="K846" s="21">
        <f t="shared" si="141"/>
        <v>1</v>
      </c>
      <c r="L846" s="662"/>
      <c r="M846" s="21">
        <f t="shared" si="142"/>
        <v>1</v>
      </c>
      <c r="N846" s="662"/>
      <c r="O846" s="21">
        <f t="shared" si="143"/>
        <v>1</v>
      </c>
      <c r="P846" s="662"/>
      <c r="Q846" s="21">
        <f t="shared" si="144"/>
        <v>0</v>
      </c>
      <c r="R846" s="659">
        <f t="shared" si="145"/>
        <v>0</v>
      </c>
      <c r="S846" s="316">
        <f t="shared" si="146"/>
        <v>0</v>
      </c>
    </row>
    <row r="847" spans="1:19">
      <c r="A847" s="3539"/>
      <c r="B847" s="54"/>
      <c r="C847" s="21">
        <f t="shared" si="137"/>
        <v>1</v>
      </c>
      <c r="D847" s="662"/>
      <c r="E847" s="21">
        <f t="shared" si="138"/>
        <v>1</v>
      </c>
      <c r="F847" s="662"/>
      <c r="G847" s="21">
        <f t="shared" si="139"/>
        <v>1</v>
      </c>
      <c r="H847" s="662"/>
      <c r="I847" s="21">
        <f t="shared" si="140"/>
        <v>1</v>
      </c>
      <c r="J847" s="662"/>
      <c r="K847" s="21">
        <f t="shared" si="141"/>
        <v>1</v>
      </c>
      <c r="L847" s="662"/>
      <c r="M847" s="21">
        <f t="shared" si="142"/>
        <v>1</v>
      </c>
      <c r="N847" s="662"/>
      <c r="O847" s="21">
        <f t="shared" si="143"/>
        <v>1</v>
      </c>
      <c r="P847" s="662"/>
      <c r="Q847" s="21">
        <f t="shared" si="144"/>
        <v>0</v>
      </c>
      <c r="R847" s="659">
        <f t="shared" si="145"/>
        <v>0</v>
      </c>
      <c r="S847" s="316">
        <f t="shared" si="146"/>
        <v>0</v>
      </c>
    </row>
    <row r="848" spans="1:19">
      <c r="A848" s="3539"/>
      <c r="B848" s="54"/>
      <c r="C848" s="21">
        <f t="shared" si="137"/>
        <v>1</v>
      </c>
      <c r="D848" s="662"/>
      <c r="E848" s="21">
        <f t="shared" si="138"/>
        <v>1</v>
      </c>
      <c r="F848" s="662"/>
      <c r="G848" s="21">
        <f t="shared" si="139"/>
        <v>1</v>
      </c>
      <c r="H848" s="662"/>
      <c r="I848" s="21">
        <f t="shared" si="140"/>
        <v>1</v>
      </c>
      <c r="J848" s="662"/>
      <c r="K848" s="21">
        <f t="shared" si="141"/>
        <v>1</v>
      </c>
      <c r="L848" s="662"/>
      <c r="M848" s="21">
        <f t="shared" si="142"/>
        <v>1</v>
      </c>
      <c r="N848" s="662"/>
      <c r="O848" s="21">
        <f t="shared" si="143"/>
        <v>1</v>
      </c>
      <c r="P848" s="662"/>
      <c r="Q848" s="21">
        <f t="shared" si="144"/>
        <v>0</v>
      </c>
      <c r="R848" s="659">
        <f t="shared" si="145"/>
        <v>0</v>
      </c>
      <c r="S848" s="316">
        <f t="shared" si="146"/>
        <v>0</v>
      </c>
    </row>
    <row r="849" spans="1:19">
      <c r="A849" s="3539"/>
      <c r="B849" s="54"/>
      <c r="C849" s="21">
        <f t="shared" si="137"/>
        <v>1</v>
      </c>
      <c r="D849" s="662"/>
      <c r="E849" s="21">
        <f t="shared" si="138"/>
        <v>1</v>
      </c>
      <c r="F849" s="662"/>
      <c r="G849" s="21">
        <f t="shared" si="139"/>
        <v>1</v>
      </c>
      <c r="H849" s="662"/>
      <c r="I849" s="21">
        <f t="shared" si="140"/>
        <v>1</v>
      </c>
      <c r="J849" s="662"/>
      <c r="K849" s="21">
        <f t="shared" si="141"/>
        <v>1</v>
      </c>
      <c r="L849" s="662"/>
      <c r="M849" s="21">
        <f t="shared" si="142"/>
        <v>1</v>
      </c>
      <c r="N849" s="662"/>
      <c r="O849" s="21">
        <f t="shared" si="143"/>
        <v>1</v>
      </c>
      <c r="P849" s="662"/>
      <c r="Q849" s="21">
        <f t="shared" si="144"/>
        <v>0</v>
      </c>
      <c r="R849" s="659">
        <f t="shared" si="145"/>
        <v>0</v>
      </c>
      <c r="S849" s="316">
        <f t="shared" si="146"/>
        <v>0</v>
      </c>
    </row>
    <row r="850" spans="1:19">
      <c r="A850" s="3539"/>
      <c r="B850" s="54"/>
      <c r="C850" s="21">
        <f t="shared" si="137"/>
        <v>1</v>
      </c>
      <c r="D850" s="662"/>
      <c r="E850" s="21">
        <f t="shared" si="138"/>
        <v>1</v>
      </c>
      <c r="F850" s="662"/>
      <c r="G850" s="21">
        <f t="shared" si="139"/>
        <v>1</v>
      </c>
      <c r="H850" s="662"/>
      <c r="I850" s="21">
        <f t="shared" si="140"/>
        <v>1</v>
      </c>
      <c r="J850" s="662"/>
      <c r="K850" s="21">
        <f t="shared" si="141"/>
        <v>1</v>
      </c>
      <c r="L850" s="662"/>
      <c r="M850" s="21">
        <f t="shared" si="142"/>
        <v>1</v>
      </c>
      <c r="N850" s="662"/>
      <c r="O850" s="21">
        <f t="shared" si="143"/>
        <v>1</v>
      </c>
      <c r="P850" s="662"/>
      <c r="Q850" s="21">
        <f t="shared" si="144"/>
        <v>0</v>
      </c>
      <c r="R850" s="659">
        <f t="shared" si="145"/>
        <v>0</v>
      </c>
      <c r="S850" s="316">
        <f t="shared" si="146"/>
        <v>0</v>
      </c>
    </row>
    <row r="851" spans="1:19">
      <c r="A851" s="3539"/>
      <c r="B851" s="54"/>
      <c r="C851" s="21">
        <f t="shared" si="137"/>
        <v>1</v>
      </c>
      <c r="D851" s="662"/>
      <c r="E851" s="21">
        <f t="shared" si="138"/>
        <v>1</v>
      </c>
      <c r="F851" s="662"/>
      <c r="G851" s="21">
        <f t="shared" si="139"/>
        <v>1</v>
      </c>
      <c r="H851" s="662"/>
      <c r="I851" s="21">
        <f t="shared" si="140"/>
        <v>1</v>
      </c>
      <c r="J851" s="662"/>
      <c r="K851" s="21">
        <f t="shared" si="141"/>
        <v>1</v>
      </c>
      <c r="L851" s="662"/>
      <c r="M851" s="21">
        <f t="shared" si="142"/>
        <v>1</v>
      </c>
      <c r="N851" s="662"/>
      <c r="O851" s="21">
        <f t="shared" si="143"/>
        <v>1</v>
      </c>
      <c r="P851" s="662"/>
      <c r="Q851" s="21">
        <f t="shared" si="144"/>
        <v>0</v>
      </c>
      <c r="R851" s="659">
        <f t="shared" si="145"/>
        <v>0</v>
      </c>
      <c r="S851" s="316">
        <f t="shared" si="146"/>
        <v>0</v>
      </c>
    </row>
    <row r="852" spans="1:19">
      <c r="A852" s="3539"/>
      <c r="B852" s="54"/>
      <c r="C852" s="21">
        <f t="shared" si="137"/>
        <v>1</v>
      </c>
      <c r="D852" s="662"/>
      <c r="E852" s="21">
        <f t="shared" si="138"/>
        <v>1</v>
      </c>
      <c r="F852" s="662"/>
      <c r="G852" s="21">
        <f t="shared" si="139"/>
        <v>1</v>
      </c>
      <c r="H852" s="662"/>
      <c r="I852" s="21">
        <f t="shared" si="140"/>
        <v>1</v>
      </c>
      <c r="J852" s="662"/>
      <c r="K852" s="21">
        <f t="shared" si="141"/>
        <v>1</v>
      </c>
      <c r="L852" s="662"/>
      <c r="M852" s="21">
        <f t="shared" si="142"/>
        <v>1</v>
      </c>
      <c r="N852" s="662"/>
      <c r="O852" s="21">
        <f t="shared" si="143"/>
        <v>1</v>
      </c>
      <c r="P852" s="662"/>
      <c r="Q852" s="21">
        <f t="shared" si="144"/>
        <v>0</v>
      </c>
      <c r="R852" s="659">
        <f t="shared" si="145"/>
        <v>0</v>
      </c>
      <c r="S852" s="316">
        <f t="shared" si="146"/>
        <v>0</v>
      </c>
    </row>
    <row r="853" spans="1:19">
      <c r="A853" s="3539"/>
      <c r="B853" s="54"/>
      <c r="C853" s="21">
        <f t="shared" si="137"/>
        <v>1</v>
      </c>
      <c r="D853" s="662"/>
      <c r="E853" s="21">
        <f t="shared" si="138"/>
        <v>1</v>
      </c>
      <c r="F853" s="662"/>
      <c r="G853" s="21">
        <f t="shared" si="139"/>
        <v>1</v>
      </c>
      <c r="H853" s="662"/>
      <c r="I853" s="21">
        <f t="shared" si="140"/>
        <v>1</v>
      </c>
      <c r="J853" s="662"/>
      <c r="K853" s="21">
        <f t="shared" si="141"/>
        <v>1</v>
      </c>
      <c r="L853" s="662"/>
      <c r="M853" s="21">
        <f t="shared" si="142"/>
        <v>1</v>
      </c>
      <c r="N853" s="662"/>
      <c r="O853" s="21">
        <f t="shared" si="143"/>
        <v>1</v>
      </c>
      <c r="P853" s="662"/>
      <c r="Q853" s="21">
        <f t="shared" si="144"/>
        <v>0</v>
      </c>
      <c r="R853" s="659">
        <f t="shared" si="145"/>
        <v>0</v>
      </c>
      <c r="S853" s="316">
        <f t="shared" si="146"/>
        <v>0</v>
      </c>
    </row>
    <row r="854" spans="1:19">
      <c r="A854" s="3539"/>
      <c r="B854" s="54"/>
      <c r="C854" s="21">
        <f t="shared" si="137"/>
        <v>1</v>
      </c>
      <c r="D854" s="662"/>
      <c r="E854" s="21">
        <f t="shared" si="138"/>
        <v>1</v>
      </c>
      <c r="F854" s="662"/>
      <c r="G854" s="21">
        <f t="shared" si="139"/>
        <v>1</v>
      </c>
      <c r="H854" s="662"/>
      <c r="I854" s="21">
        <f t="shared" si="140"/>
        <v>1</v>
      </c>
      <c r="J854" s="662"/>
      <c r="K854" s="21">
        <f t="shared" si="141"/>
        <v>1</v>
      </c>
      <c r="L854" s="662"/>
      <c r="M854" s="21">
        <f t="shared" si="142"/>
        <v>1</v>
      </c>
      <c r="N854" s="662"/>
      <c r="O854" s="21">
        <f t="shared" si="143"/>
        <v>1</v>
      </c>
      <c r="P854" s="662"/>
      <c r="Q854" s="21">
        <f t="shared" si="144"/>
        <v>0</v>
      </c>
      <c r="R854" s="659">
        <f t="shared" si="145"/>
        <v>0</v>
      </c>
      <c r="S854" s="316">
        <f t="shared" si="146"/>
        <v>0</v>
      </c>
    </row>
    <row r="855" spans="1:19">
      <c r="A855" s="3539"/>
      <c r="B855" s="54"/>
      <c r="C855" s="21">
        <f t="shared" si="137"/>
        <v>1</v>
      </c>
      <c r="D855" s="662"/>
      <c r="E855" s="21">
        <f t="shared" si="138"/>
        <v>1</v>
      </c>
      <c r="F855" s="662"/>
      <c r="G855" s="21">
        <f t="shared" si="139"/>
        <v>1</v>
      </c>
      <c r="H855" s="662"/>
      <c r="I855" s="21">
        <f t="shared" si="140"/>
        <v>1</v>
      </c>
      <c r="J855" s="662"/>
      <c r="K855" s="21">
        <f t="shared" si="141"/>
        <v>1</v>
      </c>
      <c r="L855" s="662"/>
      <c r="M855" s="21">
        <f t="shared" si="142"/>
        <v>1</v>
      </c>
      <c r="N855" s="662"/>
      <c r="O855" s="21">
        <f t="shared" si="143"/>
        <v>1</v>
      </c>
      <c r="P855" s="662"/>
      <c r="Q855" s="21">
        <f t="shared" si="144"/>
        <v>0</v>
      </c>
      <c r="R855" s="659">
        <f t="shared" si="145"/>
        <v>0</v>
      </c>
      <c r="S855" s="316">
        <f t="shared" si="146"/>
        <v>0</v>
      </c>
    </row>
    <row r="856" spans="1:19">
      <c r="A856" s="3539"/>
      <c r="B856" s="54"/>
      <c r="C856" s="21">
        <f t="shared" si="137"/>
        <v>1</v>
      </c>
      <c r="D856" s="662"/>
      <c r="E856" s="21">
        <f t="shared" si="138"/>
        <v>1</v>
      </c>
      <c r="F856" s="662"/>
      <c r="G856" s="21">
        <f t="shared" si="139"/>
        <v>1</v>
      </c>
      <c r="H856" s="662"/>
      <c r="I856" s="21">
        <f t="shared" si="140"/>
        <v>1</v>
      </c>
      <c r="J856" s="662"/>
      <c r="K856" s="21">
        <f t="shared" si="141"/>
        <v>1</v>
      </c>
      <c r="L856" s="662"/>
      <c r="M856" s="21">
        <f t="shared" si="142"/>
        <v>1</v>
      </c>
      <c r="N856" s="662"/>
      <c r="O856" s="21">
        <f t="shared" si="143"/>
        <v>1</v>
      </c>
      <c r="P856" s="662"/>
      <c r="Q856" s="21">
        <f t="shared" si="144"/>
        <v>0</v>
      </c>
      <c r="R856" s="659">
        <f t="shared" si="145"/>
        <v>0</v>
      </c>
      <c r="S856" s="316">
        <f t="shared" si="146"/>
        <v>0</v>
      </c>
    </row>
    <row r="857" spans="1:19">
      <c r="A857" s="3539"/>
      <c r="B857" s="54"/>
      <c r="C857" s="21">
        <f t="shared" si="137"/>
        <v>1</v>
      </c>
      <c r="D857" s="662"/>
      <c r="E857" s="21">
        <f t="shared" si="138"/>
        <v>1</v>
      </c>
      <c r="F857" s="662"/>
      <c r="G857" s="21">
        <f t="shared" si="139"/>
        <v>1</v>
      </c>
      <c r="H857" s="662"/>
      <c r="I857" s="21">
        <f t="shared" si="140"/>
        <v>1</v>
      </c>
      <c r="J857" s="662"/>
      <c r="K857" s="21">
        <f t="shared" si="141"/>
        <v>1</v>
      </c>
      <c r="L857" s="662"/>
      <c r="M857" s="21">
        <f t="shared" si="142"/>
        <v>1</v>
      </c>
      <c r="N857" s="662"/>
      <c r="O857" s="21">
        <f t="shared" si="143"/>
        <v>1</v>
      </c>
      <c r="P857" s="662"/>
      <c r="Q857" s="21">
        <f t="shared" si="144"/>
        <v>0</v>
      </c>
      <c r="R857" s="659">
        <f t="shared" si="145"/>
        <v>0</v>
      </c>
      <c r="S857" s="316">
        <f t="shared" si="146"/>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01" t="s">
        <v>949</v>
      </c>
      <c r="B1" s="3601"/>
      <c r="C1" s="3601"/>
      <c r="D1" s="3601"/>
    </row>
    <row r="2" spans="1:4" ht="18">
      <c r="A2" s="3602" t="s">
        <v>933</v>
      </c>
      <c r="B2" s="3602"/>
      <c r="C2" s="3602"/>
      <c r="D2" s="3602"/>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02" t="s">
        <v>939</v>
      </c>
      <c r="B6" s="3602"/>
      <c r="C6" s="3602"/>
      <c r="D6" s="3602"/>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03" t="s">
        <v>942</v>
      </c>
      <c r="B11" s="3595"/>
      <c r="C11" s="3595"/>
      <c r="D11" s="3595"/>
    </row>
    <row r="12" spans="1:4" ht="15.75">
      <c r="A12" s="35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0"/>
      <c r="C12" s="3600"/>
      <c r="D12" s="3600"/>
    </row>
    <row r="13" spans="1:4" ht="30" customHeight="1">
      <c r="A13" s="35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0"/>
      <c r="C13" s="3600"/>
      <c r="D13" s="3600"/>
    </row>
    <row r="14" spans="1:4" ht="15.75" customHeight="1">
      <c r="A14" s="3595" t="str">
        <f>IF(项目基本情况!B8="抵押","4.本次评估估价师所知悉的法定优先受偿款情况说明如下：","——")</f>
        <v>4.本次评估估价师所知悉的法定优先受偿款情况说明如下：</v>
      </c>
      <c r="B14" s="3600"/>
      <c r="C14" s="3600"/>
      <c r="D14" s="3600"/>
    </row>
    <row r="15" spans="1:4" ht="42" customHeight="1">
      <c r="A15" s="35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5"/>
      <c r="C15" s="3595"/>
      <c r="D15" s="3595"/>
    </row>
    <row r="16" spans="1:4" ht="30" customHeight="1">
      <c r="A16" s="3597" t="s">
        <v>943</v>
      </c>
      <c r="B16" s="3597"/>
      <c r="C16" s="3597"/>
      <c r="D16" s="3597"/>
    </row>
    <row r="17" spans="1:4" ht="144" customHeight="1">
      <c r="A17" s="3597" t="s">
        <v>944</v>
      </c>
      <c r="B17" s="3597"/>
      <c r="C17" s="3597"/>
      <c r="D17" s="3597"/>
    </row>
    <row r="18" spans="1:4" ht="15.75" customHeight="1">
      <c r="A18" s="3595" t="str">
        <f>IF(项目基本情况!B8="抵押",结果表!K120,"——")</f>
        <v>故，本次评估不存在估价师知悉的法定优先受偿款</v>
      </c>
      <c r="B18" s="3595"/>
      <c r="C18" s="3595"/>
      <c r="D18" s="3595"/>
    </row>
    <row r="19" spans="1:4" ht="46.5" customHeight="1">
      <c r="A19" s="35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5"/>
      <c r="C19" s="3595"/>
      <c r="D19" s="3595"/>
    </row>
    <row r="20" spans="1:4" ht="57.75" customHeight="1">
      <c r="A20" s="35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5"/>
      <c r="C20" s="3595"/>
      <c r="D20" s="3595"/>
    </row>
    <row r="21" spans="1:4" ht="57.75" customHeight="1">
      <c r="A21" s="35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8"/>
      <c r="C21" s="3598"/>
      <c r="D21" s="3598"/>
    </row>
    <row r="22" spans="1:4" ht="18.75" customHeight="1">
      <c r="A22" s="3599" t="s">
        <v>945</v>
      </c>
      <c r="B22" s="3599"/>
      <c r="C22" s="3599"/>
      <c r="D22" s="3599"/>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96">
        <v>42551</v>
      </c>
      <c r="D31" s="35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09" t="s">
        <v>956</v>
      </c>
      <c r="B15" s="3604" t="s">
        <v>109</v>
      </c>
      <c r="C15" s="3605"/>
    </row>
    <row r="16" spans="1:7" ht="13.5">
      <c r="A16" s="3610"/>
      <c r="B16" s="3604" t="s">
        <v>42</v>
      </c>
      <c r="C16" s="3605"/>
    </row>
    <row r="17" spans="1:3" ht="13.5">
      <c r="A17" s="3610"/>
      <c r="B17" s="3607" t="s">
        <v>957</v>
      </c>
      <c r="C17" s="1524" t="s">
        <v>956</v>
      </c>
    </row>
    <row r="18" spans="1:3" ht="13.5">
      <c r="A18" s="3610"/>
      <c r="B18" s="3607"/>
      <c r="C18" s="1524" t="s">
        <v>958</v>
      </c>
    </row>
    <row r="19" spans="1:3" ht="13.5">
      <c r="A19" s="3610"/>
      <c r="B19" s="3607"/>
      <c r="C19" s="1524" t="s">
        <v>959</v>
      </c>
    </row>
    <row r="20" spans="1:3" ht="13.5">
      <c r="A20" s="3611"/>
      <c r="B20" s="3606" t="s">
        <v>960</v>
      </c>
      <c r="C20" s="3605"/>
    </row>
    <row r="21" spans="1:3" ht="13.5">
      <c r="A21" s="1525" t="s">
        <v>961</v>
      </c>
      <c r="B21" s="1526"/>
      <c r="C21" s="1527"/>
    </row>
    <row r="22" spans="1:3" ht="13.5">
      <c r="A22" s="3608" t="s">
        <v>962</v>
      </c>
      <c r="B22" s="3606" t="s">
        <v>963</v>
      </c>
      <c r="C22" s="3605"/>
    </row>
    <row r="23" spans="1:3" ht="13.5">
      <c r="A23" s="3608"/>
      <c r="B23" s="3606" t="s">
        <v>964</v>
      </c>
      <c r="C23" s="3605"/>
    </row>
    <row r="24" spans="1:3" ht="13.5">
      <c r="A24" s="3608"/>
      <c r="B24" s="3606" t="s">
        <v>965</v>
      </c>
      <c r="C24" s="3605"/>
    </row>
    <row r="25" spans="1:3" ht="13.5">
      <c r="A25" s="3608"/>
      <c r="B25" s="3607" t="s">
        <v>966</v>
      </c>
      <c r="C25" s="1524" t="s">
        <v>967</v>
      </c>
    </row>
    <row r="26" spans="1:3" ht="13.5">
      <c r="A26" s="3608"/>
      <c r="B26" s="3607"/>
      <c r="C26" s="1524" t="s">
        <v>968</v>
      </c>
    </row>
    <row r="27" spans="1:3" ht="13.5">
      <c r="A27" s="3608"/>
      <c r="B27" s="3607"/>
      <c r="C27" s="1524" t="s">
        <v>969</v>
      </c>
    </row>
    <row r="28" spans="1:3" ht="13.5">
      <c r="A28" s="3608"/>
      <c r="B28" s="3607"/>
      <c r="C28" s="1524" t="s">
        <v>970</v>
      </c>
    </row>
    <row r="29" spans="1:3" ht="13.5">
      <c r="A29" s="3608"/>
      <c r="B29" s="3607"/>
      <c r="C29" s="1524" t="s">
        <v>971</v>
      </c>
    </row>
    <row r="30" spans="1:3" ht="13.5">
      <c r="A30" s="3608"/>
      <c r="B30" s="3607"/>
      <c r="C30" s="1524" t="s">
        <v>972</v>
      </c>
    </row>
    <row r="31" spans="1:3" ht="13.5">
      <c r="A31" s="3608"/>
      <c r="B31" s="3607"/>
      <c r="C31" s="1524" t="s">
        <v>973</v>
      </c>
    </row>
    <row r="32" spans="1:3" ht="13.5">
      <c r="A32" s="3608"/>
      <c r="B32" s="3607"/>
      <c r="C32" s="1524" t="s">
        <v>974</v>
      </c>
    </row>
    <row r="33" spans="1:3" ht="13.5">
      <c r="A33" s="3608"/>
      <c r="B33" s="3607"/>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45177</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12" t="s">
        <v>2159</v>
      </c>
      <c r="B17" s="3612"/>
      <c r="C17" s="3612"/>
      <c r="D17" s="3612"/>
      <c r="E17" s="3612"/>
      <c r="F17" s="3612"/>
      <c r="G17" s="3612"/>
      <c r="H17" s="3612"/>
    </row>
    <row r="18" spans="1:8" ht="24" customHeight="1">
      <c r="A18" s="3613" t="s">
        <v>2160</v>
      </c>
      <c r="B18" s="3613"/>
      <c r="C18" s="3613"/>
      <c r="D18" s="2331"/>
      <c r="E18" s="3614" t="s">
        <v>2161</v>
      </c>
      <c r="F18" s="3613"/>
      <c r="G18" s="3613"/>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3" priority="53">
      <formula>AND($C4-TODAY()&lt;30,TODAY()&lt;$C4)</formula>
    </cfRule>
  </conditionalFormatting>
  <conditionalFormatting sqref="C20:D20">
    <cfRule type="expression" dxfId="262" priority="52">
      <formula>AND($C20-TODAY()&lt;30,TODAY()&lt;$C20)</formula>
    </cfRule>
  </conditionalFormatting>
  <conditionalFormatting sqref="C20:D20 G4 C4:D5 C13:D13">
    <cfRule type="cellIs" dxfId="261" priority="54" stopIfTrue="1" operator="lessThan">
      <formula>$B$2</formula>
    </cfRule>
  </conditionalFormatting>
  <conditionalFormatting sqref="G5 G7 G9">
    <cfRule type="cellIs" dxfId="260" priority="51" stopIfTrue="1" operator="lessThan">
      <formula>$B$2</formula>
    </cfRule>
  </conditionalFormatting>
  <conditionalFormatting sqref="C6:D6 D14 D16">
    <cfRule type="expression" dxfId="259" priority="49">
      <formula>AND($C6-TODAY()&lt;30,TODAY()&lt;$C6)</formula>
    </cfRule>
  </conditionalFormatting>
  <conditionalFormatting sqref="G6 G8 G10 C6:D6 D7:D12 D14 D16">
    <cfRule type="cellIs" dxfId="258" priority="50" stopIfTrue="1" operator="lessThan">
      <formula>$B$2</formula>
    </cfRule>
  </conditionalFormatting>
  <conditionalFormatting sqref="D12">
    <cfRule type="expression" dxfId="257" priority="47">
      <formula>AND($C12-TODAY()&lt;30,TODAY()&lt;$C12)</formula>
    </cfRule>
  </conditionalFormatting>
  <conditionalFormatting sqref="D12">
    <cfRule type="cellIs" dxfId="256" priority="48" stopIfTrue="1" operator="lessThan">
      <formula>$B$2</formula>
    </cfRule>
  </conditionalFormatting>
  <conditionalFormatting sqref="C13:D13">
    <cfRule type="expression" dxfId="255" priority="45">
      <formula>AND($C13-TODAY()&lt;30,TODAY()&lt;$C13)</formula>
    </cfRule>
  </conditionalFormatting>
  <conditionalFormatting sqref="C13:D13">
    <cfRule type="cellIs" dxfId="254" priority="46" stopIfTrue="1" operator="lessThan">
      <formula>$B$2</formula>
    </cfRule>
  </conditionalFormatting>
  <conditionalFormatting sqref="D14">
    <cfRule type="expression" dxfId="253" priority="43">
      <formula>AND($C14-TODAY()&lt;30,TODAY()&lt;$C14)</formula>
    </cfRule>
  </conditionalFormatting>
  <conditionalFormatting sqref="D14">
    <cfRule type="cellIs" dxfId="252" priority="44" stopIfTrue="1" operator="lessThan">
      <formula>$B$2</formula>
    </cfRule>
  </conditionalFormatting>
  <conditionalFormatting sqref="G13">
    <cfRule type="cellIs" dxfId="251" priority="42" stopIfTrue="1" operator="lessThan">
      <formula>$B$2</formula>
    </cfRule>
  </conditionalFormatting>
  <conditionalFormatting sqref="B4:B11 F4:F11 B13 F13:F14">
    <cfRule type="cellIs" dxfId="250" priority="41" stopIfTrue="1" operator="equal">
      <formula>"已过期"</formula>
    </cfRule>
  </conditionalFormatting>
  <conditionalFormatting sqref="C7">
    <cfRule type="cellIs" dxfId="249" priority="38" stopIfTrue="1" operator="lessThan">
      <formula>$B$2</formula>
    </cfRule>
  </conditionalFormatting>
  <conditionalFormatting sqref="C7">
    <cfRule type="expression" dxfId="248" priority="37">
      <formula>AND($C7-TODAY()&lt;30,TODAY()&lt;$C7)</formula>
    </cfRule>
  </conditionalFormatting>
  <conditionalFormatting sqref="C8">
    <cfRule type="expression" dxfId="247" priority="35">
      <formula>AND($C8-TODAY()&lt;30,TODAY()&lt;$C8)</formula>
    </cfRule>
  </conditionalFormatting>
  <conditionalFormatting sqref="C8">
    <cfRule type="cellIs" dxfId="246" priority="36" stopIfTrue="1" operator="lessThan">
      <formula>$B$2</formula>
    </cfRule>
  </conditionalFormatting>
  <conditionalFormatting sqref="C11">
    <cfRule type="expression" dxfId="245" priority="33">
      <formula>AND($C11-TODAY()&lt;30,TODAY()&lt;$C11)</formula>
    </cfRule>
  </conditionalFormatting>
  <conditionalFormatting sqref="C11">
    <cfRule type="cellIs" dxfId="244" priority="34" stopIfTrue="1" operator="lessThan">
      <formula>$B$2</formula>
    </cfRule>
  </conditionalFormatting>
  <conditionalFormatting sqref="A16:C16">
    <cfRule type="cellIs" dxfId="243" priority="32" stopIfTrue="1" operator="equal">
      <formula>"已过期"</formula>
    </cfRule>
  </conditionalFormatting>
  <conditionalFormatting sqref="E16:G16">
    <cfRule type="cellIs" dxfId="242" priority="31" stopIfTrue="1" operator="equal">
      <formula>"已过期"</formula>
    </cfRule>
  </conditionalFormatting>
  <conditionalFormatting sqref="G11">
    <cfRule type="cellIs" dxfId="241" priority="30"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2">
    <cfRule type="cellIs" dxfId="238" priority="27" stopIfTrue="1" operator="lessThan">
      <formula>$B$2</formula>
    </cfRule>
  </conditionalFormatting>
  <conditionalFormatting sqref="C12">
    <cfRule type="expression" dxfId="237" priority="25">
      <formula>AND($C12-TODAY()&lt;30,TODAY()&lt;$C12)</formula>
    </cfRule>
  </conditionalFormatting>
  <conditionalFormatting sqref="C12">
    <cfRule type="cellIs" dxfId="236" priority="26" stopIfTrue="1" operator="lessThan">
      <formula>$B$2</formula>
    </cfRule>
  </conditionalFormatting>
  <conditionalFormatting sqref="B12">
    <cfRule type="cellIs" dxfId="235" priority="24" stopIfTrue="1" operator="equal">
      <formula>"已过期"</formula>
    </cfRule>
  </conditionalFormatting>
  <conditionalFormatting sqref="C9:C10">
    <cfRule type="expression" dxfId="234" priority="22">
      <formula>AND($C9-TODAY()&lt;30,TODAY()&lt;$C9)</formula>
    </cfRule>
  </conditionalFormatting>
  <conditionalFormatting sqref="C9:C10">
    <cfRule type="cellIs" dxfId="233" priority="23" stopIfTrue="1" operator="lessThan">
      <formula>$B$2</formula>
    </cfRule>
  </conditionalFormatting>
  <conditionalFormatting sqref="G21">
    <cfRule type="expression" dxfId="232" priority="20" stopIfTrue="1">
      <formula>AND(#REF!-TODAY()&lt;30,TODAY()&lt;#REF!)</formula>
    </cfRule>
  </conditionalFormatting>
  <conditionalFormatting sqref="G21">
    <cfRule type="cellIs" dxfId="231" priority="21" stopIfTrue="1" operator="lessThan">
      <formula>$B$2</formula>
    </cfRule>
  </conditionalFormatting>
  <conditionalFormatting sqref="C14">
    <cfRule type="expression" dxfId="230" priority="18">
      <formula>AND($C14-TODAY()&lt;30,TODAY()&lt;$C14)</formula>
    </cfRule>
  </conditionalFormatting>
  <conditionalFormatting sqref="C14">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B14">
    <cfRule type="cellIs" dxfId="226" priority="15" stopIfTrue="1" operator="equal">
      <formula>"已过期"</formula>
    </cfRule>
  </conditionalFormatting>
  <conditionalFormatting sqref="G14">
    <cfRule type="cellIs" dxfId="225" priority="14" stopIfTrue="1" operator="lessThan">
      <formula>$B$2</formula>
    </cfRule>
  </conditionalFormatting>
  <conditionalFormatting sqref="D15">
    <cfRule type="expression" dxfId="224" priority="12">
      <formula>AND($C15-TODAY()&lt;30,TODAY()&lt;$C15)</formula>
    </cfRule>
  </conditionalFormatting>
  <conditionalFormatting sqref="D15">
    <cfRule type="cellIs" dxfId="223" priority="13"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C15">
    <cfRule type="expression" dxfId="219" priority="7">
      <formula>AND($C15-TODAY()&lt;30,TODAY()&lt;$C15)</formula>
    </cfRule>
  </conditionalFormatting>
  <conditionalFormatting sqref="C15">
    <cfRule type="cellIs" dxfId="218" priority="8" stopIfTrue="1" operator="lessThan">
      <formula>$B$2</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B15">
    <cfRule type="cellIs" dxfId="215" priority="4" stopIfTrue="1" operator="equal">
      <formula>"已过期"</formula>
    </cfRule>
  </conditionalFormatting>
  <conditionalFormatting sqref="G15">
    <cfRule type="cellIs" dxfId="214" priority="3" stopIfTrue="1" operator="lessThan">
      <formula>$B$2</formula>
    </cfRule>
  </conditionalFormatting>
  <conditionalFormatting sqref="G20">
    <cfRule type="expression" dxfId="213" priority="1" stopIfTrue="1">
      <formula>AND(#REF!-TODAY()&lt;30,TODAY()&lt;#REF!)</formula>
    </cfRule>
  </conditionalFormatting>
  <conditionalFormatting sqref="G20">
    <cfRule type="cellIs" dxfId="21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商办车库</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2023-09-08T08:03:14Z</dcterms:modified>
</cp:coreProperties>
</file>