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2.咨询报告\2026-1-0205北京市朝阳区林萃路1号院1号楼8层2单元802\"/>
    </mc:Choice>
  </mc:AlternateContent>
  <bookViews>
    <workbookView xWindow="0" yWindow="0" windowWidth="24780" windowHeight="13332" tabRatio="787" firstSheet="3" activeTab="6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P22" i="67"/>
  <c r="E22" i="67" s="1"/>
  <c r="U22" i="67" s="1"/>
  <c r="O22" i="67"/>
  <c r="C22" i="67" s="1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6" i="68" s="1"/>
  <c r="B3" i="68"/>
  <c r="B8" i="68"/>
  <c r="B7" i="68"/>
  <c r="B6" i="68"/>
  <c r="B5" i="68"/>
  <c r="N25" i="67"/>
  <c r="O25" i="67"/>
  <c r="P25" i="67"/>
  <c r="Q25" i="67"/>
  <c r="N26" i="67"/>
  <c r="B26" i="67" s="1"/>
  <c r="O26" i="67"/>
  <c r="C26" i="67" s="1"/>
  <c r="C25" i="67" s="1"/>
  <c r="P26" i="67"/>
  <c r="Q26" i="67"/>
  <c r="F26" i="67"/>
  <c r="F25" i="67" s="1"/>
  <c r="F24" i="67" s="1"/>
  <c r="E26" i="67"/>
  <c r="U26" i="67" s="1"/>
  <c r="E25" i="67"/>
  <c r="E24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B80" i="67" s="1"/>
  <c r="F81" i="67"/>
  <c r="E81" i="67"/>
  <c r="E80" i="67" s="1"/>
  <c r="F80" i="67"/>
  <c r="Q78" i="67"/>
  <c r="P78" i="67"/>
  <c r="O78" i="67"/>
  <c r="N78" i="67"/>
  <c r="F78" i="67"/>
  <c r="V78" i="67" s="1"/>
  <c r="E78" i="67"/>
  <c r="E77" i="67" s="1"/>
  <c r="E76" i="67" s="1"/>
  <c r="C78" i="67"/>
  <c r="T78" i="67" s="1"/>
  <c r="B78" i="67"/>
  <c r="Q77" i="67"/>
  <c r="P77" i="67"/>
  <c r="O77" i="67"/>
  <c r="N77" i="67"/>
  <c r="F77" i="67"/>
  <c r="F76" i="67" s="1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E74" i="67"/>
  <c r="U74" i="67" s="1"/>
  <c r="C74" i="67"/>
  <c r="T74" i="67" s="1"/>
  <c r="B74" i="67"/>
  <c r="S74" i="67" s="1"/>
  <c r="Q73" i="67"/>
  <c r="P73" i="67"/>
  <c r="O73" i="67"/>
  <c r="N73" i="67"/>
  <c r="E73" i="67"/>
  <c r="E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B70" i="67"/>
  <c r="Q69" i="67"/>
  <c r="P69" i="67"/>
  <c r="O69" i="67"/>
  <c r="N69" i="67"/>
  <c r="F69" i="67"/>
  <c r="F68" i="67" s="1"/>
  <c r="Q68" i="67"/>
  <c r="P68" i="67"/>
  <c r="O68" i="67"/>
  <c r="N68" i="67"/>
  <c r="Q67" i="67"/>
  <c r="P67" i="67"/>
  <c r="O67" i="67"/>
  <c r="N67" i="67"/>
  <c r="F66" i="67"/>
  <c r="V66" i="67"/>
  <c r="E66" i="67"/>
  <c r="C66" i="67"/>
  <c r="B66" i="67"/>
  <c r="S66" i="67" s="1"/>
  <c r="F65" i="67"/>
  <c r="E65" i="67"/>
  <c r="P65" i="67" s="1"/>
  <c r="C65" i="67"/>
  <c r="O65" i="67" s="1"/>
  <c r="B65" i="67"/>
  <c r="N65" i="67" s="1"/>
  <c r="B64" i="67"/>
  <c r="N64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/>
  <c r="P59" i="67"/>
  <c r="E60" i="67" s="1"/>
  <c r="O59" i="67"/>
  <c r="C60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 s="1"/>
  <c r="V58" i="67"/>
  <c r="P55" i="67"/>
  <c r="E56" i="67" s="1"/>
  <c r="O55" i="67"/>
  <c r="C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O51" i="67"/>
  <c r="C52" i="67" s="1"/>
  <c r="N51" i="67"/>
  <c r="B52" i="67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E45" i="67" s="1"/>
  <c r="O44" i="67"/>
  <c r="N44" i="67"/>
  <c r="Q43" i="67"/>
  <c r="F44" i="67" s="1"/>
  <c r="F45" i="67" s="1"/>
  <c r="F46" i="67"/>
  <c r="V46" i="67" s="1"/>
  <c r="P43" i="67"/>
  <c r="E44" i="67" s="1"/>
  <c r="E46" i="67"/>
  <c r="U46" i="67" s="1"/>
  <c r="O43" i="67"/>
  <c r="C44" i="67" s="1"/>
  <c r="N43" i="67"/>
  <c r="B44" i="67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D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/>
  <c r="F33" i="67" s="1"/>
  <c r="F34" i="67" s="1"/>
  <c r="V34" i="67" s="1"/>
  <c r="P31" i="67"/>
  <c r="E32" i="67" s="1"/>
  <c r="O31" i="67"/>
  <c r="C32" i="67" s="1"/>
  <c r="N31" i="67"/>
  <c r="B32" i="67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D28" i="67" s="1"/>
  <c r="N27" i="67"/>
  <c r="B28" i="67"/>
  <c r="B29" i="67" s="1"/>
  <c r="B30" i="67" s="1"/>
  <c r="S30" i="67" s="1"/>
  <c r="N66" i="67"/>
  <c r="O66" i="67"/>
  <c r="Q66" i="67"/>
  <c r="Y63" i="66"/>
  <c r="Y62" i="66" s="1"/>
  <c r="T62" i="66" s="1"/>
  <c r="B62" i="66" s="1"/>
  <c r="A70" i="66"/>
  <c r="H6" i="59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K15" i="66" s="1"/>
  <c r="B16" i="66"/>
  <c r="C16" i="66"/>
  <c r="E16" i="66"/>
  <c r="F16" i="66"/>
  <c r="B17" i="66"/>
  <c r="C17" i="66"/>
  <c r="E17" i="66"/>
  <c r="F17" i="66"/>
  <c r="B18" i="66"/>
  <c r="C18" i="66"/>
  <c r="H18" i="66"/>
  <c r="E18" i="66"/>
  <c r="F18" i="66"/>
  <c r="K18" i="66" s="1"/>
  <c r="B19" i="66"/>
  <c r="C19" i="66"/>
  <c r="D19" i="66" s="1"/>
  <c r="E19" i="66"/>
  <c r="F19" i="66"/>
  <c r="B20" i="66"/>
  <c r="C20" i="66"/>
  <c r="E20" i="66"/>
  <c r="F20" i="66"/>
  <c r="B21" i="66"/>
  <c r="C21" i="66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D33" i="66" s="1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8" i="66" s="1"/>
  <c r="C8" i="66"/>
  <c r="B8" i="66"/>
  <c r="Z67" i="66"/>
  <c r="AA67" i="66"/>
  <c r="AB67" i="66"/>
  <c r="W67" i="66"/>
  <c r="F67" i="66" s="1"/>
  <c r="Y67" i="66"/>
  <c r="AB63" i="66"/>
  <c r="W63" i="66"/>
  <c r="F63" i="66"/>
  <c r="AA63" i="66"/>
  <c r="AA62" i="66" s="1"/>
  <c r="AA61" i="66" s="1"/>
  <c r="Z63" i="66"/>
  <c r="Z62" i="66" s="1"/>
  <c r="U63" i="66"/>
  <c r="C63" i="66"/>
  <c r="Y61" i="66"/>
  <c r="T61" i="66" s="1"/>
  <c r="B61" i="66" s="1"/>
  <c r="D8" i="66"/>
  <c r="D25" i="66"/>
  <c r="D21" i="66"/>
  <c r="D20" i="66"/>
  <c r="D18" i="66"/>
  <c r="D17" i="66"/>
  <c r="D16" i="66"/>
  <c r="I15" i="66" s="1"/>
  <c r="D15" i="66"/>
  <c r="D14" i="66"/>
  <c r="D13" i="66"/>
  <c r="D12" i="66"/>
  <c r="D11" i="66"/>
  <c r="D10" i="66"/>
  <c r="D9" i="66"/>
  <c r="I9" i="66" s="1"/>
  <c r="H17" i="66"/>
  <c r="H16" i="66"/>
  <c r="H15" i="66"/>
  <c r="H14" i="66"/>
  <c r="K13" i="66"/>
  <c r="H13" i="66"/>
  <c r="H12" i="66"/>
  <c r="H11" i="66"/>
  <c r="H10" i="66"/>
  <c r="H9" i="66"/>
  <c r="H7" i="66"/>
  <c r="H5" i="66"/>
  <c r="D50" i="66"/>
  <c r="D44" i="66"/>
  <c r="D40" i="66"/>
  <c r="D29" i="66"/>
  <c r="J13" i="66"/>
  <c r="J2" i="66"/>
  <c r="N23" i="43" s="1"/>
  <c r="U62" i="66"/>
  <c r="C62" i="66" s="1"/>
  <c r="D62" i="66" s="1"/>
  <c r="T63" i="66"/>
  <c r="B63" i="66" s="1"/>
  <c r="AB62" i="66"/>
  <c r="T60" i="66"/>
  <c r="B60" i="66" s="1"/>
  <c r="V62" i="66"/>
  <c r="E62" i="66" s="1"/>
  <c r="AB66" i="66"/>
  <c r="AB65" i="66" s="1"/>
  <c r="G32" i="59"/>
  <c r="G31" i="59"/>
  <c r="G30" i="59"/>
  <c r="O2" i="59"/>
  <c r="O3" i="59" s="1"/>
  <c r="P33" i="59"/>
  <c r="Q33" i="59"/>
  <c r="R33" i="59"/>
  <c r="O33" i="59"/>
  <c r="H21" i="59"/>
  <c r="I18" i="66"/>
  <c r="Z61" i="66"/>
  <c r="U61" i="66" s="1"/>
  <c r="C61" i="66" s="1"/>
  <c r="U60" i="66"/>
  <c r="C60" i="66" s="1"/>
  <c r="C18" i="64"/>
  <c r="G13" i="9"/>
  <c r="C13" i="9"/>
  <c r="C11" i="9"/>
  <c r="G10" i="9"/>
  <c r="G9" i="9"/>
  <c r="G8" i="9"/>
  <c r="I22" i="59"/>
  <c r="A48" i="39"/>
  <c r="D120" i="39"/>
  <c r="E120" i="39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B7" i="64"/>
  <c r="E14" i="64" s="1"/>
  <c r="B5" i="64"/>
  <c r="C25" i="64" s="1"/>
  <c r="B10" i="64"/>
  <c r="D28" i="64" s="1"/>
  <c r="B9" i="64"/>
  <c r="D17" i="64"/>
  <c r="D30" i="64"/>
  <c r="G11" i="9"/>
  <c r="F7" i="9"/>
  <c r="F6" i="9"/>
  <c r="C63" i="39"/>
  <c r="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/>
  <c r="P28" i="62"/>
  <c r="I91" i="62" s="1"/>
  <c r="P29" i="62"/>
  <c r="I92" i="62"/>
  <c r="P30" i="62"/>
  <c r="I93" i="62" s="1"/>
  <c r="P31" i="62"/>
  <c r="I94" i="62"/>
  <c r="P25" i="62"/>
  <c r="I88" i="62" s="1"/>
  <c r="N26" i="62"/>
  <c r="H89" i="62"/>
  <c r="N27" i="62"/>
  <c r="H90" i="62" s="1"/>
  <c r="N28" i="62"/>
  <c r="H91" i="62"/>
  <c r="N29" i="62"/>
  <c r="H92" i="62" s="1"/>
  <c r="N30" i="62"/>
  <c r="H93" i="62"/>
  <c r="N31" i="62"/>
  <c r="H94" i="62" s="1"/>
  <c r="N25" i="62"/>
  <c r="H88" i="62"/>
  <c r="L26" i="62"/>
  <c r="G89" i="62" s="1"/>
  <c r="L27" i="62"/>
  <c r="G90" i="62"/>
  <c r="L28" i="62"/>
  <c r="G91" i="62" s="1"/>
  <c r="L29" i="62"/>
  <c r="G92" i="62"/>
  <c r="L30" i="62"/>
  <c r="G93" i="62" s="1"/>
  <c r="L31" i="62"/>
  <c r="G94" i="62"/>
  <c r="L25" i="62"/>
  <c r="G88" i="62" s="1"/>
  <c r="H31" i="62"/>
  <c r="E94" i="62"/>
  <c r="H30" i="62"/>
  <c r="E93" i="62" s="1"/>
  <c r="H29" i="62"/>
  <c r="E92" i="62"/>
  <c r="H28" i="62"/>
  <c r="E91" i="62" s="1"/>
  <c r="H27" i="62"/>
  <c r="E90" i="62"/>
  <c r="H26" i="62"/>
  <c r="E89" i="62" s="1"/>
  <c r="H25" i="62"/>
  <c r="E88" i="62"/>
  <c r="F26" i="62"/>
  <c r="D89" i="62" s="1"/>
  <c r="F27" i="62"/>
  <c r="D90" i="62"/>
  <c r="F28" i="62"/>
  <c r="D91" i="62" s="1"/>
  <c r="F29" i="62"/>
  <c r="D92" i="62"/>
  <c r="F30" i="62"/>
  <c r="D93" i="62" s="1"/>
  <c r="F31" i="62"/>
  <c r="D94" i="62"/>
  <c r="F25" i="62"/>
  <c r="D88" i="62" s="1"/>
  <c r="D31" i="62"/>
  <c r="C94" i="62"/>
  <c r="D30" i="62"/>
  <c r="C93" i="62" s="1"/>
  <c r="D29" i="62"/>
  <c r="C92" i="62"/>
  <c r="D28" i="62"/>
  <c r="C91" i="62" s="1"/>
  <c r="D27" i="62"/>
  <c r="C90" i="62"/>
  <c r="D26" i="62"/>
  <c r="C89" i="62" s="1"/>
  <c r="D25" i="62"/>
  <c r="C88" i="62"/>
  <c r="B26" i="62"/>
  <c r="B89" i="62" s="1"/>
  <c r="B27" i="62"/>
  <c r="B90" i="62"/>
  <c r="B28" i="62"/>
  <c r="B91" i="62" s="1"/>
  <c r="B29" i="62"/>
  <c r="B92" i="62"/>
  <c r="B30" i="62"/>
  <c r="B93" i="62" s="1"/>
  <c r="B31" i="62"/>
  <c r="B94" i="62"/>
  <c r="B25" i="62"/>
  <c r="B88" i="62" s="1"/>
  <c r="T18" i="62"/>
  <c r="K81" i="62"/>
  <c r="T19" i="62"/>
  <c r="K82" i="62" s="1"/>
  <c r="T20" i="62"/>
  <c r="K83" i="62"/>
  <c r="T21" i="62"/>
  <c r="K84" i="62" s="1"/>
  <c r="T22" i="62"/>
  <c r="K85" i="62"/>
  <c r="T23" i="62"/>
  <c r="K86" i="62" s="1"/>
  <c r="T24" i="62"/>
  <c r="K87" i="62"/>
  <c r="T17" i="62"/>
  <c r="K80" i="62" s="1"/>
  <c r="P18" i="62"/>
  <c r="I81" i="62"/>
  <c r="P19" i="62"/>
  <c r="I82" i="62" s="1"/>
  <c r="P20" i="62"/>
  <c r="I83" i="62"/>
  <c r="P21" i="62"/>
  <c r="I84" i="62" s="1"/>
  <c r="P22" i="62"/>
  <c r="I85" i="62"/>
  <c r="P23" i="62"/>
  <c r="I86" i="62" s="1"/>
  <c r="P24" i="62"/>
  <c r="I87" i="62"/>
  <c r="P17" i="62"/>
  <c r="I80" i="62" s="1"/>
  <c r="L24" i="62"/>
  <c r="G87" i="62"/>
  <c r="L23" i="62"/>
  <c r="G86" i="62" s="1"/>
  <c r="L22" i="62"/>
  <c r="G85" i="62"/>
  <c r="L21" i="62"/>
  <c r="G84" i="62" s="1"/>
  <c r="L20" i="62"/>
  <c r="G83" i="62"/>
  <c r="L19" i="62"/>
  <c r="G82" i="62" s="1"/>
  <c r="L18" i="62"/>
  <c r="G81" i="62"/>
  <c r="L17" i="62"/>
  <c r="G80" i="62" s="1"/>
  <c r="J18" i="62"/>
  <c r="F81" i="62" s="1"/>
  <c r="J19" i="62"/>
  <c r="F82" i="62" s="1"/>
  <c r="J20" i="62"/>
  <c r="F83" i="62"/>
  <c r="J21" i="62"/>
  <c r="F84" i="62" s="1"/>
  <c r="J22" i="62"/>
  <c r="F85" i="62"/>
  <c r="J23" i="62"/>
  <c r="F86" i="62" s="1"/>
  <c r="J24" i="62"/>
  <c r="F87" i="62"/>
  <c r="J17" i="62"/>
  <c r="F80" i="62" s="1"/>
  <c r="D24" i="62"/>
  <c r="C87" i="62" s="1"/>
  <c r="D23" i="62"/>
  <c r="C86" i="62" s="1"/>
  <c r="D22" i="62"/>
  <c r="C85" i="62"/>
  <c r="D21" i="62"/>
  <c r="C84" i="62" s="1"/>
  <c r="D20" i="62"/>
  <c r="C83" i="62"/>
  <c r="D19" i="62"/>
  <c r="C82" i="62" s="1"/>
  <c r="D18" i="62"/>
  <c r="C81" i="62"/>
  <c r="D17" i="62"/>
  <c r="C80" i="62" s="1"/>
  <c r="B18" i="62"/>
  <c r="B81" i="62" s="1"/>
  <c r="B19" i="62"/>
  <c r="B82" i="62"/>
  <c r="B20" i="62"/>
  <c r="B83" i="62" s="1"/>
  <c r="B21" i="62"/>
  <c r="B84" i="62"/>
  <c r="B22" i="62"/>
  <c r="B85" i="62" s="1"/>
  <c r="B23" i="62"/>
  <c r="B86" i="62"/>
  <c r="B24" i="62"/>
  <c r="B87" i="62" s="1"/>
  <c r="B17" i="62"/>
  <c r="B80" i="62"/>
  <c r="T11" i="62"/>
  <c r="K74" i="62" s="1"/>
  <c r="T12" i="62"/>
  <c r="K75" i="62"/>
  <c r="T13" i="62"/>
  <c r="K76" i="62" s="1"/>
  <c r="T14" i="62"/>
  <c r="K77" i="62"/>
  <c r="T15" i="62"/>
  <c r="K78" i="62" s="1"/>
  <c r="T16" i="62"/>
  <c r="K79" i="62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/>
  <c r="N11" i="62"/>
  <c r="H74" i="62" s="1"/>
  <c r="N10" i="62"/>
  <c r="H73" i="62"/>
  <c r="F16" i="62"/>
  <c r="D79" i="62" s="1"/>
  <c r="F15" i="62"/>
  <c r="D78" i="62"/>
  <c r="F14" i="62"/>
  <c r="D77" i="62" s="1"/>
  <c r="F13" i="62"/>
  <c r="D76" i="62"/>
  <c r="F12" i="62"/>
  <c r="D75" i="62" s="1"/>
  <c r="F11" i="62"/>
  <c r="D74" i="62"/>
  <c r="F10" i="62"/>
  <c r="D73" i="62" s="1"/>
  <c r="D11" i="62"/>
  <c r="C74" i="62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/>
  <c r="H10" i="62"/>
  <c r="E73" i="62" s="1"/>
  <c r="B11" i="62"/>
  <c r="B74" i="62"/>
  <c r="B12" i="62"/>
  <c r="B75" i="62" s="1"/>
  <c r="B13" i="62"/>
  <c r="B76" i="62"/>
  <c r="B14" i="62"/>
  <c r="B77" i="62" s="1"/>
  <c r="B15" i="62"/>
  <c r="B78" i="62"/>
  <c r="B16" i="62"/>
  <c r="B79" i="62" s="1"/>
  <c r="B10" i="62"/>
  <c r="B73" i="62"/>
  <c r="T4" i="62"/>
  <c r="K67" i="62" s="1"/>
  <c r="T5" i="62"/>
  <c r="K68" i="62"/>
  <c r="T6" i="62"/>
  <c r="K69" i="62" s="1"/>
  <c r="T7" i="62"/>
  <c r="K70" i="62"/>
  <c r="T8" i="62"/>
  <c r="K71" i="62" s="1"/>
  <c r="T9" i="62"/>
  <c r="K72" i="62"/>
  <c r="T3" i="62"/>
  <c r="K66" i="62" s="1"/>
  <c r="N8" i="62"/>
  <c r="H71" i="62"/>
  <c r="N9" i="62"/>
  <c r="H72" i="62" s="1"/>
  <c r="N5" i="62"/>
  <c r="H68" i="62"/>
  <c r="N6" i="62"/>
  <c r="H69" i="62" s="1"/>
  <c r="N7" i="62"/>
  <c r="H70" i="62"/>
  <c r="N4" i="62"/>
  <c r="H67" i="62" s="1"/>
  <c r="N3" i="62"/>
  <c r="H66" i="62"/>
  <c r="J4" i="62"/>
  <c r="F67" i="62" s="1"/>
  <c r="J5" i="62"/>
  <c r="F68" i="62"/>
  <c r="J6" i="62"/>
  <c r="F69" i="62" s="1"/>
  <c r="J7" i="62"/>
  <c r="F70" i="62"/>
  <c r="J8" i="62"/>
  <c r="F71" i="62" s="1"/>
  <c r="J9" i="62"/>
  <c r="F72" i="62"/>
  <c r="J3" i="62"/>
  <c r="F66" i="62" s="1"/>
  <c r="H4" i="62"/>
  <c r="E67" i="62"/>
  <c r="H5" i="62"/>
  <c r="E68" i="62" s="1"/>
  <c r="H6" i="62"/>
  <c r="E69" i="62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/>
  <c r="F8" i="62"/>
  <c r="D71" i="62" s="1"/>
  <c r="F9" i="62"/>
  <c r="D72" i="62"/>
  <c r="F3" i="62"/>
  <c r="D66" i="62" s="1"/>
  <c r="D4" i="62"/>
  <c r="C67" i="62"/>
  <c r="D5" i="62"/>
  <c r="C68" i="62" s="1"/>
  <c r="D6" i="62"/>
  <c r="C69" i="62"/>
  <c r="D7" i="62"/>
  <c r="C70" i="62" s="1"/>
  <c r="D8" i="62"/>
  <c r="C71" i="62"/>
  <c r="D9" i="62"/>
  <c r="C72" i="62" s="1"/>
  <c r="D3" i="62"/>
  <c r="C66" i="62"/>
  <c r="B4" i="62"/>
  <c r="B67" i="62" s="1"/>
  <c r="B5" i="62"/>
  <c r="B68" i="62"/>
  <c r="B6" i="62"/>
  <c r="B69" i="62" s="1"/>
  <c r="B7" i="62"/>
  <c r="B70" i="62"/>
  <c r="B8" i="62"/>
  <c r="B71" i="62" s="1"/>
  <c r="B9" i="62"/>
  <c r="B72" i="62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H10" i="63" s="1"/>
  <c r="F9" i="63"/>
  <c r="E2" i="43"/>
  <c r="F114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20" i="63" s="1"/>
  <c r="D18" i="63"/>
  <c r="D19" i="63"/>
  <c r="D43" i="63"/>
  <c r="D42" i="63"/>
  <c r="D62" i="63"/>
  <c r="D70" i="63"/>
  <c r="D72" i="63"/>
  <c r="D74" i="63"/>
  <c r="D75" i="63"/>
  <c r="D73" i="63"/>
  <c r="D71" i="63"/>
  <c r="D53" i="63"/>
  <c r="D51" i="63"/>
  <c r="I2" i="43"/>
  <c r="N6" i="43" s="1"/>
  <c r="D1" i="43"/>
  <c r="G2" i="43"/>
  <c r="O17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G29" i="59"/>
  <c r="F13" i="59"/>
  <c r="F18" i="59"/>
  <c r="F9" i="9"/>
  <c r="B8" i="59"/>
  <c r="G3" i="43" s="1"/>
  <c r="I102" i="43" s="1"/>
  <c r="F16" i="59"/>
  <c r="F8" i="9"/>
  <c r="F19" i="59"/>
  <c r="F10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B2" i="64"/>
  <c r="N100" i="43"/>
  <c r="N101" i="43" s="1"/>
  <c r="N109" i="43"/>
  <c r="M100" i="43"/>
  <c r="M109" i="43" s="1"/>
  <c r="L100" i="43"/>
  <c r="L109" i="43" s="1"/>
  <c r="K100" i="43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 s="1"/>
  <c r="C100" i="43"/>
  <c r="C109" i="43" s="1"/>
  <c r="H101" i="43"/>
  <c r="B84" i="43"/>
  <c r="B83" i="43"/>
  <c r="B72" i="43"/>
  <c r="B61" i="43"/>
  <c r="B50" i="43"/>
  <c r="M88" i="43"/>
  <c r="N88" i="43" s="1"/>
  <c r="K88" i="43"/>
  <c r="J88" i="43"/>
  <c r="D88" i="43"/>
  <c r="M87" i="43"/>
  <c r="N87" i="43" s="1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 s="1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D71" i="43" s="1"/>
  <c r="M70" i="43"/>
  <c r="N70" i="43" s="1"/>
  <c r="K70" i="43"/>
  <c r="J70" i="43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/>
  <c r="K49" i="43"/>
  <c r="J49" i="43" s="1"/>
  <c r="D49" i="43"/>
  <c r="M48" i="43"/>
  <c r="N48" i="43"/>
  <c r="K48" i="43"/>
  <c r="J48" i="43"/>
  <c r="D48" i="43"/>
  <c r="D66" i="43"/>
  <c r="D65" i="43"/>
  <c r="D67" i="43"/>
  <c r="D77" i="43"/>
  <c r="D70" i="43"/>
  <c r="D76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H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AB45" i="39" s="1"/>
  <c r="B117" i="39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F83" i="39" s="1"/>
  <c r="G83" i="39" s="1"/>
  <c r="D81" i="39"/>
  <c r="E81" i="39" s="1"/>
  <c r="J19" i="39" s="1"/>
  <c r="AC19" i="39" s="1"/>
  <c r="D79" i="39"/>
  <c r="E79" i="39" s="1"/>
  <c r="D77" i="39"/>
  <c r="E77" i="39" s="1"/>
  <c r="B74" i="39"/>
  <c r="F14" i="39" s="1"/>
  <c r="AA14" i="39" s="1"/>
  <c r="B72" i="39"/>
  <c r="J13" i="39" s="1"/>
  <c r="B70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B88" i="43"/>
  <c r="B85" i="43"/>
  <c r="C21" i="39"/>
  <c r="F45" i="39"/>
  <c r="F36" i="39"/>
  <c r="S36" i="39" s="1"/>
  <c r="F42" i="39"/>
  <c r="AA42" i="39" s="1"/>
  <c r="F41" i="39"/>
  <c r="AA41" i="39" s="1"/>
  <c r="H39" i="39"/>
  <c r="U39" i="39" s="1"/>
  <c r="H34" i="39"/>
  <c r="AB34" i="39" s="1"/>
  <c r="E89" i="39"/>
  <c r="H42" i="39"/>
  <c r="AB42" i="39" s="1"/>
  <c r="J34" i="39"/>
  <c r="AC34" i="39"/>
  <c r="C25" i="39"/>
  <c r="F43" i="39"/>
  <c r="AA43" i="39" s="1"/>
  <c r="H43" i="39"/>
  <c r="U43" i="39" s="1"/>
  <c r="H14" i="39"/>
  <c r="F13" i="39"/>
  <c r="AA13" i="39" s="1"/>
  <c r="J41" i="39"/>
  <c r="W41" i="39" s="1"/>
  <c r="J42" i="39"/>
  <c r="AC42" i="39" s="1"/>
  <c r="H37" i="39"/>
  <c r="AB37" i="39" s="1"/>
  <c r="K17" i="43"/>
  <c r="F34" i="43"/>
  <c r="F39" i="43"/>
  <c r="F37" i="43"/>
  <c r="H7" i="44"/>
  <c r="F35" i="43"/>
  <c r="J17" i="43"/>
  <c r="I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J23" i="39"/>
  <c r="AC23" i="39" s="1"/>
  <c r="F23" i="39"/>
  <c r="AA23" i="39" s="1"/>
  <c r="AB36" i="39"/>
  <c r="U36" i="39"/>
  <c r="U34" i="39"/>
  <c r="M101" i="43"/>
  <c r="E101" i="43"/>
  <c r="I101" i="43"/>
  <c r="S42" i="39"/>
  <c r="S38" i="39"/>
  <c r="AA36" i="39"/>
  <c r="AB43" i="39"/>
  <c r="AB39" i="39"/>
  <c r="J40" i="39"/>
  <c r="W40" i="39" s="1"/>
  <c r="H15" i="39"/>
  <c r="F77" i="39"/>
  <c r="G77" i="39" s="1"/>
  <c r="F15" i="39"/>
  <c r="S15" i="39" s="1"/>
  <c r="J15" i="39"/>
  <c r="W15" i="39" s="1"/>
  <c r="F37" i="39"/>
  <c r="S37" i="39" s="1"/>
  <c r="H41" i="39"/>
  <c r="AB41" i="39" s="1"/>
  <c r="U41" i="39"/>
  <c r="U45" i="39"/>
  <c r="J45" i="39"/>
  <c r="H23" i="39"/>
  <c r="U23" i="39"/>
  <c r="F85" i="39"/>
  <c r="G85" i="39" s="1"/>
  <c r="S34" i="39"/>
  <c r="J17" i="39"/>
  <c r="W17" i="39" s="1"/>
  <c r="J21" i="39"/>
  <c r="AC21" i="39" s="1"/>
  <c r="F21" i="39"/>
  <c r="AA21" i="39" s="1"/>
  <c r="H19" i="39"/>
  <c r="W34" i="39"/>
  <c r="S23" i="39"/>
  <c r="U10" i="39"/>
  <c r="S10" i="39"/>
  <c r="W10" i="39"/>
  <c r="AC10" i="39"/>
  <c r="S43" i="39"/>
  <c r="AB23" i="39"/>
  <c r="E48" i="43"/>
  <c r="B46" i="43" s="1"/>
  <c r="AA15" i="39"/>
  <c r="AA37" i="39"/>
  <c r="B2" i="39"/>
  <c r="E21" i="67"/>
  <c r="E20" i="67" s="1"/>
  <c r="E19" i="67" s="1"/>
  <c r="E18" i="67" s="1"/>
  <c r="I2" i="66"/>
  <c r="N22" i="43" s="1"/>
  <c r="H2" i="66"/>
  <c r="N21" i="43" s="1"/>
  <c r="K2" i="66"/>
  <c r="N24" i="43" s="1"/>
  <c r="N12" i="43"/>
  <c r="C17" i="43"/>
  <c r="A12" i="43"/>
  <c r="F59" i="43"/>
  <c r="H65" i="43" s="1"/>
  <c r="F17" i="59"/>
  <c r="F12" i="59" s="1"/>
  <c r="G7" i="65"/>
  <c r="H8" i="65"/>
  <c r="H7" i="65"/>
  <c r="H6" i="65"/>
  <c r="H4" i="65"/>
  <c r="H5" i="65"/>
  <c r="G4" i="65"/>
  <c r="G6" i="65"/>
  <c r="G5" i="65"/>
  <c r="J2" i="65" l="1"/>
  <c r="G10" i="63"/>
  <c r="C10" i="63" s="1"/>
  <c r="N7" i="43"/>
  <c r="N4" i="43"/>
  <c r="E22" i="43"/>
  <c r="F74" i="63"/>
  <c r="G74" i="63" s="1"/>
  <c r="E20" i="64"/>
  <c r="E70" i="63"/>
  <c r="B68" i="63" s="1"/>
  <c r="J43" i="63"/>
  <c r="I43" i="63" s="1"/>
  <c r="W13" i="39"/>
  <c r="AC13" i="39"/>
  <c r="AC32" i="39"/>
  <c r="W32" i="39"/>
  <c r="U35" i="39"/>
  <c r="AB35" i="39"/>
  <c r="G16" i="66"/>
  <c r="G6" i="66"/>
  <c r="J7" i="39"/>
  <c r="AC7" i="39" s="1"/>
  <c r="V47" i="39" s="1"/>
  <c r="I47" i="39" s="1"/>
  <c r="H8" i="44"/>
  <c r="N9" i="43"/>
  <c r="M5" i="43"/>
  <c r="AC37" i="39"/>
  <c r="M10" i="43"/>
  <c r="T66" i="67"/>
  <c r="D66" i="67"/>
  <c r="T70" i="67"/>
  <c r="C69" i="67"/>
  <c r="U38" i="39"/>
  <c r="H9" i="44"/>
  <c r="D101" i="43"/>
  <c r="F71" i="63"/>
  <c r="G71" i="63" s="1"/>
  <c r="K6" i="66"/>
  <c r="AA66" i="66"/>
  <c r="V67" i="66"/>
  <c r="E67" i="66" s="1"/>
  <c r="J11" i="66"/>
  <c r="J9" i="66"/>
  <c r="K17" i="66"/>
  <c r="K16" i="66"/>
  <c r="K14" i="66"/>
  <c r="K12" i="66"/>
  <c r="K11" i="66"/>
  <c r="K10" i="66"/>
  <c r="K9" i="66"/>
  <c r="C41" i="67"/>
  <c r="D40" i="67"/>
  <c r="U66" i="67"/>
  <c r="P66" i="67"/>
  <c r="I3" i="63"/>
  <c r="H5" i="44"/>
  <c r="N10" i="43"/>
  <c r="N5" i="43"/>
  <c r="M6" i="43"/>
  <c r="AC15" i="39"/>
  <c r="F81" i="39"/>
  <c r="G81" i="39" s="1"/>
  <c r="H21" i="39"/>
  <c r="U37" i="39"/>
  <c r="AC41" i="39"/>
  <c r="S39" i="39"/>
  <c r="S13" i="39"/>
  <c r="M3" i="43"/>
  <c r="H13" i="39"/>
  <c r="J36" i="39"/>
  <c r="D78" i="43"/>
  <c r="U29" i="39"/>
  <c r="J60" i="63"/>
  <c r="I60" i="63" s="1"/>
  <c r="J61" i="63"/>
  <c r="I61" i="63" s="1"/>
  <c r="F64" i="63"/>
  <c r="G64" i="63" s="1"/>
  <c r="D64" i="63" s="1"/>
  <c r="F54" i="63"/>
  <c r="G54" i="63" s="1"/>
  <c r="F28" i="59"/>
  <c r="W64" i="66"/>
  <c r="F64" i="66" s="1"/>
  <c r="W65" i="66"/>
  <c r="F65" i="66" s="1"/>
  <c r="J6" i="66"/>
  <c r="V60" i="66"/>
  <c r="E60" i="66" s="1"/>
  <c r="V61" i="66"/>
  <c r="E61" i="66" s="1"/>
  <c r="D78" i="67"/>
  <c r="E64" i="67"/>
  <c r="C77" i="67"/>
  <c r="C7" i="68"/>
  <c r="B2" i="68"/>
  <c r="D8" i="68" s="1"/>
  <c r="F14" i="68"/>
  <c r="F19" i="39"/>
  <c r="AA19" i="39" s="1"/>
  <c r="F75" i="63"/>
  <c r="G75" i="63" s="1"/>
  <c r="F48" i="63"/>
  <c r="G48" i="63" s="1"/>
  <c r="J52" i="63"/>
  <c r="I52" i="63" s="1"/>
  <c r="H16" i="63"/>
  <c r="N1" i="43"/>
  <c r="N8" i="43"/>
  <c r="S21" i="39"/>
  <c r="U42" i="39"/>
  <c r="M12" i="43"/>
  <c r="AB40" i="39"/>
  <c r="W42" i="39"/>
  <c r="W39" i="39"/>
  <c r="E81" i="43"/>
  <c r="B79" i="43" s="1"/>
  <c r="D74" i="43"/>
  <c r="L101" i="43"/>
  <c r="J73" i="63"/>
  <c r="I73" i="63" s="1"/>
  <c r="J66" i="63"/>
  <c r="I66" i="63" s="1"/>
  <c r="F57" i="63"/>
  <c r="G57" i="63" s="1"/>
  <c r="J63" i="63"/>
  <c r="I63" i="63" s="1"/>
  <c r="D27" i="64"/>
  <c r="D29" i="64"/>
  <c r="I20" i="43"/>
  <c r="V63" i="66"/>
  <c r="E63" i="66" s="1"/>
  <c r="D70" i="67"/>
  <c r="B41" i="67"/>
  <c r="B42" i="67" s="1"/>
  <c r="S42" i="67" s="1"/>
  <c r="D44" i="67"/>
  <c r="C45" i="67"/>
  <c r="D45" i="67" s="1"/>
  <c r="B57" i="67"/>
  <c r="B58" i="67" s="1"/>
  <c r="S58" i="67" s="1"/>
  <c r="E14" i="68"/>
  <c r="B53" i="67"/>
  <c r="B54" i="67" s="1"/>
  <c r="S54" i="67" s="1"/>
  <c r="C33" i="67"/>
  <c r="C57" i="67"/>
  <c r="D7" i="68"/>
  <c r="D72" i="43"/>
  <c r="C12" i="43"/>
  <c r="I106" i="43"/>
  <c r="I107" i="43"/>
  <c r="I103" i="43"/>
  <c r="I110" i="43"/>
  <c r="E102" i="43"/>
  <c r="K1" i="60"/>
  <c r="M1" i="60" s="1"/>
  <c r="C7" i="63" s="1"/>
  <c r="H16" i="44"/>
  <c r="M4" i="43"/>
  <c r="M11" i="43"/>
  <c r="H10" i="44"/>
  <c r="H12" i="44"/>
  <c r="N2" i="43"/>
  <c r="M2" i="43"/>
  <c r="N3" i="43"/>
  <c r="F48" i="43" s="1"/>
  <c r="H56" i="43" s="1"/>
  <c r="H13" i="44"/>
  <c r="M1" i="43"/>
  <c r="M7" i="43"/>
  <c r="H15" i="44"/>
  <c r="M9" i="43"/>
  <c r="H11" i="44"/>
  <c r="H14" i="44"/>
  <c r="N11" i="43"/>
  <c r="M8" i="43"/>
  <c r="J53" i="63"/>
  <c r="I53" i="63" s="1"/>
  <c r="J47" i="63"/>
  <c r="I47" i="63" s="1"/>
  <c r="J74" i="63"/>
  <c r="I74" i="63" s="1"/>
  <c r="F76" i="63"/>
  <c r="G76" i="63" s="1"/>
  <c r="J71" i="63"/>
  <c r="I71" i="63" s="1"/>
  <c r="F52" i="63"/>
  <c r="G52" i="63" s="1"/>
  <c r="D14" i="64"/>
  <c r="E60" i="63"/>
  <c r="B58" i="63" s="1"/>
  <c r="C15" i="63" s="1"/>
  <c r="J62" i="63"/>
  <c r="I62" i="63" s="1"/>
  <c r="F63" i="63"/>
  <c r="G63" i="63" s="1"/>
  <c r="D63" i="63" s="1"/>
  <c r="J57" i="63"/>
  <c r="I57" i="63" s="1"/>
  <c r="F46" i="63"/>
  <c r="G46" i="63" s="1"/>
  <c r="J76" i="63"/>
  <c r="I76" i="63" s="1"/>
  <c r="F60" i="63"/>
  <c r="G60" i="63" s="1"/>
  <c r="D60" i="63" s="1"/>
  <c r="U18" i="67"/>
  <c r="E17" i="67"/>
  <c r="E16" i="67" s="1"/>
  <c r="E15" i="67" s="1"/>
  <c r="E14" i="67" s="1"/>
  <c r="E108" i="43"/>
  <c r="E103" i="43"/>
  <c r="E106" i="43"/>
  <c r="E110" i="43"/>
  <c r="E105" i="43"/>
  <c r="AB14" i="39"/>
  <c r="U14" i="39"/>
  <c r="AA45" i="39"/>
  <c r="S45" i="39"/>
  <c r="AA8" i="39"/>
  <c r="S8" i="39"/>
  <c r="F35" i="39"/>
  <c r="J35" i="39"/>
  <c r="H22" i="43"/>
  <c r="F22" i="43"/>
  <c r="M102" i="43"/>
  <c r="C102" i="43"/>
  <c r="C110" i="43" s="1"/>
  <c r="L102" i="43"/>
  <c r="H102" i="43"/>
  <c r="J22" i="43"/>
  <c r="N104" i="46"/>
  <c r="G102" i="43"/>
  <c r="F102" i="43"/>
  <c r="F110" i="43" s="1"/>
  <c r="G22" i="43"/>
  <c r="B114" i="43"/>
  <c r="K102" i="43"/>
  <c r="N102" i="43"/>
  <c r="J102" i="43"/>
  <c r="D102" i="43"/>
  <c r="J9" i="39"/>
  <c r="F9" i="39"/>
  <c r="H9" i="39"/>
  <c r="U9" i="39" s="1"/>
  <c r="E9" i="43"/>
  <c r="E8" i="43"/>
  <c r="E10" i="43"/>
  <c r="K109" i="43"/>
  <c r="K101" i="43"/>
  <c r="C101" i="43"/>
  <c r="E11" i="43"/>
  <c r="I108" i="43"/>
  <c r="I104" i="43"/>
  <c r="I105" i="43"/>
  <c r="F89" i="39"/>
  <c r="G89" i="39" s="1"/>
  <c r="F27" i="39"/>
  <c r="AA27" i="39" s="1"/>
  <c r="J27" i="39"/>
  <c r="H32" i="39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W38" i="39"/>
  <c r="AC38" i="39"/>
  <c r="F5" i="9"/>
  <c r="F32" i="59"/>
  <c r="F29" i="59" s="1"/>
  <c r="F33" i="59" s="1"/>
  <c r="B17" i="9" s="1"/>
  <c r="U19" i="39"/>
  <c r="AB19" i="39"/>
  <c r="AC45" i="39"/>
  <c r="W45" i="39"/>
  <c r="H12" i="39"/>
  <c r="J12" i="39"/>
  <c r="AC12" i="39" s="1"/>
  <c r="F12" i="39"/>
  <c r="H17" i="39"/>
  <c r="AB17" i="39" s="1"/>
  <c r="F79" i="39"/>
  <c r="G79" i="39" s="1"/>
  <c r="F17" i="39"/>
  <c r="AA17" i="39" s="1"/>
  <c r="J31" i="39"/>
  <c r="H31" i="39"/>
  <c r="F31" i="39"/>
  <c r="H44" i="39"/>
  <c r="AB44" i="39" s="1"/>
  <c r="J44" i="39"/>
  <c r="F44" i="39"/>
  <c r="H62" i="43"/>
  <c r="H59" i="43"/>
  <c r="U15" i="39"/>
  <c r="AB15" i="39"/>
  <c r="AC36" i="39"/>
  <c r="W36" i="39"/>
  <c r="E59" i="43"/>
  <c r="B57" i="43" s="1"/>
  <c r="W62" i="66"/>
  <c r="F62" i="66" s="1"/>
  <c r="AB61" i="66"/>
  <c r="I8" i="66"/>
  <c r="I6" i="66"/>
  <c r="I4" i="66"/>
  <c r="I11" i="66"/>
  <c r="I12" i="66"/>
  <c r="I13" i="66"/>
  <c r="I16" i="66"/>
  <c r="I17" i="66"/>
  <c r="W8" i="39"/>
  <c r="S14" i="39"/>
  <c r="J14" i="39"/>
  <c r="E5" i="43"/>
  <c r="J20" i="43"/>
  <c r="A16" i="43"/>
  <c r="J42" i="63"/>
  <c r="I42" i="63" s="1"/>
  <c r="J45" i="63"/>
  <c r="I45" i="63" s="1"/>
  <c r="J54" i="63"/>
  <c r="I54" i="63" s="1"/>
  <c r="J55" i="63"/>
  <c r="I55" i="63" s="1"/>
  <c r="J64" i="63"/>
  <c r="I64" i="63" s="1"/>
  <c r="J65" i="63"/>
  <c r="I65" i="63" s="1"/>
  <c r="J70" i="63"/>
  <c r="I70" i="63" s="1"/>
  <c r="J72" i="63"/>
  <c r="I72" i="63" s="1"/>
  <c r="J75" i="63"/>
  <c r="I75" i="63" s="1"/>
  <c r="F44" i="63"/>
  <c r="G44" i="63" s="1"/>
  <c r="F42" i="63"/>
  <c r="G42" i="63" s="1"/>
  <c r="D60" i="66"/>
  <c r="I14" i="66"/>
  <c r="D63" i="66"/>
  <c r="D57" i="66"/>
  <c r="D56" i="66"/>
  <c r="G18" i="66"/>
  <c r="G17" i="66"/>
  <c r="G15" i="66"/>
  <c r="G14" i="66"/>
  <c r="G13" i="66"/>
  <c r="G12" i="66"/>
  <c r="G11" i="66"/>
  <c r="G10" i="66"/>
  <c r="G9" i="66"/>
  <c r="Q65" i="67"/>
  <c r="F64" i="67"/>
  <c r="D25" i="67"/>
  <c r="C24" i="67"/>
  <c r="D24" i="67" s="1"/>
  <c r="B25" i="67"/>
  <c r="B24" i="67" s="1"/>
  <c r="S26" i="67"/>
  <c r="F73" i="63"/>
  <c r="G73" i="63" s="1"/>
  <c r="F67" i="63"/>
  <c r="G67" i="63" s="1"/>
  <c r="F55" i="63"/>
  <c r="G55" i="63" s="1"/>
  <c r="D61" i="66"/>
  <c r="U67" i="66"/>
  <c r="C67" i="66" s="1"/>
  <c r="D67" i="66" s="1"/>
  <c r="Z66" i="66"/>
  <c r="K8" i="66"/>
  <c r="K5" i="66"/>
  <c r="K4" i="66"/>
  <c r="K7" i="66"/>
  <c r="F73" i="67"/>
  <c r="F72" i="67" s="1"/>
  <c r="V74" i="67"/>
  <c r="V22" i="67"/>
  <c r="F21" i="67"/>
  <c r="F20" i="67" s="1"/>
  <c r="F19" i="67" s="1"/>
  <c r="F18" i="67" s="1"/>
  <c r="D26" i="67"/>
  <c r="T26" i="67"/>
  <c r="T22" i="67"/>
  <c r="D22" i="67"/>
  <c r="C21" i="67"/>
  <c r="AC40" i="39"/>
  <c r="S41" i="39"/>
  <c r="W29" i="39"/>
  <c r="AC29" i="39"/>
  <c r="C11" i="39"/>
  <c r="B11" i="64"/>
  <c r="C21" i="64" s="1"/>
  <c r="G3" i="63"/>
  <c r="E51" i="63"/>
  <c r="B49" i="63" s="1"/>
  <c r="D33" i="67"/>
  <c r="C34" i="67"/>
  <c r="B69" i="67"/>
  <c r="B68" i="67" s="1"/>
  <c r="S70" i="67"/>
  <c r="G7" i="66"/>
  <c r="G5" i="66"/>
  <c r="J18" i="66"/>
  <c r="J4" i="66"/>
  <c r="J16" i="66"/>
  <c r="J14" i="66"/>
  <c r="J12" i="66"/>
  <c r="C49" i="67"/>
  <c r="D48" i="67"/>
  <c r="D52" i="67"/>
  <c r="C53" i="67"/>
  <c r="D57" i="67"/>
  <c r="C58" i="67"/>
  <c r="D60" i="67"/>
  <c r="C61" i="67"/>
  <c r="B77" i="67"/>
  <c r="B76" i="67" s="1"/>
  <c r="S78" i="67"/>
  <c r="S22" i="67"/>
  <c r="B21" i="67"/>
  <c r="B20" i="67" s="1"/>
  <c r="B19" i="67" s="1"/>
  <c r="B18" i="67" s="1"/>
  <c r="H6" i="44"/>
  <c r="F65" i="63"/>
  <c r="G65" i="63" s="1"/>
  <c r="D65" i="63" s="1"/>
  <c r="F53" i="63"/>
  <c r="G53" i="63" s="1"/>
  <c r="F51" i="63"/>
  <c r="G51" i="63" s="1"/>
  <c r="F62" i="63"/>
  <c r="G62" i="63" s="1"/>
  <c r="F66" i="63"/>
  <c r="G66" i="63" s="1"/>
  <c r="D66" i="63" s="1"/>
  <c r="F56" i="63"/>
  <c r="G56" i="63" s="1"/>
  <c r="D20" i="64"/>
  <c r="F7" i="39"/>
  <c r="W66" i="66"/>
  <c r="F66" i="66" s="1"/>
  <c r="P66" i="66" s="1"/>
  <c r="J7" i="66"/>
  <c r="J17" i="66"/>
  <c r="D30" i="66"/>
  <c r="D46" i="66"/>
  <c r="I10" i="66"/>
  <c r="I7" i="66"/>
  <c r="I5" i="66"/>
  <c r="Y66" i="66"/>
  <c r="T67" i="66"/>
  <c r="B67" i="66" s="1"/>
  <c r="H4" i="66"/>
  <c r="H8" i="66"/>
  <c r="H6" i="66"/>
  <c r="C64" i="67"/>
  <c r="D65" i="67"/>
  <c r="E69" i="67"/>
  <c r="E68" i="67" s="1"/>
  <c r="U70" i="67"/>
  <c r="C8" i="68"/>
  <c r="C5" i="68"/>
  <c r="F61" i="63"/>
  <c r="G61" i="63" s="1"/>
  <c r="D61" i="63" s="1"/>
  <c r="F72" i="63"/>
  <c r="G72" i="63" s="1"/>
  <c r="F70" i="63"/>
  <c r="G70" i="63" s="1"/>
  <c r="J67" i="63"/>
  <c r="I67" i="63" s="1"/>
  <c r="J56" i="63"/>
  <c r="I56" i="63" s="1"/>
  <c r="J51" i="63"/>
  <c r="I51" i="63" s="1"/>
  <c r="F45" i="63"/>
  <c r="G45" i="63" s="1"/>
  <c r="D8" i="63"/>
  <c r="E17" i="64"/>
  <c r="H7" i="39"/>
  <c r="J5" i="66"/>
  <c r="G8" i="66"/>
  <c r="J10" i="66"/>
  <c r="J15" i="66"/>
  <c r="G4" i="66"/>
  <c r="D56" i="67"/>
  <c r="D82" i="67"/>
  <c r="C81" i="67"/>
  <c r="D32" i="67"/>
  <c r="C29" i="67"/>
  <c r="E29" i="67"/>
  <c r="E30" i="67" s="1"/>
  <c r="U30" i="67" s="1"/>
  <c r="E33" i="67"/>
  <c r="E34" i="67" s="1"/>
  <c r="U34" i="67" s="1"/>
  <c r="C37" i="67"/>
  <c r="E37" i="67"/>
  <c r="E38" i="67" s="1"/>
  <c r="U38" i="67" s="1"/>
  <c r="E41" i="67"/>
  <c r="E42" i="67" s="1"/>
  <c r="U42" i="67" s="1"/>
  <c r="C73" i="67"/>
  <c r="D74" i="67"/>
  <c r="U78" i="67"/>
  <c r="V26" i="67"/>
  <c r="E49" i="67"/>
  <c r="E50" i="67" s="1"/>
  <c r="U50" i="67" s="1"/>
  <c r="E53" i="67"/>
  <c r="E54" i="67" s="1"/>
  <c r="U54" i="67" s="1"/>
  <c r="E57" i="67"/>
  <c r="E58" i="67" s="1"/>
  <c r="U58" i="67" s="1"/>
  <c r="E61" i="67"/>
  <c r="E62" i="67" s="1"/>
  <c r="U62" i="67" s="1"/>
  <c r="N63" i="67"/>
  <c r="C85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4" i="43" s="1"/>
  <c r="C15" i="64"/>
  <c r="W7" i="39"/>
  <c r="E13" i="67"/>
  <c r="E12" i="67" s="1"/>
  <c r="E11" i="67" s="1"/>
  <c r="E10" i="67" s="1"/>
  <c r="E9" i="67" s="1"/>
  <c r="U14" i="67"/>
  <c r="H49" i="43"/>
  <c r="F20" i="59"/>
  <c r="F11" i="9" s="1"/>
  <c r="D17" i="43"/>
  <c r="L17" i="43"/>
  <c r="N17" i="43"/>
  <c r="E17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AC17" i="39"/>
  <c r="S27" i="39"/>
  <c r="U17" i="39"/>
  <c r="W21" i="39"/>
  <c r="W23" i="39"/>
  <c r="AA40" i="39"/>
  <c r="H27" i="39"/>
  <c r="S29" i="39"/>
  <c r="I3" i="65"/>
  <c r="E5" i="65"/>
  <c r="E6" i="65"/>
  <c r="D7" i="65"/>
  <c r="E4" i="65"/>
  <c r="E8" i="65"/>
  <c r="E7" i="65"/>
  <c r="G8" i="65"/>
  <c r="H55" i="43" l="1"/>
  <c r="C6" i="43"/>
  <c r="H53" i="43"/>
  <c r="H52" i="43"/>
  <c r="P65" i="66"/>
  <c r="U21" i="39"/>
  <c r="AB21" i="39"/>
  <c r="D69" i="67"/>
  <c r="C68" i="67"/>
  <c r="D68" i="67" s="1"/>
  <c r="P64" i="67"/>
  <c r="P63" i="67"/>
  <c r="D41" i="67"/>
  <c r="C42" i="67"/>
  <c r="F19" i="43"/>
  <c r="E70" i="43"/>
  <c r="B68" i="43" s="1"/>
  <c r="C24" i="43" s="1"/>
  <c r="D6" i="68"/>
  <c r="C76" i="67"/>
  <c r="D76" i="67" s="1"/>
  <c r="D77" i="67"/>
  <c r="U13" i="39"/>
  <c r="AB13" i="39"/>
  <c r="V66" i="66"/>
  <c r="E66" i="66" s="1"/>
  <c r="O66" i="66" s="1"/>
  <c r="AA65" i="66"/>
  <c r="D5" i="68"/>
  <c r="D22" i="43"/>
  <c r="C21" i="43" s="1"/>
  <c r="K110" i="43"/>
  <c r="E107" i="43"/>
  <c r="E104" i="43"/>
  <c r="H70" i="43"/>
  <c r="H73" i="43"/>
  <c r="H50" i="43"/>
  <c r="H51" i="43"/>
  <c r="H54" i="43"/>
  <c r="H48" i="43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B116" i="43"/>
  <c r="D119" i="43"/>
  <c r="E119" i="43" s="1"/>
  <c r="F119" i="43" s="1"/>
  <c r="I118" i="43"/>
  <c r="J118" i="43" s="1"/>
  <c r="K118" i="43" s="1"/>
  <c r="L118" i="43" s="1"/>
  <c r="M118" i="43" s="1"/>
  <c r="B117" i="43"/>
  <c r="C117" i="43" s="1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P64" i="66"/>
  <c r="AC14" i="39"/>
  <c r="W14" i="39"/>
  <c r="AA31" i="39"/>
  <c r="S31" i="39"/>
  <c r="U12" i="39"/>
  <c r="AB12" i="39"/>
  <c r="U32" i="39"/>
  <c r="AB32" i="39"/>
  <c r="C7" i="43"/>
  <c r="J107" i="43"/>
  <c r="J110" i="43"/>
  <c r="J106" i="43"/>
  <c r="J103" i="43"/>
  <c r="J108" i="43"/>
  <c r="J104" i="43"/>
  <c r="J105" i="43"/>
  <c r="C108" i="43"/>
  <c r="C107" i="43"/>
  <c r="C104" i="43"/>
  <c r="C105" i="43"/>
  <c r="C106" i="43"/>
  <c r="C103" i="43"/>
  <c r="C23" i="43" s="1"/>
  <c r="AC35" i="39"/>
  <c r="W35" i="39"/>
  <c r="E12" i="63"/>
  <c r="G12" i="63"/>
  <c r="H12" i="63" s="1"/>
  <c r="E13" i="63"/>
  <c r="F13" i="63" s="1"/>
  <c r="D14" i="63"/>
  <c r="F12" i="63"/>
  <c r="G13" i="63"/>
  <c r="B80" i="63"/>
  <c r="H13" i="63"/>
  <c r="L107" i="43"/>
  <c r="L108" i="43"/>
  <c r="L106" i="43"/>
  <c r="L104" i="43"/>
  <c r="L103" i="43"/>
  <c r="L110" i="43"/>
  <c r="L105" i="43"/>
  <c r="O63" i="67"/>
  <c r="D64" i="67"/>
  <c r="O64" i="67"/>
  <c r="S17" i="39"/>
  <c r="U44" i="39"/>
  <c r="D85" i="67"/>
  <c r="C84" i="67"/>
  <c r="D84" i="67" s="1"/>
  <c r="D29" i="67"/>
  <c r="C30" i="67"/>
  <c r="AB7" i="39"/>
  <c r="T47" i="39" s="1"/>
  <c r="G47" i="39" s="1"/>
  <c r="U7" i="39"/>
  <c r="T66" i="66"/>
  <c r="B66" i="66" s="1"/>
  <c r="L66" i="66" s="1"/>
  <c r="Y65" i="66"/>
  <c r="C50" i="67"/>
  <c r="D49" i="67"/>
  <c r="T34" i="67"/>
  <c r="D34" i="67"/>
  <c r="F11" i="39"/>
  <c r="J11" i="39"/>
  <c r="H11" i="39"/>
  <c r="P63" i="66"/>
  <c r="W61" i="66"/>
  <c r="F61" i="66" s="1"/>
  <c r="P61" i="66" s="1"/>
  <c r="W60" i="66"/>
  <c r="F60" i="66" s="1"/>
  <c r="AA44" i="39"/>
  <c r="S44" i="39"/>
  <c r="AB31" i="39"/>
  <c r="U31" i="39"/>
  <c r="AC27" i="39"/>
  <c r="W27" i="39"/>
  <c r="AA9" i="39"/>
  <c r="S9" i="39"/>
  <c r="N108" i="43"/>
  <c r="N106" i="43"/>
  <c r="N105" i="43"/>
  <c r="N110" i="43"/>
  <c r="N103" i="43"/>
  <c r="N104" i="43"/>
  <c r="N107" i="43"/>
  <c r="F107" i="43"/>
  <c r="F104" i="43"/>
  <c r="F108" i="43"/>
  <c r="F103" i="43"/>
  <c r="F105" i="43"/>
  <c r="F106" i="43"/>
  <c r="M105" i="43"/>
  <c r="M104" i="43"/>
  <c r="M107" i="43"/>
  <c r="M103" i="43"/>
  <c r="M106" i="43"/>
  <c r="M110" i="43"/>
  <c r="M108" i="43"/>
  <c r="AA35" i="39"/>
  <c r="S35" i="39"/>
  <c r="D73" i="67"/>
  <c r="C72" i="67"/>
  <c r="D72" i="67" s="1"/>
  <c r="D81" i="67"/>
  <c r="C80" i="67"/>
  <c r="D80" i="67" s="1"/>
  <c r="F17" i="67"/>
  <c r="F16" i="67" s="1"/>
  <c r="F15" i="67" s="1"/>
  <c r="F14" i="67" s="1"/>
  <c r="V18" i="67"/>
  <c r="D110" i="43"/>
  <c r="D107" i="43"/>
  <c r="D106" i="43"/>
  <c r="D108" i="43"/>
  <c r="D105" i="43"/>
  <c r="D103" i="43"/>
  <c r="D104" i="43"/>
  <c r="S7" i="39"/>
  <c r="AA7" i="39"/>
  <c r="R47" i="39" s="1"/>
  <c r="T58" i="67"/>
  <c r="D58" i="67"/>
  <c r="S32" i="39"/>
  <c r="W12" i="39"/>
  <c r="D37" i="67"/>
  <c r="C38" i="67"/>
  <c r="S18" i="67"/>
  <c r="B17" i="67"/>
  <c r="B16" i="67" s="1"/>
  <c r="B15" i="67" s="1"/>
  <c r="B14" i="67" s="1"/>
  <c r="C62" i="67"/>
  <c r="D61" i="67"/>
  <c r="D53" i="67"/>
  <c r="C54" i="67"/>
  <c r="C20" i="67"/>
  <c r="D21" i="67"/>
  <c r="U66" i="66"/>
  <c r="C66" i="66" s="1"/>
  <c r="Z65" i="66"/>
  <c r="Q64" i="67"/>
  <c r="Q63" i="67"/>
  <c r="P62" i="66"/>
  <c r="W44" i="39"/>
  <c r="AC44" i="39"/>
  <c r="W31" i="39"/>
  <c r="AC31" i="39"/>
  <c r="S12" i="39"/>
  <c r="AA12" i="39"/>
  <c r="AC9" i="39"/>
  <c r="W9" i="39"/>
  <c r="K108" i="43"/>
  <c r="K106" i="43"/>
  <c r="K103" i="43"/>
  <c r="K104" i="43"/>
  <c r="K107" i="43"/>
  <c r="K105" i="43"/>
  <c r="G110" i="43"/>
  <c r="G106" i="43"/>
  <c r="G103" i="43"/>
  <c r="G108" i="43"/>
  <c r="G107" i="43"/>
  <c r="G104" i="43"/>
  <c r="G105" i="43"/>
  <c r="H106" i="43"/>
  <c r="H103" i="43"/>
  <c r="H104" i="43"/>
  <c r="H108" i="43"/>
  <c r="H110" i="43"/>
  <c r="H107" i="43"/>
  <c r="H105" i="43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E8" i="67"/>
  <c r="D58" i="39"/>
  <c r="E56" i="39"/>
  <c r="S25" i="39"/>
  <c r="AA25" i="39"/>
  <c r="AC25" i="39"/>
  <c r="U25" i="39"/>
  <c r="AB25" i="39"/>
  <c r="AB27" i="39"/>
  <c r="U27" i="39"/>
  <c r="D8" i="65"/>
  <c r="D6" i="65"/>
  <c r="D4" i="65"/>
  <c r="D5" i="65"/>
  <c r="G3" i="65"/>
  <c r="C5" i="43" l="1"/>
  <c r="V64" i="66"/>
  <c r="E64" i="66" s="1"/>
  <c r="V65" i="66"/>
  <c r="E65" i="66" s="1"/>
  <c r="O65" i="66" s="1"/>
  <c r="D42" i="67"/>
  <c r="T42" i="67"/>
  <c r="K4" i="65"/>
  <c r="K1" i="65"/>
  <c r="K2" i="65"/>
  <c r="U65" i="66"/>
  <c r="C65" i="66" s="1"/>
  <c r="U64" i="66"/>
  <c r="C64" i="66" s="1"/>
  <c r="T54" i="67"/>
  <c r="D54" i="67"/>
  <c r="B13" i="67"/>
  <c r="B12" i="67" s="1"/>
  <c r="B11" i="67" s="1"/>
  <c r="B10" i="67" s="1"/>
  <c r="S14" i="67"/>
  <c r="T38" i="67"/>
  <c r="D38" i="67"/>
  <c r="F13" i="67"/>
  <c r="F12" i="67" s="1"/>
  <c r="F11" i="67" s="1"/>
  <c r="F10" i="67" s="1"/>
  <c r="V14" i="67"/>
  <c r="AB11" i="39"/>
  <c r="U11" i="39"/>
  <c r="B85" i="63"/>
  <c r="B82" i="63"/>
  <c r="B83" i="63"/>
  <c r="B84" i="63"/>
  <c r="B81" i="63" s="1"/>
  <c r="D12" i="63"/>
  <c r="C11" i="63" s="1"/>
  <c r="D13" i="63"/>
  <c r="C116" i="43"/>
  <c r="D114" i="43"/>
  <c r="T62" i="67"/>
  <c r="D62" i="67"/>
  <c r="P60" i="66"/>
  <c r="P39" i="66"/>
  <c r="P44" i="66"/>
  <c r="P33" i="66"/>
  <c r="P49" i="66"/>
  <c r="P25" i="66"/>
  <c r="P38" i="66"/>
  <c r="P20" i="66"/>
  <c r="P51" i="66"/>
  <c r="P54" i="66"/>
  <c r="P26" i="66"/>
  <c r="P58" i="66"/>
  <c r="P55" i="66"/>
  <c r="P42" i="66"/>
  <c r="P32" i="66"/>
  <c r="P47" i="66"/>
  <c r="P37" i="66"/>
  <c r="P24" i="66"/>
  <c r="P52" i="66"/>
  <c r="P53" i="66"/>
  <c r="P27" i="66"/>
  <c r="P23" i="66"/>
  <c r="P21" i="66"/>
  <c r="P31" i="66"/>
  <c r="P56" i="66"/>
  <c r="P41" i="66"/>
  <c r="P19" i="66"/>
  <c r="P48" i="66"/>
  <c r="P36" i="66"/>
  <c r="P35" i="66"/>
  <c r="P57" i="66"/>
  <c r="P59" i="66"/>
  <c r="P43" i="66"/>
  <c r="P45" i="66"/>
  <c r="P46" i="66"/>
  <c r="P22" i="66"/>
  <c r="P50" i="66"/>
  <c r="P29" i="66"/>
  <c r="P18" i="66"/>
  <c r="P17" i="66"/>
  <c r="P2" i="66" s="1"/>
  <c r="C30" i="63" s="1"/>
  <c r="P34" i="66"/>
  <c r="P28" i="66"/>
  <c r="P40" i="66"/>
  <c r="P30" i="66"/>
  <c r="D66" i="66"/>
  <c r="N66" i="66" s="1"/>
  <c r="M66" i="66"/>
  <c r="W11" i="39"/>
  <c r="AC11" i="39"/>
  <c r="T50" i="67"/>
  <c r="D50" i="67"/>
  <c r="I9" i="63" s="1"/>
  <c r="C9" i="63" s="1"/>
  <c r="G51" i="39"/>
  <c r="H51" i="39" s="1"/>
  <c r="G52" i="39"/>
  <c r="H52" i="39" s="1"/>
  <c r="C19" i="67"/>
  <c r="D20" i="67"/>
  <c r="E47" i="39"/>
  <c r="R48" i="39"/>
  <c r="S11" i="39"/>
  <c r="AA11" i="39"/>
  <c r="T65" i="66"/>
  <c r="B65" i="66" s="1"/>
  <c r="L65" i="66" s="1"/>
  <c r="T64" i="66"/>
  <c r="B64" i="66" s="1"/>
  <c r="T30" i="67"/>
  <c r="D30" i="67"/>
  <c r="C23" i="64"/>
  <c r="E7" i="67"/>
  <c r="E58" i="39"/>
  <c r="F56" i="39"/>
  <c r="G1" i="65"/>
  <c r="E20" i="43"/>
  <c r="G2" i="65"/>
  <c r="C21" i="63" l="1"/>
  <c r="E21" i="63" s="1"/>
  <c r="C20" i="63"/>
  <c r="C19" i="63"/>
  <c r="E19" i="63" s="1"/>
  <c r="C18" i="63"/>
  <c r="O60" i="66"/>
  <c r="O49" i="66"/>
  <c r="O41" i="66"/>
  <c r="O34" i="66"/>
  <c r="O28" i="66"/>
  <c r="O19" i="66"/>
  <c r="O61" i="66"/>
  <c r="O57" i="66"/>
  <c r="O44" i="66"/>
  <c r="O24" i="66"/>
  <c r="O35" i="66"/>
  <c r="O47" i="66"/>
  <c r="O58" i="66"/>
  <c r="O54" i="66"/>
  <c r="O46" i="66"/>
  <c r="O40" i="66"/>
  <c r="O33" i="66"/>
  <c r="O20" i="66"/>
  <c r="O39" i="66"/>
  <c r="O36" i="66"/>
  <c r="O51" i="66"/>
  <c r="O52" i="66"/>
  <c r="O45" i="66"/>
  <c r="O38" i="66"/>
  <c r="O30" i="66"/>
  <c r="O25" i="66"/>
  <c r="O56" i="66"/>
  <c r="O17" i="66"/>
  <c r="O2" i="66" s="1"/>
  <c r="C29" i="63" s="1"/>
  <c r="O50" i="66"/>
  <c r="O29" i="66"/>
  <c r="O26" i="66"/>
  <c r="O48" i="66"/>
  <c r="O63" i="66"/>
  <c r="O43" i="66"/>
  <c r="O22" i="66"/>
  <c r="O21" i="66"/>
  <c r="O32" i="66"/>
  <c r="O53" i="66"/>
  <c r="O64" i="66"/>
  <c r="O27" i="66"/>
  <c r="O23" i="66"/>
  <c r="O31" i="66"/>
  <c r="O18" i="66"/>
  <c r="O37" i="66"/>
  <c r="O55" i="66"/>
  <c r="O62" i="66"/>
  <c r="O42" i="66"/>
  <c r="O59" i="66"/>
  <c r="G9" i="59"/>
  <c r="C12" i="9" s="1"/>
  <c r="G21" i="59"/>
  <c r="R20" i="43"/>
  <c r="P20" i="43"/>
  <c r="Q20" i="43"/>
  <c r="S20" i="43"/>
  <c r="F9" i="67"/>
  <c r="F8" i="67" s="1"/>
  <c r="F7" i="67" s="1"/>
  <c r="V10" i="67"/>
  <c r="B9" i="67"/>
  <c r="B8" i="67" s="1"/>
  <c r="B7" i="67" s="1"/>
  <c r="S10" i="67"/>
  <c r="M65" i="66"/>
  <c r="D65" i="66"/>
  <c r="N65" i="66" s="1"/>
  <c r="D19" i="67"/>
  <c r="C18" i="67"/>
  <c r="L64" i="66"/>
  <c r="L63" i="66"/>
  <c r="L29" i="66"/>
  <c r="L50" i="66"/>
  <c r="L26" i="66"/>
  <c r="L34" i="66"/>
  <c r="L57" i="66"/>
  <c r="L40" i="66"/>
  <c r="L45" i="66"/>
  <c r="L18" i="66"/>
  <c r="L28" i="66"/>
  <c r="L49" i="66"/>
  <c r="L31" i="66"/>
  <c r="L47" i="66"/>
  <c r="L42" i="66"/>
  <c r="L23" i="66"/>
  <c r="L46" i="66"/>
  <c r="L22" i="66"/>
  <c r="L43" i="66"/>
  <c r="L27" i="66"/>
  <c r="L52" i="66"/>
  <c r="L30" i="66"/>
  <c r="L19" i="66"/>
  <c r="L59" i="66"/>
  <c r="L33" i="66"/>
  <c r="L54" i="66"/>
  <c r="L62" i="66"/>
  <c r="L35" i="66"/>
  <c r="L51" i="66"/>
  <c r="L56" i="66"/>
  <c r="L37" i="66"/>
  <c r="L20" i="66"/>
  <c r="L41" i="66"/>
  <c r="L53" i="66"/>
  <c r="L32" i="66"/>
  <c r="L24" i="66"/>
  <c r="L44" i="66"/>
  <c r="L60" i="66"/>
  <c r="L25" i="66"/>
  <c r="L48" i="66"/>
  <c r="L17" i="66"/>
  <c r="L2" i="66" s="1"/>
  <c r="C26" i="63" s="1"/>
  <c r="L58" i="66"/>
  <c r="L38" i="66"/>
  <c r="L61" i="66"/>
  <c r="L21" i="66"/>
  <c r="L39" i="66"/>
  <c r="L55" i="66"/>
  <c r="L36" i="66"/>
  <c r="C48" i="39"/>
  <c r="B3" i="39" s="1"/>
  <c r="C47" i="39"/>
  <c r="E51" i="39"/>
  <c r="F51" i="39" s="1"/>
  <c r="I52" i="39"/>
  <c r="J52" i="39" s="1"/>
  <c r="E52" i="39"/>
  <c r="F52" i="39" s="1"/>
  <c r="D64" i="66"/>
  <c r="M64" i="66"/>
  <c r="M48" i="66"/>
  <c r="M55" i="66"/>
  <c r="M60" i="66"/>
  <c r="M47" i="66"/>
  <c r="M40" i="66"/>
  <c r="M58" i="66"/>
  <c r="M50" i="66"/>
  <c r="M49" i="66"/>
  <c r="M56" i="66"/>
  <c r="M46" i="66"/>
  <c r="M30" i="66"/>
  <c r="M22" i="66"/>
  <c r="M23" i="66"/>
  <c r="M25" i="66"/>
  <c r="M17" i="66"/>
  <c r="M2" i="66" s="1"/>
  <c r="C27" i="63" s="1"/>
  <c r="M36" i="66"/>
  <c r="M26" i="66"/>
  <c r="M21" i="66"/>
  <c r="M52" i="66"/>
  <c r="M53" i="66"/>
  <c r="M18" i="66"/>
  <c r="M57" i="66"/>
  <c r="M42" i="66"/>
  <c r="M41" i="66"/>
  <c r="M61" i="66"/>
  <c r="M45" i="66"/>
  <c r="M29" i="66"/>
  <c r="M35" i="66"/>
  <c r="M28" i="66"/>
  <c r="M20" i="66"/>
  <c r="M43" i="66"/>
  <c r="M62" i="66"/>
  <c r="M24" i="66"/>
  <c r="M27" i="66"/>
  <c r="M38" i="66"/>
  <c r="M32" i="66"/>
  <c r="M19" i="66"/>
  <c r="M51" i="66"/>
  <c r="M59" i="66"/>
  <c r="M63" i="66"/>
  <c r="M34" i="66"/>
  <c r="M33" i="66"/>
  <c r="M31" i="66"/>
  <c r="M54" i="66"/>
  <c r="M44" i="66"/>
  <c r="M39" i="66"/>
  <c r="M37" i="66"/>
  <c r="C22" i="64"/>
  <c r="C30" i="64" s="1"/>
  <c r="B6" i="67"/>
  <c r="F6" i="67"/>
  <c r="V6" i="67" s="1"/>
  <c r="E6" i="67"/>
  <c r="U6" i="67" s="1"/>
  <c r="G56" i="39"/>
  <c r="F58" i="39"/>
  <c r="B4" i="63" l="1"/>
  <c r="C22" i="63"/>
  <c r="B5" i="63" s="1"/>
  <c r="E20" i="63"/>
  <c r="B3" i="63"/>
  <c r="E18" i="63"/>
  <c r="G20" i="43"/>
  <c r="B17" i="59" s="1"/>
  <c r="B18" i="59" s="1"/>
  <c r="N64" i="66"/>
  <c r="N62" i="66"/>
  <c r="N18" i="66"/>
  <c r="N55" i="66"/>
  <c r="N28" i="66"/>
  <c r="N53" i="66"/>
  <c r="N47" i="66"/>
  <c r="N43" i="66"/>
  <c r="N32" i="66"/>
  <c r="N48" i="66"/>
  <c r="N35" i="66"/>
  <c r="N56" i="66"/>
  <c r="N17" i="66"/>
  <c r="N2" i="66" s="1"/>
  <c r="C28" i="63" s="1"/>
  <c r="N23" i="66"/>
  <c r="N40" i="66"/>
  <c r="N41" i="66"/>
  <c r="N63" i="66"/>
  <c r="N30" i="66"/>
  <c r="N52" i="66"/>
  <c r="N61" i="66"/>
  <c r="N57" i="66"/>
  <c r="N21" i="66"/>
  <c r="N29" i="66"/>
  <c r="N42" i="66"/>
  <c r="N20" i="66"/>
  <c r="N39" i="66"/>
  <c r="N44" i="66"/>
  <c r="N60" i="66"/>
  <c r="N54" i="66"/>
  <c r="N45" i="66"/>
  <c r="N51" i="66"/>
  <c r="N24" i="66"/>
  <c r="N34" i="66"/>
  <c r="N27" i="66"/>
  <c r="N19" i="66"/>
  <c r="N58" i="66"/>
  <c r="N46" i="66"/>
  <c r="N38" i="66"/>
  <c r="N37" i="66"/>
  <c r="N25" i="66"/>
  <c r="N33" i="66"/>
  <c r="N26" i="66"/>
  <c r="N22" i="66"/>
  <c r="N59" i="66"/>
  <c r="N31" i="66"/>
  <c r="N36" i="66"/>
  <c r="N49" i="66"/>
  <c r="N50" i="66"/>
  <c r="D18" i="67"/>
  <c r="C17" i="67"/>
  <c r="T18" i="67"/>
  <c r="F21" i="59"/>
  <c r="G12" i="9"/>
  <c r="C28" i="64"/>
  <c r="E28" i="64" s="1"/>
  <c r="B3" i="64"/>
  <c r="S6" i="67"/>
  <c r="G58" i="39"/>
  <c r="H56" i="39"/>
  <c r="C29" i="64"/>
  <c r="E29" i="64" s="1"/>
  <c r="E30" i="64"/>
  <c r="C20" i="43" l="1"/>
  <c r="E41" i="43"/>
  <c r="C41" i="43" s="1"/>
  <c r="C16" i="67"/>
  <c r="D17" i="67"/>
  <c r="F11" i="59"/>
  <c r="F12" i="9"/>
  <c r="F14" i="9" s="1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D14" i="67"/>
  <c r="C13" i="67"/>
  <c r="L56" i="39"/>
  <c r="K58" i="39"/>
  <c r="C12" i="67" l="1"/>
  <c r="D13" i="67"/>
  <c r="M56" i="39"/>
  <c r="L58" i="39"/>
  <c r="D12" i="67" l="1"/>
  <c r="C11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D6" i="67" l="1"/>
  <c r="I19" i="43" s="1"/>
  <c r="C19" i="43" s="1"/>
  <c r="T6" i="67"/>
  <c r="C35" i="43" l="1"/>
  <c r="C37" i="43"/>
  <c r="C38" i="43"/>
  <c r="C36" i="43"/>
  <c r="C33" i="43"/>
  <c r="C34" i="43"/>
  <c r="C29" i="43"/>
  <c r="C39" i="43"/>
  <c r="B3" i="43" l="1"/>
  <c r="F6" i="59" s="1"/>
  <c r="E39" i="43"/>
  <c r="G39" i="43"/>
  <c r="I39" i="43" s="1"/>
  <c r="E34" i="43"/>
  <c r="G34" i="43"/>
  <c r="I34" i="43" s="1"/>
  <c r="G36" i="43"/>
  <c r="I36" i="43" s="1"/>
  <c r="E36" i="43"/>
  <c r="C30" i="43"/>
  <c r="E29" i="43"/>
  <c r="E38" i="43"/>
  <c r="G38" i="43"/>
  <c r="I38" i="43" s="1"/>
  <c r="E37" i="43"/>
  <c r="G37" i="43"/>
  <c r="I37" i="43" s="1"/>
  <c r="G33" i="43"/>
  <c r="I33" i="43" s="1"/>
  <c r="E33" i="43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35" i="59" s="1"/>
  <c r="B18" i="9" s="1"/>
  <c r="C11" i="68" s="1"/>
  <c r="B15" i="9" l="1"/>
  <c r="F25" i="59"/>
  <c r="B16" i="9" s="1"/>
  <c r="H16" i="9" s="1"/>
  <c r="F36" i="59" l="1"/>
  <c r="B19" i="9" s="1"/>
  <c r="H19" i="9" s="1"/>
  <c r="B11" i="68" l="1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<sst xmlns="http://schemas.openxmlformats.org/spreadsheetml/2006/main" count="3973" uniqueCount="1803">
  <si>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</si>
  <si>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</si>
  <si>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</si>
  <si>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</si>
  <si>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</si>
  <si>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</si>
  <si>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</si>
  <si>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</si>
  <si>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</si>
  <si>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</si>
  <si>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</si>
  <si>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</si>
  <si>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</si>
  <si>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</si>
  <si>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</si>
  <si>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</si>
  <si>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</si>
  <si>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</si>
  <si>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</si>
  <si>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</si>
  <si>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</si>
  <si>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</si>
  <si>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</si>
  <si>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</si>
  <si>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</si>
  <si>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</si>
  <si>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</si>
  <si>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</si>
  <si>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</si>
  <si>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</si>
  <si>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</si>
  <si>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</si>
  <si>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</si>
  <si>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</si>
  <si>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</si>
  <si>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</si>
  <si>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</si>
  <si>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</si>
  <si>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</si>
  <si>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</si>
  <si>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</si>
  <si>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</si>
  <si>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</si>
  <si>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</si>
  <si>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</si>
  <si>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</si>
  <si>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</si>
  <si>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</si>
  <si>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</si>
  <si>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</si>
  <si>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</si>
  <si>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</si>
  <si>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</si>
  <si>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</si>
  <si>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</si>
  <si>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</si>
  <si>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</si>
  <si>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</si>
  <si>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</si>
  <si>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</si>
  <si>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</si>
  <si>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</si>
  <si>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</si>
  <si>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</si>
  <si>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</si>
  <si>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</si>
  <si>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</si>
  <si>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</si>
  <si>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</si>
  <si>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</si>
  <si>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</si>
  <si>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</si>
  <si>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</si>
  <si>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</si>
  <si>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</si>
  <si>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</si>
  <si>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</si>
  <si>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</si>
  <si>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</si>
  <si>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</si>
  <si>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</si>
  <si>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</si>
  <si>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</si>
  <si>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</si>
  <si>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</si>
  <si>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</si>
  <si>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</si>
  <si>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</si>
  <si>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</si>
  <si>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</si>
  <si>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</si>
  <si>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</si>
  <si>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</si>
  <si>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</si>
  <si>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</si>
  <si>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</si>
  <si>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</si>
  <si>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</si>
  <si>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</si>
  <si>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</si>
  <si>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</si>
  <si>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</si>
  <si>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</si>
  <si>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</si>
  <si>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</si>
  <si>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</si>
  <si>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</si>
  <si>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</si>
  <si>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</si>
  <si>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</si>
  <si>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</si>
  <si>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</si>
  <si>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</si>
  <si>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</si>
  <si>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</si>
  <si>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</si>
  <si>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</si>
  <si>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</si>
  <si>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</si>
  <si>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</si>
  <si>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</si>
  <si>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</si>
  <si>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</si>
  <si>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</si>
  <si>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</si>
  <si>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</si>
  <si>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</si>
  <si>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</si>
  <si>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</si>
  <si>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</si>
  <si>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</si>
  <si>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</si>
  <si>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</si>
  <si>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</si>
  <si>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</si>
  <si>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</si>
  <si>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</si>
  <si>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</si>
  <si>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</si>
  <si>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</si>
  <si>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</si>
  <si>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</si>
  <si>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</si>
  <si>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</si>
  <si>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</si>
  <si>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</si>
  <si>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</si>
  <si>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</si>
  <si>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</si>
  <si>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</si>
  <si>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</si>
  <si>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</si>
  <si>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</si>
  <si>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</si>
  <si>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</si>
  <si>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</si>
  <si>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</si>
  <si>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</si>
  <si>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</si>
  <si>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</si>
  <si>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</si>
  <si>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</si>
  <si>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</si>
  <si>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</si>
  <si>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</si>
  <si>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</si>
  <si>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</si>
  <si>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</si>
  <si>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</si>
  <si>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</si>
  <si>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</si>
  <si>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</si>
  <si>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</si>
  <si>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</si>
  <si>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</si>
  <si>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</si>
  <si>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</si>
  <si>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</si>
  <si>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</si>
  <si>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</si>
  <si>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</si>
  <si>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</si>
  <si>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</si>
  <si>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</si>
  <si>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</si>
  <si>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</si>
  <si>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</si>
  <si>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</si>
  <si>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</si>
  <si>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</si>
  <si>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</si>
  <si>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</si>
  <si>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</si>
  <si>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</si>
  <si>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</si>
  <si>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</si>
  <si>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</si>
  <si>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</si>
  <si>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</si>
  <si>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</si>
  <si>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</si>
  <si>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</si>
  <si>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</si>
  <si>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</si>
  <si>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</si>
  <si>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</si>
  <si>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</si>
  <si>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</si>
  <si>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</si>
  <si>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</si>
  <si>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</si>
  <si>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</si>
  <si>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</si>
  <si>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</si>
  <si>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</si>
  <si>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</si>
  <si>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</si>
  <si>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</si>
  <si>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</si>
  <si>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</si>
  <si>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</si>
  <si>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</si>
  <si>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</si>
  <si>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</si>
  <si>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</si>
  <si>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</si>
  <si>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</si>
  <si>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</si>
  <si>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</si>
  <si>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</si>
  <si>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</si>
  <si>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</si>
  <si>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</si>
  <si>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</si>
  <si>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</si>
  <si>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</si>
  <si>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</si>
  <si>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</si>
  <si>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</si>
  <si>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</si>
  <si>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</si>
  <si>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</si>
  <si>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</si>
  <si>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</si>
  <si>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</si>
  <si>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</si>
  <si>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</si>
  <si>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</si>
  <si>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</si>
  <si>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</si>
  <si>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</si>
  <si>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</si>
  <si>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</si>
  <si>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</si>
  <si>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</si>
  <si>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</si>
  <si>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</si>
  <si>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</si>
  <si>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</si>
  <si>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</si>
  <si>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</si>
  <si>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</si>
  <si>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</si>
  <si>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</si>
  <si>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</si>
  <si>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</si>
  <si>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</si>
  <si>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</si>
  <si>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</si>
  <si>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</si>
  <si>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</si>
  <si>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</si>
  <si>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</si>
  <si>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</si>
  <si>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</si>
  <si>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</si>
  <si>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</si>
  <si>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</si>
  <si>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</si>
  <si>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</si>
  <si>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</si>
  <si>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</si>
  <si>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</si>
  <si>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</si>
  <si>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</si>
  <si>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</si>
  <si>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</si>
  <si>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</si>
  <si>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</si>
  <si>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</si>
  <si>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</si>
  <si>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</si>
  <si>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</si>
  <si>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</si>
  <si>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</si>
  <si>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</si>
  <si>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</si>
  <si>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</si>
  <si>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</si>
  <si>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</si>
  <si>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</si>
  <si>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</si>
  <si>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</si>
  <si>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</si>
  <si>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</si>
  <si>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</si>
  <si>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</si>
  <si>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</si>
  <si>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</si>
  <si>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</si>
  <si>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</si>
  <si>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</si>
  <si>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</si>
  <si>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</si>
  <si>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</si>
  <si>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</si>
  <si>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</si>
  <si>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</si>
  <si>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</si>
  <si>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</si>
  <si>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</si>
  <si>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</si>
  <si>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</si>
  <si>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</si>
  <si>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</si>
  <si>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</si>
  <si>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</si>
  <si>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</si>
  <si>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</si>
  <si>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</si>
  <si>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</si>
  <si>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</si>
  <si>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</si>
  <si>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</si>
  <si>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</si>
  <si>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</si>
  <si>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</si>
  <si>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</si>
  <si>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</si>
  <si>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</si>
  <si>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</si>
  <si>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</si>
  <si>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</si>
  <si>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</si>
  <si>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</si>
  <si>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</si>
  <si>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</si>
  <si>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</si>
  <si>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</si>
  <si>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</si>
  <si>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</si>
  <si>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</si>
  <si>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</si>
  <si>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</si>
  <si>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</si>
  <si>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</si>
  <si>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</si>
  <si>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</si>
  <si>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</si>
  <si>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</si>
  <si>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</si>
  <si>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</si>
  <si>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</si>
  <si>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</si>
  <si>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</si>
  <si>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</si>
  <si>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</si>
  <si>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</si>
  <si>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</si>
  <si>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</si>
  <si>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</si>
  <si>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</si>
  <si>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</si>
  <si>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</si>
  <si>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</si>
  <si>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</si>
  <si>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</si>
  <si>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</si>
  <si>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</si>
  <si>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</si>
  <si>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</si>
  <si>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</si>
  <si>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</si>
  <si>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</si>
  <si>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</si>
  <si>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</si>
  <si>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</si>
  <si>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</si>
  <si>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</si>
  <si>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</si>
  <si>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</si>
  <si>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</si>
  <si>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</si>
  <si>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</si>
  <si>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</si>
  <si>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</si>
  <si>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</si>
  <si>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</si>
  <si>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</si>
  <si>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</si>
  <si>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</si>
  <si>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</si>
  <si>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</si>
  <si>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</si>
  <si>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</si>
  <si>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</si>
  <si>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</si>
  <si>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</si>
  <si>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</si>
  <si>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</si>
  <si>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</si>
  <si>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</si>
  <si>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</si>
  <si>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</si>
  <si>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</si>
  <si>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</si>
  <si>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</si>
  <si>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</si>
  <si>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</si>
  <si>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</si>
  <si>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</si>
  <si>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</si>
  <si>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</si>
  <si>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</si>
  <si>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</si>
  <si>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</si>
  <si>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</si>
  <si>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</si>
  <si>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</si>
  <si>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</si>
  <si>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</si>
  <si>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</si>
  <si>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</si>
  <si>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</si>
  <si>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</si>
  <si>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</si>
  <si>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</si>
  <si>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</si>
  <si>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</si>
  <si>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</si>
  <si>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</si>
  <si>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</si>
  <si>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</si>
  <si>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</si>
  <si>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</si>
  <si>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</si>
  <si>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</si>
  <si>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</si>
  <si>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</si>
  <si>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</si>
  <si>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</si>
  <si>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</si>
  <si>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</si>
  <si>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</si>
  <si>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</si>
  <si>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</si>
  <si>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</si>
  <si>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</si>
  <si>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</si>
  <si>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</si>
  <si>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</si>
  <si>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</si>
  <si>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</si>
  <si>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</si>
  <si>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</si>
  <si>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</si>
  <si>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</si>
  <si>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</si>
  <si>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</si>
  <si>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</si>
  <si>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</si>
  <si>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</si>
  <si>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</si>
  <si>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</si>
  <si>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</si>
  <si>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</si>
  <si>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</si>
  <si>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</si>
  <si>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</si>
  <si>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</si>
  <si>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</si>
  <si>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</si>
  <si>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</si>
  <si>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</si>
  <si>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</si>
  <si>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</si>
  <si>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</si>
  <si>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</si>
  <si>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</si>
  <si>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</si>
  <si>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</si>
  <si>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</si>
  <si>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</si>
  <si>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</si>
  <si>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</si>
  <si>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</si>
  <si>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</si>
  <si>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</si>
  <si>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</si>
  <si>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</si>
  <si>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</si>
  <si>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</si>
  <si>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</si>
  <si>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</si>
  <si>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</si>
  <si>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</si>
  <si>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</si>
  <si>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</si>
  <si>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</si>
  <si>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</si>
  <si>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</si>
  <si>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</si>
  <si>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</si>
  <si>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</si>
  <si>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</si>
  <si>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</si>
  <si>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</si>
  <si>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</si>
  <si>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</si>
  <si>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</si>
  <si>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</si>
  <si>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</si>
  <si>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</si>
  <si>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</si>
  <si>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</si>
  <si>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</si>
  <si>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</si>
  <si>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</si>
  <si>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</si>
  <si>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</si>
  <si>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</si>
  <si>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</si>
  <si>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</si>
  <si>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</si>
  <si>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</si>
  <si>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</si>
  <si>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</si>
  <si>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</si>
  <si>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</si>
  <si>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</si>
  <si>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</si>
  <si>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</si>
  <si>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</si>
  <si>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</si>
  <si>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</si>
  <si>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</si>
  <si>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</si>
  <si>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</si>
  <si>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</si>
  <si>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</si>
  <si>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</si>
  <si>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</si>
  <si>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</si>
  <si>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</si>
  <si>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</si>
  <si>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</si>
  <si>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</si>
  <si>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</si>
  <si>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</si>
  <si>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</si>
  <si>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</si>
  <si>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</si>
  <si>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</si>
  <si>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</si>
  <si>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</si>
  <si>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</si>
  <si>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</si>
  <si>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</si>
  <si>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</si>
  <si>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</si>
  <si>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</si>
  <si>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</si>
  <si>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</si>
  <si>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</si>
  <si>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</si>
  <si>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</si>
  <si>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</si>
  <si>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</si>
  <si>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</si>
  <si>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</si>
  <si>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</si>
  <si>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</si>
  <si>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</si>
  <si>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</si>
  <si>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</si>
  <si>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</si>
  <si>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</si>
  <si>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</si>
  <si>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</si>
  <si>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</si>
  <si>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</si>
  <si>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</si>
  <si>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</si>
  <si>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</si>
  <si>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</si>
  <si>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</si>
  <si>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</si>
  <si>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</si>
  <si>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</si>
  <si>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</si>
  <si>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</si>
  <si>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</si>
  <si>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</si>
  <si>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</si>
  <si>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</si>
  <si>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</si>
  <si>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</si>
  <si>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</si>
  <si>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</si>
  <si>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</si>
  <si>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</si>
  <si>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</si>
  <si>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</si>
  <si>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</si>
  <si>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</si>
  <si>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</si>
  <si>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</si>
  <si>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</si>
  <si>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</si>
  <si>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</si>
  <si>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</si>
  <si>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</si>
  <si>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</si>
  <si>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</si>
  <si>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</si>
  <si>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</si>
  <si>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</si>
  <si>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</si>
  <si>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</si>
  <si>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</si>
  <si>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</si>
  <si>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</si>
  <si>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</si>
  <si>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</si>
  <si>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</si>
  <si>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</si>
  <si>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</si>
  <si>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</si>
  <si>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</si>
  <si>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</si>
  <si>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</si>
  <si>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</si>
  <si>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</si>
  <si>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</si>
  <si>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</si>
  <si>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</si>
  <si>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</si>
  <si>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</si>
  <si>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</si>
  <si>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</si>
  <si>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</si>
  <si>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</si>
  <si>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</si>
  <si>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</si>
  <si>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</si>
  <si>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</si>
  <si>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</si>
  <si>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</si>
  <si>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</si>
  <si>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</si>
  <si>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</si>
  <si>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</si>
  <si>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</si>
  <si>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</si>
  <si>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</si>
  <si>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</si>
  <si>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</si>
  <si>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</si>
  <si>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</si>
  <si>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</si>
  <si>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</si>
  <si>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</si>
  <si>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</si>
  <si>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</si>
  <si>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</si>
  <si>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</si>
  <si>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</si>
  <si>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</si>
  <si>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</si>
  <si>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</si>
  <si>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</si>
  <si>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</si>
  <si>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</si>
  <si>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</si>
  <si>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</si>
  <si>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</si>
  <si>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</si>
  <si>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</si>
  <si>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</si>
  <si>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</si>
  <si>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</si>
  <si>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</si>
  <si>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</si>
  <si>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</si>
  <si>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</si>
  <si>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</si>
  <si>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</si>
  <si>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</si>
  <si>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</si>
  <si>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</si>
  <si>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</si>
  <si>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</si>
  <si>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</si>
  <si>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</si>
  <si>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</si>
  <si>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</si>
  <si>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</si>
  <si>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</si>
  <si>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</si>
  <si>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</si>
  <si>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</si>
  <si>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</si>
  <si>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</si>
  <si>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</si>
  <si>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</si>
  <si>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</si>
  <si>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</si>
  <si>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</si>
  <si>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</si>
  <si>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</si>
  <si>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</si>
  <si>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</si>
  <si>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</si>
  <si>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</si>
  <si>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</si>
  <si>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</si>
  <si>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</si>
  <si>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</si>
  <si>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</si>
  <si>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</si>
  <si>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</si>
  <si>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</si>
  <si>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</si>
  <si>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</si>
  <si>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</si>
  <si>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</si>
  <si>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</si>
  <si>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</si>
  <si>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</si>
  <si>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</si>
  <si>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</si>
  <si>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</si>
  <si>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</si>
  <si>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</si>
  <si>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</si>
  <si>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</si>
  <si>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</si>
  <si>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</si>
  <si>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</si>
  <si>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</si>
  <si>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</si>
  <si>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</si>
  <si>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</si>
  <si>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</si>
  <si>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</si>
  <si>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</si>
  <si>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</si>
  <si>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</si>
  <si>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</si>
  <si>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</si>
  <si>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</si>
  <si>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</si>
  <si>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</si>
  <si>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</si>
  <si>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</si>
  <si>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</si>
  <si>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</si>
  <si>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</si>
  <si>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</si>
  <si>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</si>
  <si>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</si>
  <si>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</si>
  <si>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</si>
  <si>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</si>
  <si>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</si>
  <si>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</si>
  <si>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</si>
  <si>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</si>
  <si>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</si>
  <si>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</si>
  <si>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</si>
  <si>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</si>
  <si>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</si>
  <si>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</si>
  <si>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</si>
  <si>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</si>
  <si>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</si>
  <si>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</si>
  <si>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</si>
  <si>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</si>
  <si>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</si>
  <si>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</si>
  <si>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</si>
  <si>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</si>
  <si>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</si>
  <si>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</si>
  <si>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</si>
  <si>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</si>
  <si>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</si>
  <si>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</si>
  <si>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</si>
  <si>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</si>
  <si>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</si>
  <si>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</si>
  <si>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</si>
  <si>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</si>
  <si>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</si>
  <si>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</si>
  <si>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</si>
  <si>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</si>
  <si>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</si>
  <si>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</si>
  <si>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</si>
  <si>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</si>
  <si>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</si>
  <si>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</si>
  <si>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</si>
  <si>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</si>
  <si>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</si>
  <si>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</si>
  <si>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</si>
  <si>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</si>
  <si>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</si>
  <si>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</si>
  <si>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</si>
  <si>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</si>
  <si>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</si>
  <si>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</si>
  <si>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</si>
  <si>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</si>
  <si>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</si>
  <si>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</si>
  <si>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</si>
  <si>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</si>
  <si>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</si>
  <si>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</si>
  <si>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</si>
  <si>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</si>
  <si>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</si>
  <si>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</si>
  <si>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</si>
  <si>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</si>
  <si>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</si>
  <si>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</si>
  <si>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</si>
  <si>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</si>
  <si>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</si>
  <si>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</si>
  <si>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</si>
  <si>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</si>
  <si>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</si>
  <si>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</si>
  <si>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</si>
  <si>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</si>
  <si>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</si>
  <si>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</si>
  <si>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</si>
  <si>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</si>
  <si>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</si>
  <si>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</si>
  <si>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</si>
  <si>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</si>
  <si>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</si>
  <si>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</si>
  <si>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</si>
  <si>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</si>
  <si>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</si>
  <si>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</si>
  <si>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</si>
  <si>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</si>
  <si>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</si>
  <si>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</si>
  <si>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</si>
  <si>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</si>
  <si>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</si>
  <si>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</si>
  <si>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</si>
  <si>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</si>
  <si>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</si>
  <si>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</si>
  <si>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</si>
  <si>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</si>
  <si>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</si>
  <si>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</si>
  <si>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</si>
  <si>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</si>
  <si>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</si>
  <si>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</si>
  <si>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</si>
  <si>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</si>
  <si>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</si>
  <si>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</si>
  <si>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</si>
  <si>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</si>
  <si>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</si>
  <si>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</si>
  <si>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</si>
  <si>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</si>
  <si>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</si>
  <si>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</si>
  <si>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</si>
  <si>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</si>
  <si>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</si>
  <si>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</si>
  <si>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</si>
  <si>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</si>
  <si>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</si>
  <si>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</si>
  <si>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</si>
  <si>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</si>
  <si>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</si>
  <si>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</si>
  <si>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</si>
  <si>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</si>
  <si>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</si>
  <si>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</si>
  <si>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</si>
  <si>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</si>
  <si>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</si>
  <si>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</si>
  <si>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</si>
  <si>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</si>
  <si>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</si>
  <si>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</si>
  <si>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</si>
  <si>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</si>
  <si>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</si>
  <si>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</si>
  <si>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</si>
  <si>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</si>
  <si>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</si>
  <si>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</si>
  <si>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</si>
  <si>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</si>
  <si>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</si>
  <si>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</si>
  <si>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</si>
  <si>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</si>
  <si>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</si>
  <si>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</si>
  <si>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</si>
  <si>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</si>
  <si>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</si>
  <si>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</si>
  <si>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</si>
  <si>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</si>
  <si>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</si>
  <si>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</si>
  <si>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</si>
  <si>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</si>
  <si>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</si>
  <si>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</si>
  <si>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</si>
  <si>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</si>
  <si>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</si>
  <si>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</si>
  <si>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</si>
  <si>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</si>
  <si>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</si>
  <si>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</si>
  <si>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</si>
  <si>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</si>
  <si>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</si>
  <si>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</si>
  <si>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</si>
  <si>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</si>
  <si>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</si>
  <si>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</si>
  <si>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</si>
  <si>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</si>
  <si>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</si>
  <si>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</si>
  <si>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</si>
  <si>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</si>
  <si>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</si>
  <si>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</si>
  <si>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</si>
  <si>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</si>
  <si>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</si>
  <si>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</si>
  <si>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</si>
  <si>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</si>
  <si>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</si>
  <si>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</si>
  <si>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</si>
  <si>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</si>
  <si>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</si>
  <si>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</si>
  <si>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</si>
  <si>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</si>
  <si>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</si>
  <si>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</si>
  <si>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</si>
  <si>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</si>
  <si>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</si>
  <si>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</si>
  <si>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</si>
  <si>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</si>
  <si>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</si>
  <si>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</si>
  <si>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</si>
  <si>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</si>
  <si>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</si>
  <si>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</si>
  <si>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</si>
  <si>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</si>
  <si>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</si>
  <si>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</si>
  <si>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</si>
  <si>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</si>
  <si>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</si>
  <si>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</si>
  <si>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</si>
  <si>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</si>
  <si>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</si>
  <si>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</si>
  <si>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</si>
  <si>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</si>
  <si>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</si>
  <si>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</si>
  <si>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</si>
  <si>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</si>
  <si>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</si>
  <si>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</si>
  <si>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</si>
  <si>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</si>
  <si>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</si>
  <si>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</si>
  <si>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</si>
  <si>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</si>
  <si>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</si>
  <si>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</si>
  <si>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</si>
  <si>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</si>
  <si>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</si>
  <si>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</si>
  <si>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</si>
  <si>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</si>
  <si>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</si>
  <si>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</si>
  <si>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</si>
  <si>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</si>
  <si>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</si>
  <si>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</si>
  <si>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</si>
  <si>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</si>
  <si>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</si>
  <si>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</si>
  <si>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</si>
  <si>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</si>
  <si>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</si>
  <si>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</si>
  <si>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</si>
  <si>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</si>
  <si>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</si>
  <si>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</si>
  <si>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</si>
  <si>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</si>
  <si>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</si>
  <si>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</si>
  <si>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</si>
  <si>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</si>
  <si>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</si>
  <si>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</si>
  <si>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</si>
  <si>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</si>
  <si>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</si>
  <si>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</si>
  <si>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</si>
  <si>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</si>
  <si>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</si>
  <si>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</si>
  <si>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</si>
  <si>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</si>
  <si>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</si>
  <si>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</si>
  <si>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</si>
  <si>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</si>
  <si>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</si>
  <si>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</si>
  <si>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</si>
  <si>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</si>
  <si>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</si>
  <si>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</si>
  <si>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</si>
  <si>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</si>
  <si>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</si>
  <si>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</si>
  <si>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</si>
  <si>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</si>
  <si>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</si>
  <si>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</si>
  <si>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</si>
  <si>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</si>
  <si>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</si>
  <si>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</si>
  <si>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</si>
  <si>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</si>
  <si>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</si>
  <si>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</si>
  <si>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</si>
  <si>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</si>
  <si>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</si>
  <si>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</si>
  <si>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</si>
  <si>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</si>
  <si>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</si>
  <si>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</si>
  <si>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</si>
  <si>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</si>
  <si>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</si>
  <si>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</si>
  <si>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</si>
  <si>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</si>
  <si>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</si>
  <si>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</si>
  <si>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</si>
  <si>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</si>
  <si>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</si>
  <si>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</si>
  <si>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</si>
  <si>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</si>
  <si>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</si>
  <si>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</si>
  <si>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</si>
  <si>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</si>
  <si>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</si>
  <si>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</si>
  <si>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</si>
  <si>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</si>
  <si>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</si>
  <si>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</si>
  <si>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</si>
  <si>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</si>
  <si>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</si>
  <si>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</si>
  <si>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</si>
  <si>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</si>
  <si>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</si>
  <si>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</si>
  <si>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</si>
  <si>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</si>
  <si>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</si>
  <si>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</si>
  <si>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</si>
  <si>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</si>
  <si>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</si>
  <si>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</si>
  <si>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</si>
  <si>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</si>
  <si>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</si>
  <si>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</si>
  <si>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</si>
  <si>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</si>
  <si>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</si>
  <si>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</si>
  <si>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</si>
  <si>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</si>
  <si>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</si>
  <si>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</si>
  <si>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</si>
  <si>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</si>
  <si>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</si>
  <si>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</si>
  <si>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</si>
  <si>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</si>
  <si>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</si>
  <si>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</si>
  <si>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</si>
  <si>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</si>
  <si>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</si>
  <si>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</si>
  <si>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</si>
  <si>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</si>
  <si>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</si>
  <si>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</si>
  <si>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</si>
  <si>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</si>
  <si>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</si>
  <si>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</si>
  <si>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</si>
  <si>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</si>
  <si>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</si>
  <si>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</si>
  <si>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</si>
  <si>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</si>
  <si>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</si>
  <si>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</si>
  <si>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</si>
  <si>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</si>
  <si>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</si>
  <si>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</si>
  <si>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</si>
  <si>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</si>
  <si>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</si>
  <si>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</si>
  <si>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</si>
  <si>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</si>
  <si>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</si>
  <si>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</si>
  <si>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</si>
  <si>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</si>
  <si>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</si>
  <si>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</si>
  <si>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</si>
  <si>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</si>
  <si>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</si>
  <si>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</si>
  <si>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</si>
  <si>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</si>
  <si>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</si>
  <si>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</si>
  <si>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</si>
  <si>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</si>
  <si>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</si>
  <si>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</si>
  <si>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</si>
  <si>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</si>
  <si>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</si>
  <si>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</si>
  <si>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</si>
  <si>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</si>
  <si>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</si>
  <si>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</si>
  <si>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</si>
  <si>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</si>
  <si>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</si>
  <si>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</si>
  <si>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</si>
  <si>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</si>
  <si>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</si>
  <si>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</si>
  <si>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</si>
  <si>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</si>
  <si>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</si>
  <si>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</si>
  <si>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</si>
  <si>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</si>
  <si>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</si>
  <si>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</si>
  <si>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</si>
  <si>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</si>
  <si>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</si>
  <si>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</si>
  <si>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</si>
  <si>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</si>
  <si>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</si>
  <si>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</si>
  <si>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</si>
  <si>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</si>
  <si>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</si>
  <si>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</si>
  <si>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</si>
  <si>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</si>
  <si>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</si>
  <si>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</si>
  <si>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</si>
  <si>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</si>
  <si>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</si>
  <si>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</si>
  <si>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</si>
  <si>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</si>
  <si>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</si>
  <si>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</si>
  <si>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</si>
  <si>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</si>
  <si>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</si>
  <si>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</si>
  <si>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</si>
  <si>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</si>
  <si>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</si>
  <si>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</si>
  <si>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</si>
  <si>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</si>
  <si>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</si>
  <si>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</si>
  <si>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</si>
  <si>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</si>
  <si>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</si>
  <si>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</si>
  <si>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</si>
  <si>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</si>
  <si>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</si>
  <si>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</si>
  <si>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</si>
  <si>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</si>
  <si>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</si>
  <si>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</si>
  <si>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</si>
  <si>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</si>
  <si>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</si>
  <si>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</si>
  <si>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</si>
  <si>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</si>
  <si>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</si>
  <si>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</si>
  <si>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</si>
  <si>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</si>
  <si>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</si>
  <si>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</si>
  <si>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</si>
  <si>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</si>
  <si>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</si>
  <si>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</si>
  <si>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</si>
  <si>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</si>
  <si>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</si>
  <si>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</si>
  <si>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</si>
  <si>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</si>
  <si>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</si>
  <si>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</si>
  <si>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</si>
  <si>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</si>
  <si>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</si>
  <si>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</si>
  <si>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</si>
  <si>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</si>
  <si>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</si>
  <si>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</si>
  <si>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</si>
  <si>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</si>
  <si>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</si>
  <si>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</si>
  <si>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</si>
  <si>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</si>
  <si>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</si>
  <si>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</si>
  <si>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</si>
  <si>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</si>
  <si>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</si>
  <si>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</si>
  <si>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</si>
  <si>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</si>
  <si>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</si>
  <si>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</si>
  <si>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</si>
  <si>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</si>
  <si>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</si>
  <si>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</si>
  <si>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</si>
  <si>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</si>
  <si>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</si>
  <si>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</si>
  <si>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</si>
  <si>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</si>
  <si>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</si>
  <si>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</si>
  <si>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</si>
  <si>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</si>
  <si>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</si>
  <si>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</si>
  <si>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</si>
  <si>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</si>
  <si>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</si>
  <si>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</si>
  <si>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</si>
  <si>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</si>
  <si>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</si>
  <si>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</si>
  <si>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</si>
  <si>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</si>
  <si>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</si>
  <si>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</si>
  <si>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</si>
  <si>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</si>
  <si>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</si>
  <si>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</si>
  <si>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</si>
  <si>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</si>
  <si>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</si>
  <si>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</si>
  <si>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</si>
  <si>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</si>
  <si>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</si>
  <si>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</si>
  <si>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</si>
  <si>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</si>
  <si>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</si>
  <si>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</si>
  <si>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</si>
  <si>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</si>
  <si>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</si>
  <si>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</si>
  <si>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</si>
  <si>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</si>
  <si>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</si>
  <si>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</si>
  <si>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</si>
  <si>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</si>
  <si>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</si>
  <si>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</si>
  <si>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</si>
  <si>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</si>
  <si>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</si>
  <si>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</si>
  <si>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</si>
  <si>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</si>
  <si>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</si>
  <si>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</si>
  <si>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</si>
  <si>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</si>
  <si>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</si>
  <si>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</si>
  <si>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</si>
  <si>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</si>
  <si>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</si>
  <si>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</si>
  <si>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</si>
  <si>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</si>
  <si>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</si>
  <si>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</si>
  <si>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</si>
  <si>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</si>
  <si>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</si>
  <si>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</si>
  <si>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</si>
  <si>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</si>
  <si>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</si>
  <si>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</si>
  <si>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</si>
  <si>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</si>
  <si>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</si>
  <si>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</si>
  <si>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</si>
  <si>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</si>
  <si>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</si>
  <si>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</si>
  <si>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</si>
  <si>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</si>
  <si>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</si>
  <si>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</si>
  <si>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</si>
  <si>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</si>
  <si>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</si>
  <si>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</si>
  <si>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</si>
  <si>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</si>
  <si>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</si>
  <si>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</si>
  <si>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</si>
  <si>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</si>
  <si>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</si>
  <si>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</si>
  <si>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</si>
  <si>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</si>
  <si>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</si>
  <si>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</si>
  <si>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</si>
  <si>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</si>
  <si>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</si>
  <si>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</si>
  <si>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</si>
  <si>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</si>
  <si>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</si>
  <si>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</si>
  <si>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</si>
  <si>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</si>
  <si>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</si>
  <si>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</si>
  <si>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</si>
  <si>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</si>
  <si>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</si>
  <si>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</si>
  <si>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</si>
  <si>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</si>
  <si>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</si>
  <si>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</si>
  <si>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</si>
  <si>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</si>
  <si>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</si>
  <si>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</si>
  <si>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</si>
  <si>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</si>
  <si>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</si>
  <si>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</si>
  <si>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</si>
  <si>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</si>
  <si>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</si>
  <si>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</si>
  <si>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</si>
  <si>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</si>
  <si>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</si>
  <si>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</si>
  <si>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</si>
  <si>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</si>
  <si>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</si>
  <si>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</si>
  <si>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</si>
  <si>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</si>
  <si>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</si>
  <si>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</si>
  <si>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</si>
  <si>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</si>
  <si>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</si>
  <si>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</si>
  <si>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</si>
  <si>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</si>
  <si>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</si>
  <si>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</si>
  <si>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</si>
  <si>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</si>
  <si>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</si>
  <si>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</si>
  <si>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</si>
  <si>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</si>
  <si>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</si>
  <si>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</si>
  <si>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</si>
  <si>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</si>
  <si>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</si>
  <si>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</si>
  <si>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</si>
  <si>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</si>
  <si>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</si>
  <si>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</si>
  <si>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</si>
  <si>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</si>
  <si>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</si>
  <si>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</si>
  <si>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</si>
  <si>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</si>
  <si>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</si>
  <si>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</si>
  <si>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</si>
  <si>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</si>
  <si>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</si>
  <si>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</si>
  <si>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</si>
  <si>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</si>
  <si>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</si>
  <si>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</si>
  <si>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</si>
  <si>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</si>
  <si>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</si>
  <si>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</si>
  <si>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</si>
  <si>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</si>
  <si>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</si>
  <si>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</si>
  <si>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</si>
  <si>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</si>
  <si>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</si>
  <si>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</si>
  <si>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</si>
  <si>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</si>
  <si>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</si>
  <si>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</si>
  <si>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</si>
  <si>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</si>
  <si>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</si>
  <si>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</si>
  <si>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</si>
  <si>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</si>
  <si>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</si>
  <si>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</si>
  <si>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</si>
  <si>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</si>
  <si>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</si>
  <si>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</si>
  <si>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</si>
  <si>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</si>
  <si>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</si>
  <si>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</si>
  <si>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</si>
  <si>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</si>
  <si>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</si>
  <si>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</si>
  <si>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</si>
  <si>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</si>
  <si>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</si>
  <si>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</si>
  <si>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</si>
  <si>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</si>
  <si>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</si>
  <si>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</si>
  <si>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</si>
  <si>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</si>
  <si>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</si>
  <si>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</si>
  <si>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</si>
  <si>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</si>
  <si>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</si>
  <si>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</si>
  <si>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</si>
  <si>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</si>
  <si>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</si>
  <si>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</si>
  <si>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</si>
  <si>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</si>
  <si>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</si>
  <si>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</si>
  <si>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</si>
  <si>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</si>
  <si>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</si>
  <si>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</si>
  <si>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</si>
  <si>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</si>
  <si>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</si>
  <si>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</si>
  <si>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</si>
  <si>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</si>
  <si>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</si>
  <si>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</si>
  <si>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</si>
  <si>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</si>
  <si>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</si>
  <si>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</si>
  <si>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</si>
  <si>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</si>
  <si>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</si>
  <si>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</si>
  <si>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</si>
  <si>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</si>
  <si>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</si>
  <si>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</si>
  <si>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</si>
  <si>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</si>
  <si>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</si>
  <si>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</si>
  <si>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</si>
  <si>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</si>
  <si>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</si>
  <si>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</si>
  <si>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</si>
  <si>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</si>
  <si>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</si>
  <si>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</si>
  <si>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</si>
  <si>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</si>
  <si>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</si>
  <si>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</si>
  <si>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</si>
  <si>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</si>
  <si>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</si>
  <si>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</si>
  <si>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</si>
  <si>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</si>
  <si>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</si>
  <si>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</si>
  <si>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</si>
  <si>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</si>
  <si>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</si>
  <si>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</si>
  <si>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</si>
  <si>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</si>
  <si>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</si>
  <si>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</si>
  <si>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</si>
  <si>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</si>
  <si>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</si>
  <si>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</si>
  <si>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</si>
  <si>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</si>
  <si>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</si>
  <si>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</si>
  <si>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</si>
  <si>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</si>
  <si>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</si>
  <si>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</si>
  <si>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</si>
  <si>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</si>
  <si>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</si>
  <si>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</si>
  <si>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</si>
  <si>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</si>
  <si>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</si>
  <si>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</si>
  <si>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</si>
  <si>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</si>
  <si>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</si>
  <si>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</si>
  <si>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</si>
  <si>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</si>
  <si>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</si>
  <si>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</si>
  <si>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</si>
  <si>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</si>
  <si>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</si>
  <si>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</si>
  <si>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</si>
  <si>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</si>
  <si>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</si>
  <si>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</si>
  <si>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</si>
  <si>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</si>
  <si>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</si>
  <si>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</si>
  <si>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</si>
  <si>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</si>
  <si>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</si>
  <si>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</si>
  <si>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</si>
  <si>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</si>
  <si>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</si>
  <si>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</si>
  <si>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</si>
  <si>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</si>
  <si>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</si>
  <si>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</si>
  <si>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</si>
  <si>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</si>
  <si>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</si>
  <si>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</si>
  <si>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</si>
  <si>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</si>
  <si>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</si>
  <si>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</si>
  <si>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</si>
  <si>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</si>
  <si>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</si>
  <si>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</si>
  <si>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</si>
  <si>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</si>
  <si>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</si>
  <si>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</si>
  <si>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</si>
  <si>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</si>
  <si>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</si>
  <si>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</si>
  <si>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</si>
  <si>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</si>
  <si>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</si>
  <si>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</si>
  <si>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</si>
  <si>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</si>
  <si>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</si>
  <si>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</si>
  <si>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</si>
  <si>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</si>
  <si>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</si>
  <si>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</si>
  <si>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</si>
  <si>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</si>
  <si>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</si>
  <si>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</si>
  <si>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</si>
  <si>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</si>
  <si>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</si>
  <si>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</si>
  <si>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</si>
  <si>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</si>
  <si>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</si>
  <si>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</si>
  <si>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</si>
  <si>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</si>
  <si>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</si>
  <si>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</si>
  <si>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</si>
  <si>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</si>
  <si>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</si>
  <si>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</si>
  <si>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</si>
  <si>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</si>
  <si>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</si>
  <si>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</si>
  <si>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</si>
  <si>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</si>
  <si>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</si>
  <si>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</si>
  <si>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</si>
  <si>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</si>
  <si>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</si>
  <si>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</si>
  <si>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</si>
  <si>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</si>
  <si>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</si>
  <si>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</si>
  <si>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</si>
  <si>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</si>
  <si>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</si>
  <si>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</si>
  <si>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</si>
  <si>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</si>
  <si>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</si>
  <si>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</si>
  <si>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</si>
  <si>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</si>
  <si>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</si>
  <si>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</si>
  <si>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</si>
  <si>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</si>
  <si>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</si>
  <si>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</si>
  <si>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</si>
  <si>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</si>
  <si>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</si>
  <si>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</si>
  <si>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</si>
  <si>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</si>
  <si>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</si>
  <si>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住宅/居住</t>
  </si>
  <si>
    <t>钢混</t>
  </si>
  <si>
    <t>地上</t>
  </si>
  <si>
    <t>居住用地（指二类居住用地）</t>
  </si>
  <si>
    <t>设定容积率</t>
  </si>
  <si>
    <t>与级别开发程度一致</t>
  </si>
  <si>
    <t>较好</t>
  </si>
  <si>
    <t>市区</t>
  </si>
  <si>
    <t>七通一平</t>
  </si>
  <si>
    <t>四环路外</t>
  </si>
  <si>
    <t>居住用地（指一类居住用地）</t>
  </si>
  <si>
    <t>Ⅳ-01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</si>
</sst>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0" fontId="50" fillId="5" borderId="1" xfId="0" applyFont="1" applyFill="1" applyBorder="1" applyAlignment="1" applyProtection="1">
      <alignment horizontal="center" vertical="center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30</xdr:row>
      <xdr:rowOff>47625</xdr:rowOff>
    </xdr:from>
    <xdr:to>
      <xdr:col>24</xdr:col>
      <xdr:colOff>741526</xdr:colOff>
      <xdr:row>40</xdr:row>
      <xdr:rowOff>37856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7067550"/>
          <a:ext cx="11390476" cy="19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173</v>
      </c>
    </row>
    <row r="3" spans="1:7">
      <c r="A3" s="170" t="s">
        <v>161</v>
      </c>
      <c r="B3" s="171" t="s">
        <v>162</v>
      </c>
      <c r="G3" s="172"/>
    </row>
    <row r="4" spans="1:7">
      <c r="G4" s="172"/>
    </row>
    <row r="5" spans="1:7">
      <c r="A5" s="174" t="s">
        <v>157</v>
      </c>
      <c r="B5" s="171" t="s">
        <v>163</v>
      </c>
      <c r="G5" s="172"/>
    </row>
    <row r="6" spans="1:7">
      <c r="G6" s="172"/>
    </row>
    <row r="7" spans="1:7">
      <c r="A7" s="175" t="s">
        <v>248</v>
      </c>
      <c r="B7" s="171" t="s">
        <v>164</v>
      </c>
      <c r="G7" s="172"/>
    </row>
    <row r="8" spans="1:7">
      <c r="G8" s="172"/>
    </row>
    <row r="9" spans="1:7">
      <c r="A9" s="176" t="s">
        <v>158</v>
      </c>
      <c r="B9" s="171" t="s">
        <v>165</v>
      </c>
    </row>
    <row r="11" spans="1:7">
      <c r="A11" s="177" t="s">
        <v>159</v>
      </c>
      <c r="B11" s="178" t="s">
        <v>156</v>
      </c>
    </row>
    <row r="13" spans="1:7">
      <c r="A13" s="179" t="s">
        <v>166</v>
      </c>
    </row>
    <row r="15" spans="1:7" ht="14.4">
      <c r="A15" s="1768" t="s">
        <v>167</v>
      </c>
      <c r="B15" s="647" t="s">
        <v>249</v>
      </c>
    </row>
    <row r="16" spans="1:7" ht="14.4">
      <c r="A16" s="1769"/>
      <c r="B16" s="648" t="s">
        <v>168</v>
      </c>
    </row>
    <row r="17" spans="1:2" ht="14.4">
      <c r="A17" s="180" t="s">
        <v>169</v>
      </c>
      <c r="B17" s="649"/>
    </row>
    <row r="18" spans="1:2" ht="14.4">
      <c r="A18" s="1767" t="s">
        <v>170</v>
      </c>
      <c r="B18" s="647" t="s">
        <v>1386</v>
      </c>
    </row>
    <row r="19" spans="1:2" ht="14.4">
      <c r="A19" s="1767"/>
      <c r="B19" s="647" t="s">
        <v>1387</v>
      </c>
    </row>
    <row r="20" spans="1:2" ht="14.4">
      <c r="A20" s="1767"/>
      <c r="B20" s="647" t="s">
        <v>1388</v>
      </c>
    </row>
    <row r="21" spans="1:2" ht="14.4">
      <c r="A21" s="1767"/>
      <c r="B21" s="499" t="s">
        <v>171</v>
      </c>
    </row>
    <row r="22" spans="1:2" ht="14.4">
      <c r="A22" s="1767"/>
      <c r="B22" s="499" t="s">
        <v>172</v>
      </c>
    </row>
    <row r="23" spans="1:2">
      <c r="A23" s="181" t="s">
        <v>160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17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17"/>
      <c r="B19" s="1817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17"/>
      <c r="B20" s="1817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17"/>
      <c r="B21" s="1817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17"/>
      <c r="B22" s="1817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17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17"/>
      <c r="B24" s="1817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17"/>
      <c r="B25" s="1817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17"/>
      <c r="B26" s="1817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17"/>
      <c r="B27" s="1817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17"/>
      <c r="B28" s="1817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17"/>
      <c r="B29" s="1817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17"/>
      <c r="B30" s="1817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17"/>
      <c r="B31" s="1817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17"/>
      <c r="B32" s="1817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17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17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17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17"/>
      <c r="B36" s="1817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17"/>
      <c r="B37" s="1817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17"/>
      <c r="B38" s="1817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17"/>
      <c r="B39" s="1817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4.4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17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36">
      <c r="A62" s="327">
        <v>2</v>
      </c>
      <c r="B62" s="1817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48">
      <c r="A63" s="327">
        <v>3</v>
      </c>
      <c r="B63" s="1817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48">
      <c r="A64" s="327">
        <v>4</v>
      </c>
      <c r="B64" s="1817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48">
      <c r="A65" s="327">
        <v>5</v>
      </c>
      <c r="B65" s="1817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48">
      <c r="A66" s="327">
        <v>6</v>
      </c>
      <c r="B66" s="1817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48">
      <c r="A67" s="327">
        <v>7</v>
      </c>
      <c r="B67" s="1817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48">
      <c r="A68" s="327">
        <v>8</v>
      </c>
      <c r="B68" s="1817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48">
      <c r="A69" s="327">
        <v>9</v>
      </c>
      <c r="B69" s="1817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60">
      <c r="A70" s="327">
        <v>10</v>
      </c>
      <c r="B70" s="1817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60">
      <c r="A71" s="327">
        <v>11</v>
      </c>
      <c r="B71" s="1817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17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36">
      <c r="A73" s="327">
        <v>13</v>
      </c>
      <c r="B73" s="1817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36">
      <c r="A74" s="327">
        <v>14</v>
      </c>
      <c r="B74" s="1817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36">
      <c r="A75" s="327">
        <v>15</v>
      </c>
      <c r="B75" s="1817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36">
      <c r="A76" s="327">
        <v>16</v>
      </c>
      <c r="B76" s="1817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36">
      <c r="A77" s="327">
        <v>17</v>
      </c>
      <c r="B77" s="1817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36">
      <c r="A78" s="327">
        <v>18</v>
      </c>
      <c r="B78" s="1817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36">
      <c r="A79" s="327">
        <v>19</v>
      </c>
      <c r="B79" s="1817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17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17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60">
      <c r="A82" s="327">
        <v>22</v>
      </c>
      <c r="B82" s="1817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60">
      <c r="A83" s="327">
        <v>23</v>
      </c>
      <c r="B83" s="1817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48">
      <c r="A84" s="327">
        <v>24</v>
      </c>
      <c r="B84" s="1817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17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17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17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17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36">
      <c r="A89" s="327">
        <v>29</v>
      </c>
      <c r="B89" s="1817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36">
      <c r="A90" s="327">
        <v>30</v>
      </c>
      <c r="B90" s="1817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48">
      <c r="A91" s="327">
        <v>31</v>
      </c>
      <c r="B91" s="1817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36">
      <c r="A92" s="327">
        <v>32</v>
      </c>
      <c r="B92" s="1817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17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60">
      <c r="A94" s="327">
        <v>34</v>
      </c>
      <c r="B94" s="1817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48">
      <c r="A95" s="327">
        <v>35</v>
      </c>
      <c r="B95" s="1817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72">
      <c r="A96" s="327">
        <v>36</v>
      </c>
      <c r="B96" s="1817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17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17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17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17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17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17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17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17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17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17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17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17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36">
      <c r="A116" s="327">
        <v>56</v>
      </c>
      <c r="B116" s="1817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17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opLeftCell="A25" zoomScale="90" zoomScaleNormal="90" zoomScaleSheetLayoutView="89" workbookViewId="0">
      <selection activeCell="C66" sqref="C66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主表!B7</f>
        <v>0</v>
      </c>
      <c r="I1" s="707" t="s">
        <v>1340</v>
      </c>
      <c r="J1" s="509">
        <f>主表!B6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主表!B12</f>
        <v>住宅/居住</v>
      </c>
      <c r="F2" s="714" t="s">
        <v>685</v>
      </c>
      <c r="G2" s="716" t="str">
        <f>主表!B10</f>
        <v>四级</v>
      </c>
      <c r="H2" s="715" t="s">
        <v>1350</v>
      </c>
      <c r="I2" s="1311" t="s">
        <v>1793</v>
      </c>
      <c r="J2" s="717"/>
      <c r="AE2" s="712"/>
      <c r="AF2" s="712"/>
    </row>
    <row r="3" spans="1:36" ht="24">
      <c r="A3" s="668" t="s">
        <v>912</v>
      </c>
      <c r="B3" s="1398">
        <f>C18</f>
        <v>0</v>
      </c>
      <c r="C3" s="713" t="s">
        <v>913</v>
      </c>
      <c r="D3" s="714" t="s">
        <v>252</v>
      </c>
      <c r="E3" s="718" t="s">
        <v>1801</v>
      </c>
      <c r="F3" s="1459" t="s">
        <v>1795</v>
      </c>
      <c r="G3" s="238">
        <f>IF(F3="容积率",主表!B8,主表!B9)</f>
        <v>2.5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1564</v>
      </c>
      <c r="B4" s="616">
        <f>C20</f>
        <v>0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2" thickBot="1">
      <c r="A5" s="707" t="s">
        <v>1565</v>
      </c>
      <c r="B5" s="1396">
        <f>C22</f>
        <v>0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5.6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1334</v>
      </c>
      <c r="C7" s="1023">
        <f>IF(I2="地上",'2002地价表'!M1,ROUND('2002地价表'!M1/3,0))</f>
        <v>2845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1335</v>
      </c>
      <c r="C8" s="1035">
        <f>(300+680)/2</f>
        <v>490</v>
      </c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261</v>
      </c>
      <c r="E9" s="1513">
        <v>37257</v>
      </c>
      <c r="F9" s="1514">
        <f>ROUND(SUMIF(地价!B3:F3,E2,地价!B86:F86),0)</f>
        <v>104</v>
      </c>
      <c r="G9" s="1515" t="s">
        <v>262</v>
      </c>
      <c r="H9" s="1516">
        <f>主表!B4</f>
        <v>42077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2" thickBot="1">
      <c r="A10" s="1518" t="s">
        <v>930</v>
      </c>
      <c r="B10" s="1519" t="s">
        <v>198</v>
      </c>
      <c r="C10" s="1520">
        <f>ROUND(POWER(1+E10,H10-G10)*(POWER(1+E10,G10)-1)/(POWER(1+E10,H10)-1),4)</f>
        <v>0.98829999999999996</v>
      </c>
      <c r="D10" s="1480" t="s">
        <v>935</v>
      </c>
      <c r="E10" s="1481">
        <v>0.04</v>
      </c>
      <c r="F10" s="1521" t="s">
        <v>1633</v>
      </c>
      <c r="G10" s="1522">
        <f>IF(F10="剩余土地使用年限",主表!B15,主表!B16)</f>
        <v>66</v>
      </c>
      <c r="H10" s="1522">
        <f>IF(E2="住宅/居住",70,IF(E2="商业",40,50))</f>
        <v>70</v>
      </c>
      <c r="I10" s="1509"/>
      <c r="J10" s="1523"/>
      <c r="AE10" s="712"/>
      <c r="AF10" s="712"/>
    </row>
    <row r="11" spans="1:36" ht="15.6">
      <c r="A11" s="745" t="s">
        <v>932</v>
      </c>
      <c r="B11" s="746" t="s">
        <v>937</v>
      </c>
      <c r="C11" s="1312">
        <f>IF(E2="工业",1,IF(G3&gt;10,D14,IF(D11="郊区",D13,D12)))</f>
        <v>0.94699999999999995</v>
      </c>
      <c r="D11" s="1487" t="s">
        <v>1798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1348</v>
      </c>
      <c r="C12" s="621" t="s">
        <v>1488</v>
      </c>
      <c r="D12" s="1476">
        <f>IF(E12=G12,F12,IF(G3&lt;=10,ROUND(F12+(H12-F12)*(G3-E12)/(G12-E12),4),"——"))</f>
        <v>0.94699999999999995</v>
      </c>
      <c r="E12" s="1478">
        <f>ROUNDDOWN(G3,1)</f>
        <v>2.5</v>
      </c>
      <c r="F12" s="1479">
        <f>IF(G3&lt;=10,SUMPRODUCT(('2002容积率修正'!A3:A102=E12)*('2002容积率修正'!B2:D2=E2)*('2002容积率修正'!B3:D102)),"——")</f>
        <v>0.94699999999999995</v>
      </c>
      <c r="G12" s="1477">
        <f>ROUNDUP(G3,1)</f>
        <v>2.5</v>
      </c>
      <c r="H12" s="621">
        <f>IF(G3&lt;=10,SUMPRODUCT(('2002容积率修正'!A3:A102=G12)*('2002容积率修正'!B2:D2=E2)*('2002容积率修正'!B3:D102)),"——")</f>
        <v>0.94699999999999995</v>
      </c>
      <c r="I12" s="669"/>
      <c r="J12" s="749"/>
      <c r="AE12" s="712"/>
      <c r="AF12" s="712"/>
    </row>
    <row r="13" spans="1:36" ht="15.6">
      <c r="A13" s="687"/>
      <c r="B13" s="748" t="s">
        <v>1349</v>
      </c>
      <c r="C13" s="621" t="s">
        <v>1488</v>
      </c>
      <c r="D13" s="1476">
        <f>IF(E12=G12,F12,IF(G3&lt;=10,ROUND(F12+(H12-F12)*(G3-E12)/(G12-E12),4),"——"))</f>
        <v>0.94699999999999995</v>
      </c>
      <c r="E13" s="1478">
        <f>ROUNDDOWN(G3,1)</f>
        <v>2.5</v>
      </c>
      <c r="F13" s="1479">
        <f>IF(G3&lt;=10,SUMPRODUCT(('2002容积率修正'!A3:A102=E13)*('2002容积率修正'!E2:G2=E2)*('2002容积率修正'!E3:G102)),"——")</f>
        <v>0.80500000000000005</v>
      </c>
      <c r="G13" s="1477">
        <f>ROUNDUP(G3,1)</f>
        <v>2.5</v>
      </c>
      <c r="H13" s="621">
        <f>IF(G3&lt;=10,SUMPRODUCT(('2002容积率修正'!A3:A102=G13)*('2002容积率修正'!E2:G2=E2)*('2002容积率修正'!E3:G102)),"——")</f>
        <v>0.80500000000000005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280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936</v>
      </c>
      <c r="B15" s="742" t="s">
        <v>940</v>
      </c>
      <c r="C15" s="620">
        <f>SUMIF(A40:A76,E2,B40:B76)</f>
        <v>1.1040000000000001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8" t="s">
        <v>1323</v>
      </c>
      <c r="B16" s="1519" t="s">
        <v>1332</v>
      </c>
      <c r="C16" s="1524">
        <v>1</v>
      </c>
      <c r="D16" s="1525" t="s">
        <v>1336</v>
      </c>
      <c r="E16" s="1482" t="s">
        <v>925</v>
      </c>
      <c r="F16" s="1483" t="s">
        <v>1799</v>
      </c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1337</v>
      </c>
      <c r="B18" s="761" t="s">
        <v>1324</v>
      </c>
      <c r="C18" s="629">
        <f>ROUND(C7*C9*C10*C11*C15*C16,0)</f>
        <v>0</v>
      </c>
      <c r="D18" s="630">
        <f>H1</f>
        <v>0</v>
      </c>
      <c r="E18" s="631">
        <f>ROUND(C18*D18,0)</f>
        <v>0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1327</v>
      </c>
      <c r="C19" s="621">
        <f>ROUND(C7*C9*C10*C11*C15*C16*G3,0)</f>
        <v>0</v>
      </c>
      <c r="D19" s="630">
        <f>J1</f>
        <v>0</v>
      </c>
      <c r="E19" s="631">
        <f>ROUND(C19*D19,0)</f>
        <v>0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1338</v>
      </c>
      <c r="B20" s="748" t="s">
        <v>1325</v>
      </c>
      <c r="C20" s="635">
        <f>ROUND(IF(G3&gt;=I3,C8*C9*C10*C15,C8*C9*C10*C15*G3),0)</f>
        <v>0</v>
      </c>
      <c r="D20" s="636">
        <f>H1</f>
        <v>0</v>
      </c>
      <c r="E20" s="637">
        <f>ROUND(C20*D20,0)</f>
        <v>0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1326</v>
      </c>
      <c r="C21" s="638">
        <f>ROUND(IF(G3&lt;I3,C8*C9*C10*C15,C8*C9*C10*C15*G3),0)</f>
        <v>0</v>
      </c>
      <c r="D21" s="639">
        <f>J1</f>
        <v>0</v>
      </c>
      <c r="E21" s="640">
        <f t="shared" ref="E21" si="0">ROUND(C21*D21,0)</f>
        <v>0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9" t="s">
        <v>1347</v>
      </c>
      <c r="B22" s="775"/>
      <c r="C22" s="1564">
        <f>ROUND(IF(D22="四环路内",C20*0.4,C20*0.6),0)</f>
        <v>0</v>
      </c>
      <c r="D22" s="776" t="s">
        <v>1800</v>
      </c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968</v>
      </c>
      <c r="B24" s="379">
        <f>ROUNDDOWN(1+DATEDIF(E9,H9,"M")/3,0)</f>
        <v>53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263</v>
      </c>
      <c r="B25" s="1384" t="s">
        <v>1490</v>
      </c>
      <c r="C25" s="1458" t="s">
        <v>268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277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1305</v>
      </c>
      <c r="B58" s="487">
        <f>1+E60</f>
        <v>1.1040000000000001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1797</v>
      </c>
      <c r="D60" s="490">
        <f t="shared" ref="D60:D67" si="7">SUMIF($F$59:$J$59,C60,F60:J60)</f>
        <v>1.2999999999999999E-2</v>
      </c>
      <c r="E60" s="253">
        <f>SUM(D60:D67)</f>
        <v>0.104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1797</v>
      </c>
      <c r="D61" s="490">
        <f t="shared" si="7"/>
        <v>2.5999999999999999E-2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905</v>
      </c>
      <c r="B63" s="254">
        <f>估价对象房地状况!C12</f>
        <v>0</v>
      </c>
      <c r="C63" s="795" t="s">
        <v>1797</v>
      </c>
      <c r="D63" s="490">
        <f t="shared" si="7"/>
        <v>1.2999999999999999E-2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 t="s">
        <v>1797</v>
      </c>
      <c r="D64" s="490">
        <f t="shared" si="7"/>
        <v>1.04E-2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1797</v>
      </c>
      <c r="D65" s="490">
        <f t="shared" si="7"/>
        <v>1.5599999999999999E-2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 t="s">
        <v>1797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1315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225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27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1465</v>
      </c>
      <c r="B80" s="582">
        <f>G3</f>
        <v>2.5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1466</v>
      </c>
      <c r="B81" s="583">
        <f>SUMIF(A82:A85,E2,B82:B85)</f>
        <v>0.96330000000000005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0.79879999999999995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1304</v>
      </c>
      <c r="B83" s="583">
        <f>ROUND(1.007-0.0278*B80,4)</f>
        <v>0.9375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1306</v>
      </c>
      <c r="B84" s="583">
        <f>ROUND(1.018-0.0219*B80,4)</f>
        <v>0.96330000000000005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1307</v>
      </c>
      <c r="B85" s="584">
        <f>ROUND(0.7275-0.01*B80,4)</f>
        <v>0.70250000000000001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685</v>
      </c>
      <c r="B88" s="801" t="s">
        <v>289</v>
      </c>
      <c r="C88" s="801" t="s">
        <v>32</v>
      </c>
      <c r="D88" s="801" t="s">
        <v>291</v>
      </c>
      <c r="E88" s="801" t="s">
        <v>29</v>
      </c>
      <c r="F88" s="801" t="s">
        <v>30</v>
      </c>
      <c r="G88" s="801" t="s">
        <v>31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225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225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250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250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33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33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225</v>
      </c>
      <c r="P14" s="1026" t="s">
        <v>0</v>
      </c>
      <c r="Q14" s="273" t="s">
        <v>1301</v>
      </c>
      <c r="R14" s="273" t="s">
        <v>1302</v>
      </c>
      <c r="S14" s="1027" t="s">
        <v>225</v>
      </c>
    </row>
    <row r="15" spans="1:19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250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250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33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33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250</v>
      </c>
      <c r="I1" s="538" t="s">
        <v>250</v>
      </c>
      <c r="J1" s="543" t="s">
        <v>662</v>
      </c>
      <c r="K1" s="541" t="s">
        <v>662</v>
      </c>
      <c r="L1" s="537" t="s">
        <v>33</v>
      </c>
      <c r="M1" s="538" t="s">
        <v>33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6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27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1320</v>
      </c>
      <c r="B35" s="532" t="s">
        <v>289</v>
      </c>
      <c r="C35" s="533" t="s">
        <v>32</v>
      </c>
      <c r="D35" s="533" t="s">
        <v>291</v>
      </c>
      <c r="E35" s="533" t="s">
        <v>29</v>
      </c>
      <c r="F35" s="533" t="s">
        <v>30</v>
      </c>
      <c r="G35" s="533" t="s">
        <v>31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27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1319</v>
      </c>
      <c r="B65" s="533" t="s">
        <v>289</v>
      </c>
      <c r="C65" s="533" t="s">
        <v>32</v>
      </c>
      <c r="D65" s="533" t="s">
        <v>291</v>
      </c>
      <c r="E65" s="533" t="s">
        <v>29</v>
      </c>
      <c r="F65" s="533" t="s">
        <v>30</v>
      </c>
      <c r="G65" s="533" t="s">
        <v>31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27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38" t="s">
        <v>1423</v>
      </c>
      <c r="E2" s="1842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39"/>
      <c r="E3" s="1843"/>
      <c r="F3" s="661" t="s">
        <v>1433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39"/>
      <c r="E4" s="1843"/>
      <c r="F4" s="661" t="s">
        <v>1434</v>
      </c>
      <c r="G4" s="376"/>
      <c r="H4" s="376"/>
      <c r="I4" s="664"/>
      <c r="J4" s="688"/>
      <c r="AE4" s="477"/>
      <c r="AF4" s="477"/>
    </row>
    <row r="5" spans="1:36" ht="31.2">
      <c r="A5" s="699" t="s">
        <v>983</v>
      </c>
      <c r="B5" s="951" t="str">
        <f>主表!B12</f>
        <v>住宅/居住</v>
      </c>
      <c r="C5" s="703"/>
      <c r="D5" s="1840"/>
      <c r="E5" s="1844"/>
      <c r="F5" s="661" t="s">
        <v>1435</v>
      </c>
      <c r="G5" s="376"/>
      <c r="H5" s="376"/>
      <c r="I5" s="664"/>
      <c r="J5" s="688"/>
      <c r="AE5" s="477"/>
      <c r="AF5" s="477"/>
    </row>
    <row r="6" spans="1:36" ht="15.6">
      <c r="A6" s="700" t="s">
        <v>1431</v>
      </c>
      <c r="B6" s="1313"/>
      <c r="C6" s="703"/>
      <c r="D6" s="1838" t="s">
        <v>1424</v>
      </c>
      <c r="E6" s="1842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5.6">
      <c r="A7" s="1346" t="s">
        <v>1432</v>
      </c>
      <c r="B7" s="1347" t="str">
        <f>LEFT(主表!B10,1)&amp;"类"</f>
        <v>四类</v>
      </c>
      <c r="C7" s="703"/>
      <c r="D7" s="1839"/>
      <c r="E7" s="1843"/>
      <c r="F7" s="661" t="s">
        <v>1437</v>
      </c>
      <c r="G7" s="376"/>
      <c r="H7" s="376"/>
      <c r="I7" s="664"/>
      <c r="J7" s="688"/>
      <c r="AE7" s="477"/>
      <c r="AF7" s="477"/>
    </row>
    <row r="8" spans="1:36" ht="15.6">
      <c r="A8" s="700" t="s">
        <v>1558</v>
      </c>
      <c r="B8" s="1379"/>
      <c r="C8" s="703"/>
      <c r="D8" s="1840"/>
      <c r="E8" s="1844"/>
      <c r="F8" s="661" t="s">
        <v>1438</v>
      </c>
      <c r="G8" s="376"/>
      <c r="H8" s="376"/>
      <c r="I8" s="664"/>
      <c r="J8" s="688"/>
      <c r="AE8" s="477"/>
      <c r="AF8" s="477"/>
    </row>
    <row r="9" spans="1:36" ht="15.6">
      <c r="A9" s="700" t="s">
        <v>1177</v>
      </c>
      <c r="B9" s="701">
        <f>主表!B7</f>
        <v>0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.6">
      <c r="A10" s="700" t="s">
        <v>1340</v>
      </c>
      <c r="B10" s="701">
        <f>主表!B6</f>
        <v>0</v>
      </c>
      <c r="C10" s="703"/>
      <c r="D10" s="1838" t="s">
        <v>1402</v>
      </c>
      <c r="E10" s="1842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6.2" thickBot="1">
      <c r="A11" s="1462" t="s">
        <v>1218</v>
      </c>
      <c r="B11" s="702" t="e">
        <f>IF(A11="容积率",主表!B8,主表!B9)</f>
        <v>#DIV/0!</v>
      </c>
      <c r="C11" s="703"/>
      <c r="D11" s="1841"/>
      <c r="E11" s="1845"/>
      <c r="F11" s="689" t="s">
        <v>1441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6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6.2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6.8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7" t="s">
        <v>1560</v>
      </c>
      <c r="B22" s="1348" t="s">
        <v>198</v>
      </c>
      <c r="C22" s="1358">
        <f ca="1">ROUND(POWER(1+C23,C25-C24)*(POWER(1+C23,C24)-1)/(POWER(1+C23,C25)-1),4)</f>
        <v>0.99180000000000001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935</v>
      </c>
      <c r="C23" s="670">
        <f ca="1">AVERAGE(存贷款利率!G3,存贷款利率!I3)</f>
        <v>4.7500000000000001E-2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11" t="s">
        <v>1633</v>
      </c>
      <c r="C24" s="621">
        <f>IF(B24="剩余土地使用年限",主表!B15,主表!B16)</f>
        <v>66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9"/>
      <c r="B25" s="1370" t="s">
        <v>1444</v>
      </c>
      <c r="C25" s="1355">
        <f>IF(B5="住宅/居住",70,IF(B5="商业",40,50))</f>
        <v>70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1327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8"/>
      <c r="B30" s="952" t="s">
        <v>1452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46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7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7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7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7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7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7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7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35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36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36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36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36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37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36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36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36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37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131</v>
      </c>
      <c r="B1" s="34"/>
      <c r="C1" s="35" t="s">
        <v>132</v>
      </c>
      <c r="D1" s="192"/>
      <c r="E1" s="192"/>
      <c r="F1" s="191" t="s">
        <v>88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86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87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89</v>
      </c>
      <c r="B4" s="39"/>
      <c r="C4" s="1872" t="s">
        <v>90</v>
      </c>
      <c r="D4" s="1873"/>
      <c r="E4" s="1874" t="s">
        <v>91</v>
      </c>
      <c r="F4" s="1875"/>
      <c r="G4" s="1872" t="s">
        <v>92</v>
      </c>
      <c r="H4" s="1873"/>
      <c r="I4" s="1872" t="s">
        <v>93</v>
      </c>
      <c r="J4" s="1873"/>
      <c r="K4" s="142" t="s">
        <v>94</v>
      </c>
      <c r="L4" s="448"/>
      <c r="M4" s="449"/>
      <c r="N4" s="449"/>
      <c r="O4" s="449"/>
      <c r="P4" s="1876" t="s">
        <v>95</v>
      </c>
      <c r="Q4" s="1877"/>
      <c r="R4" s="1859" t="s">
        <v>91</v>
      </c>
      <c r="S4" s="1860"/>
      <c r="T4" s="1859" t="s">
        <v>92</v>
      </c>
      <c r="U4" s="1860"/>
      <c r="V4" s="1856" t="s">
        <v>93</v>
      </c>
      <c r="W4" s="1856"/>
      <c r="X4" s="201"/>
      <c r="Y4" s="1859" t="s">
        <v>95</v>
      </c>
      <c r="Z4" s="1860"/>
      <c r="AA4" s="1869" t="s">
        <v>91</v>
      </c>
      <c r="AB4" s="1870" t="s">
        <v>92</v>
      </c>
      <c r="AC4" s="1869" t="s">
        <v>93</v>
      </c>
    </row>
    <row r="5" spans="1:30" ht="14.4">
      <c r="A5" s="41"/>
      <c r="B5" s="42"/>
      <c r="C5" s="1884" t="s">
        <v>226</v>
      </c>
      <c r="D5" s="1885"/>
      <c r="E5" s="1882" t="s">
        <v>227</v>
      </c>
      <c r="F5" s="1883"/>
      <c r="G5" s="1884" t="s">
        <v>230</v>
      </c>
      <c r="H5" s="1885"/>
      <c r="I5" s="1884" t="s">
        <v>228</v>
      </c>
      <c r="J5" s="1885"/>
      <c r="K5" s="142"/>
      <c r="L5" s="448"/>
      <c r="M5" s="449"/>
      <c r="N5" s="449"/>
      <c r="O5" s="449"/>
      <c r="P5" s="1878"/>
      <c r="Q5" s="1879"/>
      <c r="R5" s="1861"/>
      <c r="S5" s="1862"/>
      <c r="T5" s="1861"/>
      <c r="U5" s="1862"/>
      <c r="V5" s="1856"/>
      <c r="W5" s="1856"/>
      <c r="X5" s="201"/>
      <c r="Y5" s="1861"/>
      <c r="Z5" s="1862"/>
      <c r="AA5" s="1870"/>
      <c r="AB5" s="1870"/>
      <c r="AC5" s="1870"/>
    </row>
    <row r="6" spans="1:30" ht="15" thickBot="1">
      <c r="A6" s="43"/>
      <c r="B6" s="44"/>
      <c r="C6" s="1886" t="s">
        <v>229</v>
      </c>
      <c r="D6" s="1887"/>
      <c r="E6" s="1888" t="s">
        <v>229</v>
      </c>
      <c r="F6" s="1889"/>
      <c r="G6" s="1886" t="s">
        <v>229</v>
      </c>
      <c r="H6" s="1887"/>
      <c r="I6" s="1886" t="s">
        <v>229</v>
      </c>
      <c r="J6" s="1887"/>
      <c r="K6" s="142" t="s">
        <v>96</v>
      </c>
      <c r="L6" s="448"/>
      <c r="M6" s="449"/>
      <c r="N6" s="449"/>
      <c r="O6" s="449"/>
      <c r="P6" s="1880"/>
      <c r="Q6" s="1881"/>
      <c r="R6" s="1861"/>
      <c r="S6" s="1862"/>
      <c r="T6" s="1863"/>
      <c r="U6" s="1864"/>
      <c r="V6" s="1856"/>
      <c r="W6" s="1856"/>
      <c r="X6" s="201"/>
      <c r="Y6" s="1863"/>
      <c r="Z6" s="1864"/>
      <c r="AA6" s="1871"/>
      <c r="AB6" s="1871"/>
      <c r="AC6" s="1871"/>
    </row>
    <row r="7" spans="1:30" s="22" customFormat="1" ht="15.6" thickBot="1">
      <c r="A7" s="45" t="s">
        <v>97</v>
      </c>
      <c r="B7" s="46"/>
      <c r="C7" s="1344">
        <f>主表!B4</f>
        <v>42077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7" t="s">
        <v>98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7" t="s">
        <v>98</v>
      </c>
      <c r="Z7" s="185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99</v>
      </c>
      <c r="B8" s="46"/>
      <c r="C8" s="641" t="s">
        <v>26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7" t="s">
        <v>124</v>
      </c>
      <c r="Q8" s="185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7" t="s">
        <v>124</v>
      </c>
      <c r="Z8" s="185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100</v>
      </c>
      <c r="B9" s="21" t="s">
        <v>116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49" t="s">
        <v>101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102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103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4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4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3"/>
      <c r="B12" s="1039" t="s">
        <v>1531</v>
      </c>
      <c r="C12" s="1064" t="str">
        <f>主表!B10</f>
        <v>四级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4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4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4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105</v>
      </c>
      <c r="B15" s="1042" t="s">
        <v>85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106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106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4" t="s">
        <v>125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4" t="s">
        <v>127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4" t="s">
        <v>130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4" t="s">
        <v>133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7.6" hidden="1">
      <c r="A25" s="41"/>
      <c r="B25" s="1045" t="s">
        <v>134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126</v>
      </c>
      <c r="C31" s="1057" t="s">
        <v>28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5" t="s">
        <v>128</v>
      </c>
      <c r="C32" s="1054" t="s">
        <v>135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136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54" t="s">
        <v>107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5" t="s">
        <v>107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5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1545</v>
      </c>
      <c r="B38" s="145" t="s">
        <v>137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5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138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5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139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5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140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5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141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55" t="s">
        <v>107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5" t="s">
        <v>107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5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5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5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142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49" t="str">
        <f>A46</f>
        <v>成交单价</v>
      </c>
      <c r="Q46" s="1849"/>
      <c r="R46" s="1856">
        <f>E46</f>
        <v>0</v>
      </c>
      <c r="S46" s="1856"/>
      <c r="T46" s="1856">
        <f>G46</f>
        <v>0</v>
      </c>
      <c r="U46" s="1856"/>
      <c r="V46" s="1856">
        <f>I46</f>
        <v>0</v>
      </c>
      <c r="W46" s="1856"/>
      <c r="X46" s="196"/>
      <c r="Y46" s="215"/>
      <c r="Z46" s="196"/>
      <c r="AA46" s="196"/>
      <c r="AB46" s="196"/>
      <c r="AC46" s="196"/>
    </row>
    <row r="47" spans="1:29" ht="15" thickBot="1">
      <c r="A47" s="72" t="s">
        <v>108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49" t="str">
        <f>A47</f>
        <v>比较价值（元/平方米）</v>
      </c>
      <c r="Q47" s="1849"/>
      <c r="R47" s="1850" t="e">
        <f>ROUND(PRODUCT(R46,AA7:AA45),0)</f>
        <v>#DIV/0!</v>
      </c>
      <c r="S47" s="1850"/>
      <c r="T47" s="1850" t="e">
        <f>ROUND(PRODUCT(T46,AB7:AB45),0)</f>
        <v>#DIV/0!</v>
      </c>
      <c r="U47" s="1850"/>
      <c r="V47" s="1850" t="e">
        <f>ROUND(PRODUCT(V46,AC7:AC45),0)</f>
        <v>#DIV/0!</v>
      </c>
      <c r="W47" s="1850"/>
      <c r="X47" s="196"/>
      <c r="Y47" s="196"/>
      <c r="Z47" s="196"/>
      <c r="AA47" s="196"/>
      <c r="AB47" s="196"/>
      <c r="AC47" s="196"/>
    </row>
    <row r="48" spans="1:29" ht="1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51" t="str">
        <f>A48</f>
        <v>估价对象比较价值（单价内涵，元/平方米）</v>
      </c>
      <c r="Q48" s="1852"/>
      <c r="R48" s="1853" t="e">
        <f>ROUND(AVERAGE(R47:V47),0)</f>
        <v>#DIV/0!</v>
      </c>
      <c r="S48" s="1853"/>
      <c r="T48" s="1853"/>
      <c r="U48" s="1853"/>
      <c r="V48" s="1853"/>
      <c r="W48" s="1853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109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110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111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2015-3-1</v>
      </c>
      <c r="D56" s="1533">
        <f>EDATE(C56,-3)</f>
        <v>41974</v>
      </c>
      <c r="E56" s="1533">
        <f t="shared" ref="E56:O56" si="15">EDATE(D56,-3)</f>
        <v>41883</v>
      </c>
      <c r="F56" s="1533">
        <f t="shared" si="15"/>
        <v>41791</v>
      </c>
      <c r="G56" s="1533">
        <f t="shared" si="15"/>
        <v>41699</v>
      </c>
      <c r="H56" s="1533">
        <f t="shared" si="15"/>
        <v>41609</v>
      </c>
      <c r="I56" s="1533">
        <f t="shared" si="15"/>
        <v>41518</v>
      </c>
      <c r="J56" s="1533">
        <f t="shared" si="15"/>
        <v>41426</v>
      </c>
      <c r="K56" s="1533">
        <f t="shared" si="15"/>
        <v>41334</v>
      </c>
      <c r="L56" s="1533">
        <f t="shared" si="15"/>
        <v>41244</v>
      </c>
      <c r="M56" s="1533">
        <f t="shared" si="15"/>
        <v>41153</v>
      </c>
      <c r="N56" s="1533">
        <f t="shared" si="15"/>
        <v>41061</v>
      </c>
      <c r="O56" s="1533">
        <f t="shared" si="15"/>
        <v>40969</v>
      </c>
    </row>
    <row r="57" spans="1:17" ht="22.2" thickBot="1">
      <c r="A57" s="1145" t="s">
        <v>112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4.4">
      <c r="A58" s="88" t="s">
        <v>97</v>
      </c>
      <c r="B58" s="89"/>
      <c r="C58" s="1532" t="str">
        <f>YEAR(C56)&amp;"-"&amp;ROUNDUP(MONTH(C56)/3,0)</f>
        <v>2015-1</v>
      </c>
      <c r="D58" s="1532" t="str">
        <f t="shared" ref="D58:O58" si="16">YEAR(D56)&amp;"-"&amp;ROUNDUP(MONTH(D56)/3,0)</f>
        <v>2014-4</v>
      </c>
      <c r="E58" s="1532" t="str">
        <f t="shared" si="16"/>
        <v>2014-3</v>
      </c>
      <c r="F58" s="1532" t="str">
        <f t="shared" si="16"/>
        <v>2014-2</v>
      </c>
      <c r="G58" s="1532" t="str">
        <f t="shared" si="16"/>
        <v>2014-1</v>
      </c>
      <c r="H58" s="1532" t="str">
        <f t="shared" si="16"/>
        <v>2013-4</v>
      </c>
      <c r="I58" s="1532" t="str">
        <f t="shared" si="16"/>
        <v>2013-3</v>
      </c>
      <c r="J58" s="1532" t="str">
        <f t="shared" si="16"/>
        <v>2013-2</v>
      </c>
      <c r="K58" s="1532" t="str">
        <f t="shared" si="16"/>
        <v>2013-1</v>
      </c>
      <c r="L58" s="1532" t="str">
        <f t="shared" si="16"/>
        <v>2012-4</v>
      </c>
      <c r="M58" s="1532" t="str">
        <f t="shared" si="16"/>
        <v>2012-3</v>
      </c>
      <c r="N58" s="1532" t="str">
        <f t="shared" si="16"/>
        <v>2012-2</v>
      </c>
      <c r="O58" s="1532" t="str">
        <f t="shared" si="16"/>
        <v>2012-1</v>
      </c>
      <c r="P58" s="1140"/>
    </row>
    <row r="59" spans="1:17" s="1080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" thickBot="1">
      <c r="A60" s="94" t="s">
        <v>113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4.4">
      <c r="A61" s="96" t="s">
        <v>99</v>
      </c>
      <c r="B61" s="91"/>
      <c r="C61" s="97" t="s">
        <v>114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115</v>
      </c>
      <c r="B63" s="100" t="s">
        <v>116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103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104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4.4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4.4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t="14.4" hidden="1">
      <c r="A76" s="99" t="s">
        <v>105</v>
      </c>
      <c r="B76" s="100" t="s">
        <v>117</v>
      </c>
      <c r="C76" s="126" t="s">
        <v>118</v>
      </c>
      <c r="D76" s="126" t="s">
        <v>119</v>
      </c>
      <c r="E76" s="126" t="s">
        <v>120</v>
      </c>
      <c r="F76" s="126" t="s">
        <v>121</v>
      </c>
      <c r="G76" s="126" t="s">
        <v>122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" hidden="1" thickTop="1">
      <c r="A78" s="102"/>
      <c r="B78" s="106" t="s">
        <v>143</v>
      </c>
      <c r="C78" s="130" t="s">
        <v>118</v>
      </c>
      <c r="D78" s="130" t="s">
        <v>119</v>
      </c>
      <c r="E78" s="130" t="s">
        <v>120</v>
      </c>
      <c r="F78" s="130" t="s">
        <v>121</v>
      </c>
      <c r="G78" s="130" t="s">
        <v>122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" hidden="1" thickTop="1">
      <c r="A80" s="102"/>
      <c r="B80" s="106" t="s">
        <v>129</v>
      </c>
      <c r="C80" s="130" t="s">
        <v>118</v>
      </c>
      <c r="D80" s="130" t="s">
        <v>119</v>
      </c>
      <c r="E80" s="130" t="s">
        <v>120</v>
      </c>
      <c r="F80" s="130" t="s">
        <v>121</v>
      </c>
      <c r="G80" s="130" t="s">
        <v>122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" hidden="1" thickTop="1">
      <c r="A82" s="102"/>
      <c r="B82" s="106" t="s">
        <v>123</v>
      </c>
      <c r="C82" s="130" t="s">
        <v>118</v>
      </c>
      <c r="D82" s="130" t="s">
        <v>119</v>
      </c>
      <c r="E82" s="130" t="s">
        <v>120</v>
      </c>
      <c r="F82" s="130" t="s">
        <v>121</v>
      </c>
      <c r="G82" s="130" t="s">
        <v>122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9.4" hidden="1" thickTop="1">
      <c r="A84" s="131"/>
      <c r="B84" s="106" t="s">
        <v>144</v>
      </c>
      <c r="C84" s="130" t="s">
        <v>118</v>
      </c>
      <c r="D84" s="130" t="s">
        <v>119</v>
      </c>
      <c r="E84" s="130" t="s">
        <v>120</v>
      </c>
      <c r="F84" s="130" t="s">
        <v>121</v>
      </c>
      <c r="G84" s="130" t="s">
        <v>122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9.4" hidden="1" thickTop="1">
      <c r="A86" s="131"/>
      <c r="B86" s="106" t="s">
        <v>145</v>
      </c>
      <c r="C86" s="126" t="s">
        <v>118</v>
      </c>
      <c r="D86" s="126" t="s">
        <v>119</v>
      </c>
      <c r="E86" s="126" t="s">
        <v>120</v>
      </c>
      <c r="F86" s="126" t="s">
        <v>121</v>
      </c>
      <c r="G86" s="126" t="s">
        <v>122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" hidden="1" thickTop="1">
      <c r="A88" s="121"/>
      <c r="B88" s="156" t="s">
        <v>1197</v>
      </c>
      <c r="C88" s="126" t="s">
        <v>118</v>
      </c>
      <c r="D88" s="126" t="s">
        <v>119</v>
      </c>
      <c r="E88" s="126" t="s">
        <v>120</v>
      </c>
      <c r="F88" s="126" t="s">
        <v>121</v>
      </c>
      <c r="G88" s="126" t="s">
        <v>122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" hidden="1" thickTop="1">
      <c r="A92" s="102"/>
      <c r="B92" s="106" t="str">
        <f>B31</f>
        <v>临街状况</v>
      </c>
      <c r="C92" s="107" t="s">
        <v>146</v>
      </c>
      <c r="D92" s="107" t="s">
        <v>147</v>
      </c>
      <c r="E92" s="107" t="s">
        <v>148</v>
      </c>
      <c r="F92" s="107" t="s">
        <v>149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9.4" hidden="1" thickTop="1">
      <c r="A94" s="102"/>
      <c r="B94" s="106" t="s">
        <v>128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4.4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28.8" hidden="1" thickTop="1" thickBot="1">
      <c r="A104" s="1107" t="s">
        <v>1546</v>
      </c>
      <c r="B104" s="114" t="s">
        <v>150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6" hidden="1" thickTop="1" thickBot="1">
      <c r="A107" s="1108"/>
      <c r="B107" s="106" t="s">
        <v>151</v>
      </c>
      <c r="C107" s="1112" t="s">
        <v>231</v>
      </c>
      <c r="D107" s="1112" t="s">
        <v>232</v>
      </c>
      <c r="E107" s="1112" t="s">
        <v>233</v>
      </c>
      <c r="F107" s="1112" t="s">
        <v>234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6" hidden="1" thickTop="1" thickBot="1">
      <c r="A109" s="1108"/>
      <c r="B109" s="106" t="s">
        <v>152</v>
      </c>
      <c r="C109" s="1113" t="s">
        <v>235</v>
      </c>
      <c r="D109" s="1113" t="s">
        <v>236</v>
      </c>
      <c r="E109" s="1113" t="s">
        <v>237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6" hidden="1" thickTop="1" thickBot="1">
      <c r="A111" s="1109"/>
      <c r="B111" s="106" t="s">
        <v>153</v>
      </c>
      <c r="C111" s="1113" t="s">
        <v>238</v>
      </c>
      <c r="D111" s="1113" t="s">
        <v>239</v>
      </c>
      <c r="E111" s="1113" t="s">
        <v>240</v>
      </c>
      <c r="F111" s="1113" t="s">
        <v>241</v>
      </c>
      <c r="G111" s="1113" t="s">
        <v>242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6" hidden="1" thickTop="1" thickBot="1">
      <c r="A113" s="1108"/>
      <c r="B113" s="106" t="s">
        <v>154</v>
      </c>
      <c r="C113" s="1113" t="s">
        <v>243</v>
      </c>
      <c r="D113" s="1113" t="s">
        <v>244</v>
      </c>
      <c r="E113" s="1112" t="s">
        <v>245</v>
      </c>
      <c r="F113" s="1112" t="s">
        <v>246</v>
      </c>
      <c r="G113" s="1112" t="s">
        <v>247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6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6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 ht="14.4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1505</v>
      </c>
      <c r="C1" s="1013">
        <f>主表!B3</f>
        <v>42077</v>
      </c>
      <c r="D1" s="970" t="str">
        <f>主表!A23</f>
        <v>建设期</v>
      </c>
      <c r="E1" s="1008">
        <f>主表!B23</f>
        <v>0</v>
      </c>
      <c r="F1" s="970" t="s">
        <v>1506</v>
      </c>
      <c r="G1" s="971">
        <f ca="1">INDIRECT("d"&amp;$K$1)/100</f>
        <v>0</v>
      </c>
      <c r="H1" s="970" t="s">
        <v>1507</v>
      </c>
      <c r="I1" s="971">
        <f>SUMIF(F4:F8,E1,G4:G8)/100</f>
        <v>0</v>
      </c>
      <c r="J1" s="1138">
        <f>IF(C1&gt;C14,0,MATCH(C1,C$14:C$68,-1))+IF(SUMIF(C14:C68,C1,D14:D68)=0,14,13)</f>
        <v>27</v>
      </c>
      <c r="K1" s="1138">
        <f ca="1">MATCH(E1,C4:C8,1)+IF(SUMIF(C4:C8,E1,D4:D8)=0,3,2)</f>
        <v>3</v>
      </c>
      <c r="L1" s="1138">
        <f>IF(C1&gt;M14,0,MATCH(C1,M$14:M$52,-1))+IF(SUMIF(M14:M52,C1,N14:N52)=0,14,13)</f>
        <v>18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主表!B4</f>
        <v>42077</v>
      </c>
      <c r="D2" s="1012" t="str">
        <f>主表!A24</f>
        <v>土地开发期</v>
      </c>
      <c r="E2" s="1008">
        <f>主表!B24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IF(C2&gt;C14,0,MATCH(C2,C$14:C$68,-1))+IF(SUMIF(C14:C68,C2,D14:D68)=0,14,13)</f>
        <v>27</v>
      </c>
      <c r="K2" s="1138">
        <f ca="1">MATCH(E2,C4:C8,1)+IF(SUMIF(C4:C8,E2,D4:D8)=0,3,2)</f>
        <v>3</v>
      </c>
      <c r="L2" s="1138">
        <f>IF(C2&gt;M14,0,MATCH(C2,M$14:M$52,-1))+IF(SUMIF(M14:M52,C2,N14:N52)=0,14,13)</f>
        <v>18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5.7500000000000002E-2</v>
      </c>
      <c r="H3" s="1019" t="s">
        <v>1507</v>
      </c>
      <c r="I3" s="1020">
        <f ca="1">SUMIF(F4:F8,E3,H4:H8)/100</f>
        <v>3.7499999999999999E-2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1508</v>
      </c>
      <c r="C4" s="1005">
        <v>0</v>
      </c>
      <c r="D4" s="1004">
        <f ca="1">INDIRECT("d"&amp;$J$1)</f>
        <v>5.35</v>
      </c>
      <c r="E4" s="1004">
        <f ca="1">INDIRECT("d"&amp;$J$2)</f>
        <v>5.35</v>
      </c>
      <c r="F4" s="1005">
        <v>0.5</v>
      </c>
      <c r="G4" s="1006">
        <f ca="1">INDIRECT("p"&amp;$L$1)</f>
        <v>2.2999999999999998</v>
      </c>
      <c r="H4" s="1006">
        <f ca="1">INDIRECT("p"&amp;$L$2)</f>
        <v>2.2999999999999998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5.35</v>
      </c>
      <c r="E5" s="978">
        <f ca="1">INDIRECT("e"&amp;$J$2)</f>
        <v>5.35</v>
      </c>
      <c r="F5" s="977">
        <v>1</v>
      </c>
      <c r="G5" s="1007">
        <f ca="1">INDIRECT("q"&amp;$L$1)</f>
        <v>2.5</v>
      </c>
      <c r="H5" s="1007">
        <f ca="1">INDIRECT("q"&amp;$L$2)</f>
        <v>2.5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5.75</v>
      </c>
      <c r="E6" s="978">
        <f ca="1">INDIRECT("f"&amp;$J$2)</f>
        <v>5.75</v>
      </c>
      <c r="F6" s="977">
        <v>2</v>
      </c>
      <c r="G6" s="1007">
        <f ca="1">INDIRECT("r"&amp;$L$1)</f>
        <v>3.1</v>
      </c>
      <c r="H6" s="1007">
        <f ca="1">INDIRECT("r"&amp;$L$2)</f>
        <v>3.1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5.75</v>
      </c>
      <c r="E7" s="978">
        <f ca="1">INDIRECT("g"&amp;$J$2)</f>
        <v>5.75</v>
      </c>
      <c r="F7" s="977">
        <v>3</v>
      </c>
      <c r="G7" s="1007">
        <f ca="1">INDIRECT("s"&amp;$L$1)</f>
        <v>3.75</v>
      </c>
      <c r="H7" s="1007">
        <f ca="1">INDIRECT("s"&amp;$L$2)</f>
        <v>3.75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5.9</v>
      </c>
      <c r="E8" s="978">
        <f ca="1">INDIRECT("h"&amp;$J$2)</f>
        <v>5.9</v>
      </c>
      <c r="F8" s="977">
        <v>5</v>
      </c>
      <c r="G8" s="1007">
        <f ca="1">INDIRECT("t"&amp;$L$1)</f>
        <v>4.5</v>
      </c>
      <c r="H8" s="1007">
        <f ca="1">INDIRECT("t"&amp;$L$2)</f>
        <v>4.5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1528</v>
      </c>
      <c r="C14" s="1755">
        <v>44795</v>
      </c>
      <c r="D14" s="1756">
        <v>3.65</v>
      </c>
      <c r="E14" s="1756">
        <f t="shared" ref="E14:E22" si="0">D14</f>
        <v>3.65</v>
      </c>
      <c r="F14" s="1756">
        <f t="shared" ref="F14:F22" si="1">D14</f>
        <v>3.65</v>
      </c>
      <c r="G14" s="1756">
        <f t="shared" ref="G14:G22" si="2">D14</f>
        <v>3.65</v>
      </c>
      <c r="H14" s="1756">
        <v>4.3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7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7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3" t="s">
        <v>1785</v>
      </c>
      <c r="C22" s="1001">
        <v>43697</v>
      </c>
      <c r="D22" s="1754">
        <v>4.25</v>
      </c>
      <c r="E22" s="1754">
        <f t="shared" si="0"/>
        <v>4.25</v>
      </c>
      <c r="F22" s="1754">
        <f t="shared" si="1"/>
        <v>4.25</v>
      </c>
      <c r="G22" s="1754">
        <f t="shared" si="2"/>
        <v>4.25</v>
      </c>
      <c r="H22" s="1754">
        <v>4.8499999999999996</v>
      </c>
      <c r="I22" s="1754"/>
      <c r="J22" s="1754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8"/>
      <c r="C23" s="1759">
        <v>42301</v>
      </c>
      <c r="D23" s="1760">
        <v>4.3499999999999996</v>
      </c>
      <c r="E23" s="1760">
        <v>4.3499999999999996</v>
      </c>
      <c r="F23" s="1760">
        <v>4.75</v>
      </c>
      <c r="G23" s="1760">
        <v>4.75</v>
      </c>
      <c r="H23" s="1760">
        <v>4.9000000000000004</v>
      </c>
      <c r="I23" s="1760"/>
      <c r="J23" s="1760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1529</v>
      </c>
      <c r="J65" s="999" t="s">
        <v>1529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4"/>
    <col min="7" max="7" width="8.88671875" style="1648"/>
    <col min="8" max="8" width="8.88671875" style="1624"/>
    <col min="9" max="12" width="9" style="1624" customWidth="1"/>
    <col min="13" max="13" width="2.21875" style="1624" customWidth="1"/>
    <col min="14" max="14" width="9" style="1648" customWidth="1"/>
    <col min="15" max="17" width="9" style="1624" customWidth="1"/>
    <col min="18" max="18" width="2.33203125" style="1624" customWidth="1"/>
    <col min="19" max="19" width="7.109375" style="1648" customWidth="1"/>
    <col min="20" max="22" width="7.109375" style="1624" customWidth="1"/>
    <col min="23" max="23" width="2.44140625" style="1624" customWidth="1"/>
    <col min="24" max="16384" width="8.88671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8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3" t="s">
        <v>1637</v>
      </c>
      <c r="O2" s="1893"/>
      <c r="P2" s="1893"/>
      <c r="Q2" s="1893"/>
      <c r="S2" s="1893" t="s">
        <v>1638</v>
      </c>
      <c r="T2" s="1893"/>
      <c r="U2" s="1893"/>
      <c r="V2" s="1893"/>
    </row>
    <row r="3" spans="1:32" s="1587" customFormat="1" ht="14.4">
      <c r="B3" s="1589" t="s">
        <v>1694</v>
      </c>
      <c r="C3" s="1589" t="s">
        <v>41</v>
      </c>
      <c r="D3" s="1590" t="s">
        <v>1297</v>
      </c>
      <c r="E3" s="1590" t="s">
        <v>1298</v>
      </c>
      <c r="F3" s="1589" t="s">
        <v>49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49</v>
      </c>
      <c r="N3" s="1592" t="s">
        <v>1694</v>
      </c>
      <c r="O3" s="1592" t="s">
        <v>1699</v>
      </c>
      <c r="P3" s="1590" t="s">
        <v>1298</v>
      </c>
      <c r="Q3" s="1592" t="s">
        <v>49</v>
      </c>
      <c r="S3" s="1592" t="s">
        <v>1694</v>
      </c>
      <c r="T3" s="1592" t="s">
        <v>1699</v>
      </c>
      <c r="U3" s="1590" t="s">
        <v>1298</v>
      </c>
      <c r="V3" s="1592" t="s">
        <v>49</v>
      </c>
    </row>
    <row r="4" spans="1:32" s="1598" customFormat="1" ht="14.4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1.64</v>
      </c>
      <c r="J4" s="1597">
        <f>ROUND(AVERAGE($J5:$J38),2)</f>
        <v>1.03</v>
      </c>
      <c r="K4" s="1597">
        <f>ROUND(AVERAGE($K5:$K38),2)</f>
        <v>1.81</v>
      </c>
      <c r="L4" s="1597">
        <f>ROUND(AVERAGE($L5:$L38),2)</f>
        <v>1.2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4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8" thickBot="1">
      <c r="A6" s="1609" t="s">
        <v>1790</v>
      </c>
      <c r="B6" s="1610">
        <f t="shared" ref="B6" si="0">B7*(1+N6)</f>
        <v>510.07089659554606</v>
      </c>
      <c r="C6" s="1610">
        <f t="shared" ref="C6" si="1">C7*(1+O6)</f>
        <v>352.55593185737411</v>
      </c>
      <c r="D6" s="1610">
        <f t="shared" ref="D6" si="2">C6</f>
        <v>352.55593185737411</v>
      </c>
      <c r="E6" s="1610">
        <f t="shared" ref="E6" si="3">E7*(1+P6)</f>
        <v>737.27992463403655</v>
      </c>
      <c r="F6" s="1610">
        <f t="shared" ref="F6" si="4">F7*(1+Q6)</f>
        <v>335.88319198297864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510.07089659554606</v>
      </c>
      <c r="C7" s="1633">
        <f t="shared" ref="C7" si="10">C8*(1+O7)</f>
        <v>352.55593185737411</v>
      </c>
      <c r="D7" s="1633">
        <f t="shared" ref="D7" si="11">C7</f>
        <v>352.55593185737411</v>
      </c>
      <c r="E7" s="1633">
        <f t="shared" ref="E7" si="12">E8*(1+P7)</f>
        <v>737.27992463403655</v>
      </c>
      <c r="F7" s="1634">
        <f t="shared" ref="F7" si="13">F8*(1+Q7)</f>
        <v>335.88319198297864</v>
      </c>
      <c r="G7" s="1766">
        <v>2021</v>
      </c>
      <c r="H7" s="1623">
        <v>4</v>
      </c>
      <c r="I7" s="1763">
        <v>1.03</v>
      </c>
      <c r="J7" s="1763">
        <v>0.24</v>
      </c>
      <c r="K7" s="1763">
        <v>1.17</v>
      </c>
      <c r="L7" s="1764">
        <v>0.55000000000000004</v>
      </c>
      <c r="N7" s="1625">
        <f t="shared" ref="N7" si="14">I7/100</f>
        <v>1.03E-2</v>
      </c>
      <c r="O7" s="1626">
        <f t="shared" ref="O7" si="15">J7/100</f>
        <v>2.3999999999999998E-3</v>
      </c>
      <c r="P7" s="1626">
        <f t="shared" ref="P7" si="16">K7/100</f>
        <v>1.1699999999999999E-2</v>
      </c>
      <c r="Q7" s="1626">
        <f t="shared" ref="Q7" si="17">L7/100</f>
        <v>5.5000000000000005E-3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8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8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8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8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8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1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1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1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1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1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276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275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1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265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1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8" thickBot="1">
      <c r="A30" s="1620" t="s">
        <v>274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2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8" thickBot="1">
      <c r="A31" s="1620" t="s">
        <v>273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0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272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1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271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1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270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2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8" thickBot="1">
      <c r="A35" s="1620" t="s">
        <v>269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0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268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1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8" thickBot="1">
      <c r="A37" s="1620" t="s">
        <v>267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1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8" thickBot="1">
      <c r="A38" s="1656" t="s">
        <v>266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2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8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8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0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1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1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8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2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8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0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1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1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8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2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8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0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1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1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8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2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8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0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1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1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2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8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0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1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1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8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2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8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0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1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1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2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8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0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1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1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2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8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0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1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1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2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8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0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1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1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8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2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8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0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1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1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8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2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8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0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1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1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8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2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8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8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8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8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155</v>
      </c>
      <c r="B1" s="12" t="s">
        <v>58</v>
      </c>
      <c r="C1" s="392" t="s">
        <v>969</v>
      </c>
      <c r="D1" s="13" t="s">
        <v>59</v>
      </c>
      <c r="E1" s="13" t="s">
        <v>60</v>
      </c>
      <c r="F1" s="13" t="s">
        <v>61</v>
      </c>
      <c r="G1" s="13" t="s">
        <v>62</v>
      </c>
      <c r="H1" s="13" t="s">
        <v>63</v>
      </c>
      <c r="I1" s="13" t="s">
        <v>64</v>
      </c>
      <c r="J1" s="13" t="s">
        <v>65</v>
      </c>
      <c r="K1" s="13" t="s">
        <v>66</v>
      </c>
      <c r="L1" s="13" t="s">
        <v>67</v>
      </c>
      <c r="M1" s="13" t="s">
        <v>68</v>
      </c>
      <c r="N1" s="13" t="s">
        <v>69</v>
      </c>
      <c r="O1" s="13" t="s">
        <v>70</v>
      </c>
      <c r="P1" s="1" t="s">
        <v>952</v>
      </c>
      <c r="Q1" s="1" t="s">
        <v>1181</v>
      </c>
      <c r="R1" s="239" t="s">
        <v>1182</v>
      </c>
      <c r="S1" s="13" t="s">
        <v>71</v>
      </c>
      <c r="T1" s="14" t="s">
        <v>72</v>
      </c>
      <c r="U1" s="13" t="s">
        <v>73</v>
      </c>
      <c r="V1" s="13" t="s">
        <v>74</v>
      </c>
      <c r="W1" s="239" t="s">
        <v>953</v>
      </c>
      <c r="X1" s="239" t="s">
        <v>1143</v>
      </c>
      <c r="Y1" s="239" t="s">
        <v>1149</v>
      </c>
    </row>
    <row r="2" spans="1:25" ht="15.6">
      <c r="A2" s="645" t="s">
        <v>18</v>
      </c>
      <c r="B2" s="645" t="s">
        <v>1344</v>
      </c>
      <c r="C2" s="393" t="s">
        <v>970</v>
      </c>
      <c r="D2" s="15" t="s">
        <v>35</v>
      </c>
      <c r="E2" s="15" t="s">
        <v>75</v>
      </c>
      <c r="F2" s="15" t="s">
        <v>76</v>
      </c>
      <c r="G2" s="15">
        <v>40</v>
      </c>
      <c r="H2" s="510" t="s">
        <v>1753</v>
      </c>
      <c r="I2" s="15" t="s">
        <v>77</v>
      </c>
      <c r="J2" s="15" t="s">
        <v>78</v>
      </c>
      <c r="K2" s="15" t="s">
        <v>36</v>
      </c>
      <c r="L2" s="15" t="s">
        <v>36</v>
      </c>
      <c r="M2" s="15" t="s">
        <v>36</v>
      </c>
      <c r="N2" s="15" t="s">
        <v>36</v>
      </c>
      <c r="O2" s="15" t="s">
        <v>36</v>
      </c>
      <c r="P2" s="15" t="s">
        <v>36</v>
      </c>
      <c r="Q2" s="15" t="s">
        <v>36</v>
      </c>
      <c r="R2" s="483" t="s">
        <v>1183</v>
      </c>
      <c r="S2" s="15" t="s">
        <v>36</v>
      </c>
      <c r="T2" s="15" t="s">
        <v>37</v>
      </c>
      <c r="U2" s="15" t="s">
        <v>36</v>
      </c>
      <c r="V2" s="15" t="s">
        <v>38</v>
      </c>
      <c r="W2" s="15" t="s">
        <v>36</v>
      </c>
      <c r="X2" s="500" t="s">
        <v>1153</v>
      </c>
      <c r="Y2" s="483" t="s">
        <v>1145</v>
      </c>
    </row>
    <row r="3" spans="1:25" ht="15.6">
      <c r="A3" s="645" t="s">
        <v>174</v>
      </c>
      <c r="B3" s="645" t="s">
        <v>1345</v>
      </c>
      <c r="C3" s="394" t="s">
        <v>971</v>
      </c>
      <c r="D3" s="15" t="s">
        <v>39</v>
      </c>
      <c r="E3" s="15" t="s">
        <v>3</v>
      </c>
      <c r="F3" s="15" t="s">
        <v>40</v>
      </c>
      <c r="G3" s="15">
        <v>50</v>
      </c>
      <c r="H3" s="15" t="s">
        <v>41</v>
      </c>
      <c r="I3" s="15" t="s">
        <v>42</v>
      </c>
      <c r="J3" s="15" t="s">
        <v>43</v>
      </c>
      <c r="K3" s="15" t="s">
        <v>44</v>
      </c>
      <c r="L3" s="15" t="s">
        <v>44</v>
      </c>
      <c r="M3" s="15" t="s">
        <v>44</v>
      </c>
      <c r="N3" s="15" t="s">
        <v>44</v>
      </c>
      <c r="O3" s="15" t="s">
        <v>44</v>
      </c>
      <c r="P3" s="15" t="s">
        <v>44</v>
      </c>
      <c r="Q3" s="15" t="s">
        <v>44</v>
      </c>
      <c r="R3" s="483" t="s">
        <v>1184</v>
      </c>
      <c r="S3" s="15" t="s">
        <v>44</v>
      </c>
      <c r="T3" s="15" t="s">
        <v>45</v>
      </c>
      <c r="U3" s="15" t="s">
        <v>44</v>
      </c>
      <c r="V3" s="15" t="s">
        <v>46</v>
      </c>
      <c r="W3" s="15" t="s">
        <v>44</v>
      </c>
      <c r="X3" s="500" t="s">
        <v>1154</v>
      </c>
      <c r="Y3" s="483" t="s">
        <v>1147</v>
      </c>
    </row>
    <row r="4" spans="1:25" ht="15.6">
      <c r="A4" s="645" t="s">
        <v>175</v>
      </c>
      <c r="B4" s="645" t="s">
        <v>1351</v>
      </c>
      <c r="C4" s="393" t="s">
        <v>972</v>
      </c>
      <c r="D4" s="15" t="s">
        <v>3</v>
      </c>
      <c r="E4" s="15" t="s">
        <v>79</v>
      </c>
      <c r="F4" s="15" t="s">
        <v>80</v>
      </c>
      <c r="G4" s="15">
        <v>70</v>
      </c>
      <c r="H4" s="510" t="s">
        <v>1297</v>
      </c>
      <c r="I4" s="15" t="s">
        <v>81</v>
      </c>
      <c r="K4" s="15" t="s">
        <v>47</v>
      </c>
      <c r="L4" s="15" t="s">
        <v>47</v>
      </c>
      <c r="M4" s="15" t="s">
        <v>47</v>
      </c>
      <c r="N4" s="15" t="s">
        <v>47</v>
      </c>
      <c r="O4" s="15" t="s">
        <v>47</v>
      </c>
      <c r="P4" s="15" t="s">
        <v>47</v>
      </c>
      <c r="Q4" s="15" t="s">
        <v>47</v>
      </c>
      <c r="R4" s="483" t="s">
        <v>1185</v>
      </c>
      <c r="S4" s="15" t="s">
        <v>47</v>
      </c>
      <c r="T4" s="15" t="s">
        <v>48</v>
      </c>
      <c r="U4" s="15" t="s">
        <v>47</v>
      </c>
      <c r="W4" s="15" t="s">
        <v>47</v>
      </c>
      <c r="X4" s="500" t="s">
        <v>1155</v>
      </c>
      <c r="Y4" s="483" t="s">
        <v>1150</v>
      </c>
    </row>
    <row r="5" spans="1:25" ht="15.6">
      <c r="A5" s="645" t="s">
        <v>176</v>
      </c>
      <c r="B5" s="1155" t="s">
        <v>1552</v>
      </c>
      <c r="C5" s="393" t="s">
        <v>973</v>
      </c>
      <c r="F5" s="15" t="s">
        <v>49</v>
      </c>
      <c r="H5" s="15" t="s">
        <v>49</v>
      </c>
      <c r="I5" s="15" t="s">
        <v>50</v>
      </c>
      <c r="K5" s="15" t="s">
        <v>51</v>
      </c>
      <c r="L5" s="15" t="s">
        <v>51</v>
      </c>
      <c r="M5" s="15" t="s">
        <v>51</v>
      </c>
      <c r="N5" s="15" t="s">
        <v>51</v>
      </c>
      <c r="O5" s="15" t="s">
        <v>51</v>
      </c>
      <c r="P5" s="15" t="s">
        <v>51</v>
      </c>
      <c r="Q5" s="15" t="s">
        <v>51</v>
      </c>
      <c r="R5" s="483" t="s">
        <v>1186</v>
      </c>
      <c r="S5" s="15" t="s">
        <v>51</v>
      </c>
      <c r="T5" s="15" t="s">
        <v>52</v>
      </c>
      <c r="U5" s="15" t="s">
        <v>51</v>
      </c>
      <c r="W5" s="15" t="s">
        <v>51</v>
      </c>
      <c r="X5" s="500" t="s">
        <v>1260</v>
      </c>
      <c r="Y5" s="187"/>
    </row>
    <row r="6" spans="1:25" ht="15.6">
      <c r="A6" s="645" t="s">
        <v>177</v>
      </c>
      <c r="B6" s="185" t="s">
        <v>965</v>
      </c>
      <c r="C6" s="395" t="s">
        <v>30</v>
      </c>
      <c r="F6" s="15" t="s">
        <v>53</v>
      </c>
      <c r="H6" s="15"/>
      <c r="I6" s="15" t="s">
        <v>54</v>
      </c>
      <c r="K6" s="15" t="s">
        <v>55</v>
      </c>
      <c r="L6" s="15" t="s">
        <v>55</v>
      </c>
      <c r="M6" s="15" t="s">
        <v>55</v>
      </c>
      <c r="N6" s="15" t="s">
        <v>55</v>
      </c>
      <c r="O6" s="15" t="s">
        <v>55</v>
      </c>
      <c r="P6" s="15" t="s">
        <v>55</v>
      </c>
      <c r="Q6" s="15" t="s">
        <v>55</v>
      </c>
      <c r="R6" s="483" t="s">
        <v>1187</v>
      </c>
      <c r="S6" s="15" t="s">
        <v>55</v>
      </c>
      <c r="T6" s="15"/>
      <c r="U6" s="15" t="s">
        <v>55</v>
      </c>
      <c r="W6" s="15" t="s">
        <v>55</v>
      </c>
      <c r="X6" s="500" t="s">
        <v>1261</v>
      </c>
      <c r="Y6" s="187"/>
    </row>
    <row r="7" spans="1:25" ht="15.6">
      <c r="A7" s="645" t="s">
        <v>178</v>
      </c>
      <c r="B7" s="185" t="s">
        <v>965</v>
      </c>
      <c r="C7" s="393" t="s">
        <v>31</v>
      </c>
      <c r="F7" s="15" t="s">
        <v>56</v>
      </c>
      <c r="H7" s="15"/>
      <c r="I7" s="15" t="s">
        <v>57</v>
      </c>
      <c r="X7" s="500" t="s">
        <v>1262</v>
      </c>
    </row>
    <row r="8" spans="1:25" ht="15.6">
      <c r="A8" s="645" t="s">
        <v>179</v>
      </c>
      <c r="B8" s="185" t="s">
        <v>965</v>
      </c>
      <c r="C8" s="393" t="s">
        <v>974</v>
      </c>
      <c r="F8" s="15" t="s">
        <v>82</v>
      </c>
      <c r="H8" s="15"/>
      <c r="I8" s="15" t="s">
        <v>83</v>
      </c>
      <c r="X8" s="500" t="s">
        <v>1263</v>
      </c>
    </row>
    <row r="9" spans="1:25">
      <c r="A9" s="645" t="s">
        <v>180</v>
      </c>
      <c r="B9" s="185" t="s">
        <v>965</v>
      </c>
      <c r="C9" s="393" t="s">
        <v>975</v>
      </c>
      <c r="F9" s="15" t="s">
        <v>84</v>
      </c>
      <c r="H9" s="15"/>
    </row>
    <row r="10" spans="1:25">
      <c r="A10" s="645" t="s">
        <v>181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182</v>
      </c>
      <c r="B11" s="185" t="s">
        <v>965</v>
      </c>
      <c r="C11" s="393" t="s">
        <v>977</v>
      </c>
    </row>
    <row r="12" spans="1:25">
      <c r="A12" s="645" t="s">
        <v>183</v>
      </c>
      <c r="B12" s="185" t="s">
        <v>965</v>
      </c>
      <c r="C12" s="393" t="s">
        <v>978</v>
      </c>
    </row>
    <row r="13" spans="1:25">
      <c r="A13" s="645" t="s">
        <v>184</v>
      </c>
      <c r="B13" s="185" t="s">
        <v>965</v>
      </c>
      <c r="C13" s="393" t="s">
        <v>979</v>
      </c>
    </row>
    <row r="14" spans="1:25">
      <c r="A14" s="645" t="s">
        <v>185</v>
      </c>
      <c r="B14" s="185" t="s">
        <v>965</v>
      </c>
      <c r="C14" s="396"/>
    </row>
    <row r="15" spans="1:25">
      <c r="A15" s="645" t="s">
        <v>186</v>
      </c>
      <c r="B15" s="185" t="s">
        <v>965</v>
      </c>
      <c r="C15" s="396"/>
    </row>
    <row r="16" spans="1:25">
      <c r="A16" s="645" t="s">
        <v>187</v>
      </c>
      <c r="B16" s="185" t="s">
        <v>965</v>
      </c>
      <c r="C16" s="396"/>
    </row>
    <row r="17" spans="1:3">
      <c r="A17" s="645" t="s">
        <v>188</v>
      </c>
      <c r="B17" s="185" t="s">
        <v>965</v>
      </c>
      <c r="C17" s="396"/>
    </row>
    <row r="18" spans="1:3">
      <c r="A18" s="645" t="s">
        <v>189</v>
      </c>
      <c r="B18" s="185" t="s">
        <v>965</v>
      </c>
      <c r="C18" s="396"/>
    </row>
    <row r="19" spans="1:3">
      <c r="A19" s="645" t="s">
        <v>190</v>
      </c>
      <c r="B19" s="185" t="s">
        <v>965</v>
      </c>
      <c r="C19" s="396"/>
    </row>
    <row r="20" spans="1:3">
      <c r="A20" s="645" t="s">
        <v>191</v>
      </c>
      <c r="B20" s="185" t="s">
        <v>965</v>
      </c>
      <c r="C20" s="396"/>
    </row>
    <row r="21" spans="1:3">
      <c r="A21" s="645" t="s">
        <v>192</v>
      </c>
      <c r="B21" s="185" t="s">
        <v>965</v>
      </c>
      <c r="C21" s="396"/>
    </row>
    <row r="22" spans="1:3">
      <c r="A22" s="645" t="s">
        <v>193</v>
      </c>
      <c r="B22" s="185" t="s">
        <v>965</v>
      </c>
      <c r="C22" s="396"/>
    </row>
    <row r="23" spans="1:3">
      <c r="A23" s="645" t="s">
        <v>194</v>
      </c>
      <c r="B23" s="185" t="s">
        <v>965</v>
      </c>
      <c r="C23" s="396"/>
    </row>
    <row r="24" spans="1:3">
      <c r="A24" s="645" t="s">
        <v>195</v>
      </c>
      <c r="B24" s="185" t="s">
        <v>965</v>
      </c>
      <c r="C24" s="396"/>
    </row>
    <row r="25" spans="1:3">
      <c r="A25" s="645" t="s">
        <v>196</v>
      </c>
      <c r="B25" s="185" t="s">
        <v>965</v>
      </c>
      <c r="C25" s="396"/>
    </row>
    <row r="26" spans="1:3">
      <c r="A26" s="645" t="s">
        <v>197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9" t="s">
        <v>968</v>
      </c>
      <c r="H1" s="249">
        <f>'2014基准地价'!M18</f>
        <v>4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53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263</v>
      </c>
      <c r="B3" s="1407" t="s">
        <v>277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277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277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>
      <c r="A8" s="665" t="s">
        <v>276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>
      <c r="A9" s="665" t="s">
        <v>275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>
      <c r="A10" s="665" t="s">
        <v>265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>
      <c r="A11" s="665" t="s">
        <v>274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273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>
      <c r="A13" s="665" t="s">
        <v>272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>
      <c r="A14" s="665" t="s">
        <v>271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>
      <c r="A15" s="665" t="s">
        <v>270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269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>
      <c r="A17" s="665" t="s">
        <v>268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>
      <c r="A18" s="665" t="s">
        <v>267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>
      <c r="A19" s="665" t="s">
        <v>266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5" customWidth="1"/>
    <col min="3" max="3" width="45.44140625" style="1284" customWidth="1"/>
    <col min="4" max="4" width="2.6640625" style="1284" customWidth="1"/>
    <col min="5" max="5" width="5.88671875" style="1284" customWidth="1"/>
    <col min="6" max="6" width="30.21875" style="1285" customWidth="1"/>
    <col min="7" max="7" width="41.88671875" style="1286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203</v>
      </c>
      <c r="B1" s="496"/>
      <c r="C1" s="496"/>
      <c r="D1" s="1253"/>
      <c r="E1" s="496"/>
      <c r="F1" s="496"/>
      <c r="G1" s="496"/>
    </row>
    <row r="2" spans="1:18" ht="18" thickBot="1">
      <c r="A2" s="1254"/>
      <c r="B2" s="1255"/>
      <c r="C2" s="1256" t="s">
        <v>204</v>
      </c>
      <c r="D2" s="1257"/>
      <c r="E2" s="1258"/>
      <c r="F2" s="1258"/>
      <c r="G2" s="1259" t="s">
        <v>205</v>
      </c>
    </row>
    <row r="3" spans="1:18" ht="69.599999999999994">
      <c r="A3" s="1260" t="s">
        <v>206</v>
      </c>
      <c r="B3" s="1261" t="s">
        <v>4</v>
      </c>
      <c r="C3" s="1262" t="s">
        <v>215</v>
      </c>
      <c r="D3" s="1257"/>
      <c r="E3" s="1263" t="s">
        <v>207</v>
      </c>
      <c r="F3" s="1261" t="s">
        <v>208</v>
      </c>
      <c r="G3" s="1264" t="s">
        <v>1733</v>
      </c>
    </row>
    <row r="4" spans="1:18" ht="52.2">
      <c r="A4" s="1265"/>
      <c r="B4" s="1266" t="s">
        <v>209</v>
      </c>
      <c r="C4" s="1267" t="s">
        <v>216</v>
      </c>
      <c r="D4" s="1257"/>
      <c r="E4" s="1268"/>
      <c r="F4" s="1269" t="s">
        <v>210</v>
      </c>
      <c r="G4" s="1270" t="s">
        <v>217</v>
      </c>
    </row>
    <row r="5" spans="1:18" ht="34.799999999999997">
      <c r="A5" s="1265"/>
      <c r="B5" s="1266" t="s">
        <v>211</v>
      </c>
      <c r="C5" s="1267" t="s">
        <v>218</v>
      </c>
      <c r="D5" s="1271"/>
      <c r="E5" s="1268"/>
      <c r="F5" s="1269" t="s">
        <v>212</v>
      </c>
      <c r="G5" s="1272" t="s">
        <v>951</v>
      </c>
    </row>
    <row r="6" spans="1:18" ht="52.2">
      <c r="A6" s="1265"/>
      <c r="B6" s="1269" t="s">
        <v>7</v>
      </c>
      <c r="C6" s="1270" t="s">
        <v>199</v>
      </c>
      <c r="D6" s="1271"/>
      <c r="E6" s="1268"/>
      <c r="F6" s="1269" t="s">
        <v>200</v>
      </c>
      <c r="G6" s="1273" t="s">
        <v>201</v>
      </c>
    </row>
    <row r="7" spans="1:18" ht="34.799999999999997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4.799999999999997">
      <c r="A8" s="1265"/>
      <c r="B8" s="1269" t="s">
        <v>10</v>
      </c>
      <c r="C8" s="1267" t="s">
        <v>202</v>
      </c>
      <c r="D8" s="1271"/>
      <c r="E8" s="1268"/>
      <c r="F8" s="1274" t="s">
        <v>1189</v>
      </c>
      <c r="G8" s="1270" t="s">
        <v>1191</v>
      </c>
    </row>
    <row r="9" spans="1:18" ht="34.799999999999997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213</v>
      </c>
      <c r="G10" s="1272"/>
    </row>
    <row r="11" spans="1:18" s="442" customFormat="1" ht="18" thickBot="1">
      <c r="A11" s="1265"/>
      <c r="B11" s="1269" t="s">
        <v>9</v>
      </c>
      <c r="C11" s="1276"/>
      <c r="D11" s="444"/>
      <c r="E11" s="1277"/>
      <c r="F11" s="1278" t="s">
        <v>214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3" customWidth="1"/>
    <col min="2" max="9" width="15.77734375" style="1733" customWidth="1"/>
    <col min="10" max="16384" width="9" style="1733"/>
  </cols>
  <sheetData>
    <row r="1" spans="1:10" ht="16.2">
      <c r="A1" s="1729" t="s">
        <v>1701</v>
      </c>
      <c r="B1" s="1730">
        <f>SUM(B14:B23)</f>
        <v>0</v>
      </c>
      <c r="C1" s="1728"/>
      <c r="D1" s="1728"/>
      <c r="E1" s="1728"/>
      <c r="F1" s="1728"/>
      <c r="G1" s="1731"/>
      <c r="H1" s="1732"/>
      <c r="I1" s="1732"/>
    </row>
    <row r="2" spans="1:10" ht="16.2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5.6">
      <c r="A3" s="1730" t="s">
        <v>1703</v>
      </c>
      <c r="B3" s="1734">
        <f>主表!B3</f>
        <v>42077</v>
      </c>
      <c r="C3" s="1728"/>
      <c r="D3" s="1728"/>
      <c r="E3" s="1728"/>
      <c r="F3" s="1728"/>
      <c r="G3" s="1731"/>
      <c r="H3" s="1732"/>
      <c r="I3" s="1732"/>
    </row>
    <row r="4" spans="1:10" ht="31.2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5.6">
      <c r="A5" s="1730" t="s">
        <v>1708</v>
      </c>
      <c r="B5" s="1730">
        <f>SUM(D14:D23)</f>
        <v>0</v>
      </c>
      <c r="C5" s="1730" t="e">
        <f>ROUND(B5*10000/$B$1,0)</f>
        <v>#DIV/0!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5.6">
      <c r="A6" s="1730" t="s">
        <v>1709</v>
      </c>
      <c r="B6" s="1730">
        <f>SUM(G14:G23)</f>
        <v>0</v>
      </c>
      <c r="C6" s="1730" t="e">
        <f>ROUND(B6*10000/$B$1,0)</f>
        <v>#DIV/0!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5.6">
      <c r="A7" s="1730" t="s">
        <v>1710</v>
      </c>
      <c r="B7" s="1730">
        <f>SUM(H14:H23)</f>
        <v>0</v>
      </c>
      <c r="C7" s="1730" t="e">
        <f>ROUND(B7*10000/$B$1,0)</f>
        <v>#DIV/0!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5.6">
      <c r="A8" s="1730" t="s">
        <v>1711</v>
      </c>
      <c r="B8" s="1730">
        <f>SUM(I14:I23)</f>
        <v>0</v>
      </c>
      <c r="C8" s="1730" t="e">
        <f>ROUND(B8*10000/$B$1,0)</f>
        <v>#DIV/0!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5.6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5.6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5.6">
      <c r="A11" s="1729" t="s">
        <v>1732</v>
      </c>
      <c r="B11" s="1729">
        <f ca="1">结果表!B19</f>
        <v>0</v>
      </c>
      <c r="C11" s="1729">
        <f ca="1">结果表!B18</f>
        <v>0</v>
      </c>
      <c r="D11" s="1728"/>
      <c r="E11" s="1728"/>
      <c r="F11" s="1731"/>
      <c r="G11" s="1731"/>
      <c r="H11" s="1732"/>
      <c r="I11" s="1732"/>
    </row>
    <row r="12" spans="1:10" ht="15.6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1.2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5.6">
      <c r="A14" s="1738" t="s">
        <v>1722</v>
      </c>
      <c r="B14" s="1739">
        <f>主表!B7</f>
        <v>0</v>
      </c>
      <c r="C14" s="1739">
        <f>主表!B6</f>
        <v>0</v>
      </c>
      <c r="D14" s="1739"/>
      <c r="E14" s="1739" t="e">
        <f>ROUND(D14*10000/B14,0)</f>
        <v>#DIV/0!</v>
      </c>
      <c r="F14" s="1739" t="e">
        <f>ROUND(D14*10000/C14,0)</f>
        <v>#DIV/0!</v>
      </c>
      <c r="G14" s="1739"/>
      <c r="H14" s="1739"/>
      <c r="I14" s="1739"/>
      <c r="J14" s="1737"/>
    </row>
    <row r="15" spans="1:10" ht="15.6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5.6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5.6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5.6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5.6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5.6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5.6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5.6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5.6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34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8" thickBot="1">
      <c r="A2" s="1770" t="s">
        <v>1352</v>
      </c>
      <c r="B2" s="1770"/>
      <c r="C2" s="1770"/>
      <c r="D2" s="1770"/>
      <c r="E2" s="1770"/>
      <c r="F2" s="1770"/>
      <c r="G2" s="1770"/>
      <c r="H2" s="1743"/>
      <c r="I2" s="1742"/>
      <c r="X2" s="221"/>
      <c r="AG2" s="189"/>
    </row>
    <row r="3" spans="1:33" ht="14.4">
      <c r="A3" s="1771" t="s">
        <v>1353</v>
      </c>
      <c r="B3" s="1772"/>
      <c r="C3" s="1773"/>
      <c r="D3" s="1774" t="s">
        <v>1354</v>
      </c>
      <c r="E3" s="1772"/>
      <c r="F3" s="1772"/>
      <c r="G3" s="1775"/>
      <c r="H3" s="1743"/>
      <c r="I3" s="1742"/>
      <c r="X3" s="221"/>
      <c r="AG3" s="189"/>
    </row>
    <row r="4" spans="1:33" ht="28.8">
      <c r="A4" s="1292" t="s">
        <v>1355</v>
      </c>
      <c r="B4" s="1293" t="s">
        <v>1356</v>
      </c>
      <c r="C4" s="1294" t="s">
        <v>1357</v>
      </c>
      <c r="D4" s="1776" t="s">
        <v>1355</v>
      </c>
      <c r="E4" s="1777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4.4">
      <c r="A5" s="1778" t="s">
        <v>1359</v>
      </c>
      <c r="B5" s="1779">
        <f ca="1">主表!F5</f>
        <v>15825</v>
      </c>
      <c r="C5" s="1780" t="s">
        <v>1360</v>
      </c>
      <c r="D5" s="1777" t="s">
        <v>1361</v>
      </c>
      <c r="E5" s="1781"/>
      <c r="F5" s="1296">
        <f>SUM(F6:F10)</f>
        <v>0</v>
      </c>
      <c r="G5" s="1297" t="s">
        <v>1634</v>
      </c>
      <c r="H5" s="1743"/>
      <c r="I5" s="1742"/>
      <c r="X5" s="221"/>
      <c r="AG5" s="189"/>
    </row>
    <row r="6" spans="1:33" ht="43.2">
      <c r="A6" s="1778"/>
      <c r="B6" s="1779"/>
      <c r="C6" s="1780"/>
      <c r="D6" s="1782" t="s">
        <v>1382</v>
      </c>
      <c r="E6" s="1296" t="s">
        <v>1362</v>
      </c>
      <c r="F6" s="1296">
        <f>主表!F14</f>
        <v>0</v>
      </c>
      <c r="G6" s="1297" t="s">
        <v>1363</v>
      </c>
      <c r="H6" s="1743"/>
      <c r="I6" s="1742"/>
      <c r="X6" s="221"/>
      <c r="AG6" s="189"/>
    </row>
    <row r="7" spans="1:33" ht="14.4">
      <c r="A7" s="1778"/>
      <c r="B7" s="1779"/>
      <c r="C7" s="1780"/>
      <c r="D7" s="1782"/>
      <c r="E7" s="1296" t="s">
        <v>1364</v>
      </c>
      <c r="F7" s="1296">
        <f>主表!F15</f>
        <v>0</v>
      </c>
      <c r="G7" s="1297"/>
      <c r="H7" s="1743"/>
      <c r="I7" s="1742"/>
      <c r="X7" s="221"/>
      <c r="AG7" s="189"/>
    </row>
    <row r="8" spans="1:33" ht="14.4">
      <c r="A8" s="1778"/>
      <c r="B8" s="1779"/>
      <c r="C8" s="1780"/>
      <c r="D8" s="1783" t="s">
        <v>1383</v>
      </c>
      <c r="E8" s="1784"/>
      <c r="F8" s="1296">
        <f>主表!F16</f>
        <v>0</v>
      </c>
      <c r="G8" s="1297" t="str">
        <f>"按建安工程费的"&amp;TEXT(主表!G16,"0.0%")&amp;"计取"</f>
        <v>按建安工程费的0.0%计取</v>
      </c>
      <c r="H8" s="1743"/>
      <c r="I8" s="1742"/>
      <c r="X8" s="221"/>
      <c r="AG8" s="189"/>
    </row>
    <row r="9" spans="1:33" ht="14.4">
      <c r="A9" s="1778"/>
      <c r="B9" s="1779"/>
      <c r="C9" s="1780"/>
      <c r="D9" s="1783" t="s">
        <v>1384</v>
      </c>
      <c r="E9" s="1784"/>
      <c r="F9" s="1296">
        <f>主表!F18</f>
        <v>0</v>
      </c>
      <c r="G9" s="1297" t="str">
        <f>"按建安工程费的"&amp;TEXT(主表!G18,"0.0%")&amp;"计取"</f>
        <v>按建安工程费的0.0%计取</v>
      </c>
      <c r="H9" s="1743"/>
      <c r="I9" s="1742"/>
      <c r="X9" s="221"/>
      <c r="AG9" s="189"/>
    </row>
    <row r="10" spans="1:33" ht="14.4">
      <c r="A10" s="1778"/>
      <c r="B10" s="1779"/>
      <c r="C10" s="1780"/>
      <c r="D10" s="1783" t="s">
        <v>1385</v>
      </c>
      <c r="E10" s="1784"/>
      <c r="F10" s="1296">
        <f>主表!F19</f>
        <v>0</v>
      </c>
      <c r="G10" s="1297" t="str">
        <f>"按建安工程费的"&amp;TEXT(主表!G19,"0.0%")&amp;"计取"</f>
        <v>按建安工程费的0.0%计取</v>
      </c>
      <c r="H10" s="1743"/>
      <c r="I10" s="1742"/>
      <c r="X10" s="221"/>
      <c r="AG10" s="189"/>
    </row>
    <row r="11" spans="1:33" ht="14.4">
      <c r="A11" s="1292" t="s">
        <v>1365</v>
      </c>
      <c r="B11" s="1296">
        <f ca="1">主表!F8</f>
        <v>0</v>
      </c>
      <c r="C11" s="1298" t="str">
        <f>"按前期开发成本的"&amp;TEXT(主表!G8,"0.0%")&amp;"计取"</f>
        <v>按前期开发成本的0.0%计取</v>
      </c>
      <c r="D11" s="1777" t="s">
        <v>1366</v>
      </c>
      <c r="E11" s="1781"/>
      <c r="F11" s="1296">
        <f>主表!F20</f>
        <v>0</v>
      </c>
      <c r="G11" s="1297" t="str">
        <f>"按房屋建设成本的"&amp;主表!G20&amp;"计取"</f>
        <v>按房屋建设成本的计取</v>
      </c>
      <c r="H11" s="1743"/>
      <c r="I11" s="1742"/>
      <c r="X11" s="221"/>
      <c r="AG11" s="189"/>
    </row>
    <row r="12" spans="1:33" ht="43.2">
      <c r="A12" s="1292" t="s">
        <v>1367</v>
      </c>
      <c r="B12" s="1296">
        <f ca="1">主表!F9</f>
        <v>0</v>
      </c>
      <c r="C12" s="1299" t="str">
        <f ca="1">"前期开发期为"&amp;主表!B24&amp;"年，贷款利率为"&amp;TEXT(主表!G9,"0.00%")&amp;"，"&amp;主表!H9</f>
        <v>前期开发期为年，贷款利率为3.00%，计息期为年，复利计息</v>
      </c>
      <c r="D12" s="1777" t="s">
        <v>1368</v>
      </c>
      <c r="E12" s="1781"/>
      <c r="F12" s="1296">
        <f ca="1">主表!F21</f>
        <v>0</v>
      </c>
      <c r="G12" s="1297" t="str">
        <f ca="1">"房屋建设期为"&amp;主表!B23&amp;"年，贷款利率为"&amp;TEXT(主表!G21,"0.00%")&amp;"，"&amp;主表!H21</f>
        <v>房屋建设期为年，贷款利率为0.00%，计息期为年，复利计息</v>
      </c>
      <c r="H12" s="1743"/>
      <c r="I12" s="1742"/>
      <c r="X12" s="221"/>
      <c r="AG12" s="189"/>
    </row>
    <row r="13" spans="1:33" ht="28.8">
      <c r="A13" s="1292" t="s">
        <v>1369</v>
      </c>
      <c r="B13" s="1296">
        <f ca="1">主表!F10</f>
        <v>0</v>
      </c>
      <c r="C13" s="1299" t="str">
        <f>"按前期开发成本及其管理费用的"&amp;TEXT(主表!G10,"0%")&amp;"计取"</f>
        <v>按前期开发成本及其管理费用的0%计取</v>
      </c>
      <c r="D13" s="1777" t="s">
        <v>1369</v>
      </c>
      <c r="E13" s="1781"/>
      <c r="F13" s="1296">
        <f>主表!F22</f>
        <v>0</v>
      </c>
      <c r="G13" s="1297" t="str">
        <f>"按房屋建设成本及其管理费用的"&amp;TEXT(主表!G22,"0%")&amp;"计取"</f>
        <v>按房屋建设成本及其管理费用的0%计取</v>
      </c>
      <c r="H13" s="1743"/>
      <c r="I13" s="1742"/>
      <c r="X13" s="221"/>
      <c r="AG13" s="189"/>
    </row>
    <row r="14" spans="1:33" ht="14.4">
      <c r="A14" s="1292" t="s">
        <v>1370</v>
      </c>
      <c r="B14" s="1296">
        <f ca="1">SUM(B5:B13)</f>
        <v>15825</v>
      </c>
      <c r="C14" s="1299" t="s">
        <v>1371</v>
      </c>
      <c r="D14" s="1777" t="s">
        <v>1370</v>
      </c>
      <c r="E14" s="1781"/>
      <c r="F14" s="1296">
        <f ca="1">F5+F11+F12+F13</f>
        <v>0</v>
      </c>
      <c r="G14" s="1297" t="s">
        <v>1371</v>
      </c>
      <c r="H14" s="1743"/>
      <c r="I14" s="1742"/>
      <c r="X14" s="221"/>
      <c r="AG14" s="189"/>
    </row>
    <row r="15" spans="1:33" ht="29.4" thickBot="1">
      <c r="A15" s="1292" t="s">
        <v>1372</v>
      </c>
      <c r="B15" s="1779">
        <f ca="1">主表!F24</f>
        <v>15825</v>
      </c>
      <c r="C15" s="1785"/>
      <c r="D15" s="1783" t="s">
        <v>1373</v>
      </c>
      <c r="E15" s="1784"/>
      <c r="F15" s="1784"/>
      <c r="G15" s="1786"/>
      <c r="H15" s="1743"/>
      <c r="I15" s="1742"/>
      <c r="X15" s="221"/>
      <c r="AG15" s="189"/>
    </row>
    <row r="16" spans="1:33" ht="29.4" thickBot="1">
      <c r="A16" s="1292" t="s">
        <v>1374</v>
      </c>
      <c r="B16" s="1779">
        <f ca="1">主表!F25</f>
        <v>0</v>
      </c>
      <c r="C16" s="1785"/>
      <c r="D16" s="1783" t="s">
        <v>1375</v>
      </c>
      <c r="E16" s="1784"/>
      <c r="F16" s="1784"/>
      <c r="G16" s="1786"/>
      <c r="H16" s="1301" t="str">
        <f ca="1">NUMBERSTRING(INT(B16*10000),2)&amp;"元整"</f>
        <v>零元整</v>
      </c>
      <c r="I16" s="1302"/>
      <c r="X16" s="221"/>
      <c r="AG16" s="189"/>
    </row>
    <row r="17" spans="1:33" ht="14.4">
      <c r="A17" s="1292" t="s">
        <v>1376</v>
      </c>
      <c r="B17" s="1792">
        <f>主表!F33</f>
        <v>0</v>
      </c>
      <c r="C17" s="1785"/>
      <c r="D17" s="1783" t="s">
        <v>1377</v>
      </c>
      <c r="E17" s="1784"/>
      <c r="F17" s="1784"/>
      <c r="G17" s="1786"/>
      <c r="H17" s="1743"/>
      <c r="I17" s="1742"/>
      <c r="X17" s="221"/>
      <c r="AG17" s="189"/>
    </row>
    <row r="18" spans="1:33" ht="29.4" thickBot="1">
      <c r="A18" s="1292" t="s">
        <v>1378</v>
      </c>
      <c r="B18" s="1779">
        <f ca="1">主表!F35</f>
        <v>0</v>
      </c>
      <c r="C18" s="1785"/>
      <c r="D18" s="1783" t="s">
        <v>1379</v>
      </c>
      <c r="E18" s="1784"/>
      <c r="F18" s="1784"/>
      <c r="G18" s="1786"/>
      <c r="H18" s="1743"/>
      <c r="I18" s="1742"/>
      <c r="X18" s="221"/>
      <c r="AG18" s="189"/>
    </row>
    <row r="19" spans="1:33" ht="29.4" thickBot="1">
      <c r="A19" s="1300" t="s">
        <v>1380</v>
      </c>
      <c r="B19" s="1787">
        <f ca="1">主表!F36</f>
        <v>0</v>
      </c>
      <c r="C19" s="1788"/>
      <c r="D19" s="1789" t="s">
        <v>1381</v>
      </c>
      <c r="E19" s="1790"/>
      <c r="F19" s="1790"/>
      <c r="G19" s="1791"/>
      <c r="H19" s="1301" t="str">
        <f ca="1">NUMBERSTRING(INT(B19*10000),2)&amp;"元整"</f>
        <v>零元整</v>
      </c>
      <c r="I19" s="1302"/>
      <c r="X19" s="221"/>
      <c r="AG19" s="189"/>
    </row>
    <row r="20" spans="1:33" ht="20.399999999999999">
      <c r="A20" s="409" t="s">
        <v>219</v>
      </c>
      <c r="B20" s="410"/>
      <c r="C20" s="411" t="s">
        <v>25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220</v>
      </c>
      <c r="E26" s="229"/>
      <c r="F26" s="229"/>
      <c r="G26" s="1307" t="s">
        <v>221</v>
      </c>
      <c r="H26" s="227"/>
      <c r="I26" s="227"/>
      <c r="W26" s="221"/>
      <c r="X26" s="221"/>
      <c r="AF26" s="189"/>
      <c r="AG26" s="189"/>
    </row>
    <row r="27" spans="1:33">
      <c r="A27" s="1303" t="s">
        <v>222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223</v>
      </c>
      <c r="H29" s="227"/>
      <c r="I29" s="227"/>
      <c r="W29" s="221"/>
      <c r="X29" s="221"/>
      <c r="AF29" s="189"/>
      <c r="AG29" s="189"/>
    </row>
    <row r="30" spans="1:33">
      <c r="A30" s="230" t="s">
        <v>224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223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640625" style="1238" customWidth="1"/>
    <col min="2" max="2" width="15.6640625" style="1162" customWidth="1"/>
    <col min="3" max="3" width="6" style="1162" customWidth="1"/>
    <col min="4" max="4" width="7.77734375" style="1162" customWidth="1"/>
    <col min="5" max="5" width="22.21875" style="1162" customWidth="1"/>
    <col min="6" max="6" width="12.33203125" style="1162" customWidth="1"/>
    <col min="7" max="7" width="9" style="1162"/>
    <col min="8" max="8" width="29" style="1162" customWidth="1"/>
    <col min="9" max="9" width="27.88671875" style="1239" customWidth="1"/>
    <col min="10" max="10" width="14.33203125" style="1239" customWidth="1"/>
    <col min="11" max="12" width="9" style="1162"/>
    <col min="13" max="13" width="2.109375" style="1162" customWidth="1"/>
    <col min="14" max="14" width="18.109375" style="1162" customWidth="1"/>
    <col min="15" max="15" width="10.88671875" style="1162" customWidth="1"/>
    <col min="16" max="16" width="17.2187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42077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60</v>
      </c>
    </row>
    <row r="4" spans="1:18" ht="15.75" customHeight="1">
      <c r="A4" s="1191" t="s">
        <v>1775</v>
      </c>
      <c r="B4" s="1565">
        <f>B3</f>
        <v>42077</v>
      </c>
      <c r="C4" s="1164"/>
      <c r="D4" s="1171" t="s">
        <v>1275</v>
      </c>
      <c r="E4" s="1172" t="s">
        <v>1568</v>
      </c>
      <c r="F4" s="1173">
        <f ca="1">F5+F8+F9+F10</f>
        <v>15825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15825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21100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/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5275</v>
      </c>
      <c r="G7" s="1188"/>
      <c r="H7" s="1345"/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0</v>
      </c>
      <c r="G8" s="646"/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250</v>
      </c>
      <c r="C10" s="1164"/>
      <c r="D10" s="1198">
        <v>4</v>
      </c>
      <c r="E10" s="1199" t="s">
        <v>1228</v>
      </c>
      <c r="F10" s="1200">
        <f ca="1">ROUND((F5+F8)*G10,0)</f>
        <v>0</v>
      </c>
      <c r="G10" s="504"/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1802</v>
      </c>
      <c r="C11" s="1164"/>
      <c r="D11" s="1204" t="s">
        <v>1281</v>
      </c>
      <c r="E11" s="1205" t="s">
        <v>1570</v>
      </c>
      <c r="F11" s="1173">
        <f ca="1">F12+F20+F21+F22</f>
        <v>0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0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70</v>
      </c>
      <c r="C13" s="1164"/>
      <c r="D13" s="1183" t="s">
        <v>1267</v>
      </c>
      <c r="E13" s="1191" t="s">
        <v>1232</v>
      </c>
      <c r="F13" s="1192">
        <f>F14+F15</f>
        <v>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>
        <v>66170</v>
      </c>
      <c r="C14" s="1164"/>
      <c r="D14" s="1190" t="s">
        <v>1270</v>
      </c>
      <c r="E14" s="1191" t="s">
        <v>1233</v>
      </c>
      <c r="F14" s="505"/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66</v>
      </c>
      <c r="C15" s="1164"/>
      <c r="D15" s="1190" t="s">
        <v>1271</v>
      </c>
      <c r="E15" s="1191" t="s">
        <v>1234</v>
      </c>
      <c r="F15" s="505"/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0</v>
      </c>
      <c r="G16" s="503"/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6.2E-2</v>
      </c>
      <c r="C17" s="1164"/>
      <c r="D17" s="1183" t="s">
        <v>1269</v>
      </c>
      <c r="E17" s="1191" t="s">
        <v>1238</v>
      </c>
      <c r="F17" s="1192">
        <f>F18+F19</f>
        <v>0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0.996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/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0</v>
      </c>
      <c r="G19" s="503"/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0</v>
      </c>
      <c r="G20" s="646"/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0</v>
      </c>
      <c r="G21" s="1383">
        <f ca="1">存贷款利率!G1</f>
        <v>0</v>
      </c>
      <c r="H21" s="1195" t="str">
        <f>"计息期为"&amp;B23&amp;"年，"&amp;"复利计息"</f>
        <v>计息期为年，复利计息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/>
      <c r="C22" s="1164"/>
      <c r="D22" s="1198">
        <v>4</v>
      </c>
      <c r="E22" s="1199" t="s">
        <v>1573</v>
      </c>
      <c r="F22" s="1200">
        <f>ROUND((F12+F20)*G22,0)</f>
        <v>0</v>
      </c>
      <c r="G22" s="504"/>
      <c r="H22" s="1201" t="s">
        <v>1230</v>
      </c>
      <c r="I22" s="1252" t="str">
        <f>IF(B12="商业","商业用途35%-50%",IF(B12="工业","工业用途18%-28%",IF(B12="办公/综合","办公用途25%-40%","居住用途30%-50%")))</f>
        <v>居住用途30%-50%</v>
      </c>
      <c r="J22" s="1161"/>
      <c r="K22" s="1212"/>
      <c r="L22" s="1212"/>
    </row>
    <row r="23" spans="1:18" ht="15.75" customHeight="1" thickTop="1">
      <c r="A23" s="1191" t="s">
        <v>1779</v>
      </c>
      <c r="B23" s="1581"/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/>
      <c r="C24" s="1212"/>
      <c r="D24" s="1178">
        <v>1</v>
      </c>
      <c r="E24" s="1179" t="s">
        <v>1244</v>
      </c>
      <c r="F24" s="1021">
        <f ca="1">F4+F11</f>
        <v>15825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0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</v>
      </c>
      <c r="G28" s="506"/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</v>
      </c>
      <c r="G29" s="1228">
        <f>1-G28</f>
        <v>1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/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0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0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abSelected="1" topLeftCell="A4" zoomScale="80" zoomScaleNormal="80" zoomScaleSheetLayoutView="89" workbookViewId="0">
      <selection activeCell="E77" sqref="E77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1467</v>
      </c>
      <c r="B1" s="809"/>
      <c r="C1" s="707" t="s">
        <v>1177</v>
      </c>
      <c r="D1" s="509">
        <f>主表!B7</f>
        <v>0</v>
      </c>
      <c r="E1" s="706" t="s">
        <v>1554</v>
      </c>
      <c r="F1" s="1311" t="s">
        <v>1793</v>
      </c>
      <c r="G1" s="1486"/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0</v>
      </c>
      <c r="C2" s="667" t="s">
        <v>980</v>
      </c>
      <c r="D2" s="714" t="s">
        <v>983</v>
      </c>
      <c r="E2" s="715" t="str">
        <f>主表!B12</f>
        <v>住宅/居住</v>
      </c>
      <c r="F2" s="714" t="s">
        <v>910</v>
      </c>
      <c r="G2" s="716" t="str">
        <f>主表!B10</f>
        <v>四级</v>
      </c>
      <c r="H2" s="811" t="s">
        <v>911</v>
      </c>
      <c r="I2" s="665" t="str">
        <f>主表!B11</f>
        <v>Ⅳ-01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24">
      <c r="A3" s="813" t="s">
        <v>912</v>
      </c>
      <c r="B3" s="32">
        <f ca="1">IF(F1="地上",C29,SUMIF(B33:B39,G1,C33:C39))</f>
        <v>21100</v>
      </c>
      <c r="C3" s="667" t="s">
        <v>913</v>
      </c>
      <c r="D3" s="714" t="s">
        <v>252</v>
      </c>
      <c r="E3" s="718" t="s">
        <v>1794</v>
      </c>
      <c r="F3" s="1459" t="s">
        <v>1795</v>
      </c>
      <c r="G3" s="238">
        <f>IF(F3="容积率",主表!B8,主表!B9)</f>
        <v>2.5</v>
      </c>
      <c r="H3" s="814" t="s">
        <v>253</v>
      </c>
      <c r="I3" s="398">
        <v>1</v>
      </c>
      <c r="J3" s="717" t="s">
        <v>254</v>
      </c>
      <c r="L3" s="812" t="s">
        <v>580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1754</v>
      </c>
      <c r="B4" s="732">
        <f ca="1">IF(F1="地上",C30,SUMIF(B33:B39,G1,G33:G39))</f>
        <v>5275</v>
      </c>
      <c r="C4" s="732"/>
      <c r="D4" s="732"/>
      <c r="E4" s="732"/>
      <c r="F4" s="732"/>
      <c r="G4" s="732"/>
      <c r="H4" s="732"/>
      <c r="I4" s="732"/>
      <c r="J4" s="1546"/>
      <c r="L4" s="812" t="s">
        <v>250</v>
      </c>
      <c r="M4" s="435">
        <f>SUMPRODUCT(('2014区片价'!B49:B75=I2)*('2014区片价'!C3:F3=E2)*('2014区片价'!C49:F75))</f>
        <v>16310</v>
      </c>
      <c r="N4" s="438">
        <f>SUMPRODUCT(('2014因素修正幅度'!B49:B75=I2)*('2014因素修正幅度'!C3:F3=E2)*('2014因素修正幅度'!C49:F75))</f>
        <v>9.7000000000000003E-2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914</v>
      </c>
      <c r="B5" s="816" t="s">
        <v>915</v>
      </c>
      <c r="C5" s="367">
        <f>ROUND(IF(E2="商业",C6*C7+C16,(IF(E2="住宅/居住",C6*C12+C16,C6+C16))),0)</f>
        <v>19572</v>
      </c>
      <c r="D5" s="1540">
        <f>ROUND(C6+C16,0)</f>
        <v>16310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16310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33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04" t="str">
        <f>IF(E2="商业",IF(C8="不临58条商业街","",2),"")</f>
        <v/>
      </c>
      <c r="B7" s="826" t="s">
        <v>916</v>
      </c>
      <c r="C7" s="371" t="e">
        <f>IF(C8="不临58条商业街",1,ROUND(1+(1.6*E8+1.2*E9+0.8*E10+0.4*E11)*C9,4))</f>
        <v>#DIV/0!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05"/>
      <c r="B8" s="814" t="s">
        <v>918</v>
      </c>
      <c r="C8" s="933"/>
      <c r="D8" s="374" t="s">
        <v>255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05"/>
      <c r="B9" s="814" t="s">
        <v>919</v>
      </c>
      <c r="C9" s="377">
        <f>SUMIF('2014修正'!C59:C119,C8,'2014修正'!E59:E119)</f>
        <v>0</v>
      </c>
      <c r="D9" s="26" t="s">
        <v>256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05"/>
      <c r="B10" s="814" t="s">
        <v>920</v>
      </c>
      <c r="C10" s="26">
        <f>SUMIF('2014修正'!C59:C119,C8,'2014修正'!F59:F119)</f>
        <v>0</v>
      </c>
      <c r="D10" s="26" t="s">
        <v>257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05"/>
      <c r="B11" s="833" t="s">
        <v>921</v>
      </c>
      <c r="C11" s="378">
        <f>C10/4</f>
        <v>0</v>
      </c>
      <c r="D11" s="378" t="s">
        <v>258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04">
        <f>IF(E2="住宅/居住",2,"")</f>
        <v>2</v>
      </c>
      <c r="B12" s="836" t="s">
        <v>922</v>
      </c>
      <c r="C12" s="371">
        <f>ROUND(C15*D15*E15*F15*G15*H15*I15*J15,4)</f>
        <v>1.2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06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259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06"/>
      <c r="B14" s="846"/>
      <c r="C14" s="847" t="s">
        <v>25</v>
      </c>
      <c r="D14" s="795" t="s">
        <v>25</v>
      </c>
      <c r="E14" s="795" t="s">
        <v>25</v>
      </c>
      <c r="F14" s="848" t="s">
        <v>260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07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04">
        <f>IF(E2="办公/综合",2,IF(E2="工业",2,IF(E2="住宅/居住",3,IF(E2="商业",IF(C8="不临58条商业街",2,3)))))</f>
        <v>3</v>
      </c>
      <c r="B16" s="826" t="s">
        <v>924</v>
      </c>
      <c r="C16" s="1471">
        <f>ROUND(IF(F17="与级别开发程度一致",0,(G17-E17)/C17),0)</f>
        <v>0</v>
      </c>
      <c r="D16" s="1813" t="s">
        <v>927</v>
      </c>
      <c r="E16" s="1814"/>
      <c r="F16" s="1813" t="s">
        <v>925</v>
      </c>
      <c r="G16" s="1815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6" thickBot="1">
      <c r="A17" s="1808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1796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7" t="s">
        <v>928</v>
      </c>
      <c r="B18" s="1548" t="s">
        <v>929</v>
      </c>
      <c r="C18" s="1549">
        <f>SUMIF('2014修正'!C18:C39,E3,'2014修正'!E18:E39)</f>
        <v>1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4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930</v>
      </c>
      <c r="B19" s="860" t="s">
        <v>931</v>
      </c>
      <c r="C19" s="1463">
        <f>IF(H19&lt;DATE(2014,8,28),0,ROUND(I19/F19,4))</f>
        <v>1.0378000000000001</v>
      </c>
      <c r="D19" s="1466" t="s">
        <v>261</v>
      </c>
      <c r="E19" s="1505">
        <v>41640</v>
      </c>
      <c r="F19" s="1506">
        <f>ROUND(SUMIF(地价!B3:F3,E2,地价!B38:F38),0)</f>
        <v>423</v>
      </c>
      <c r="G19" s="1466" t="s">
        <v>262</v>
      </c>
      <c r="H19" s="1308">
        <f>主表!B4</f>
        <v>42077</v>
      </c>
      <c r="I19" s="1507">
        <f>ROUND(SUMPRODUCT((地价!A5:A38=YEAR(H19)&amp;"-"&amp;ROUNDUP(MONTH(H19)/3,0))*(地价!B3:F3=E2)*(地价!B5:F38)),0)</f>
        <v>439</v>
      </c>
      <c r="J19" s="1508"/>
      <c r="K19" s="765"/>
      <c r="L19" s="780" t="s">
        <v>263</v>
      </c>
      <c r="M19" s="781" t="s">
        <v>264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932</v>
      </c>
      <c r="B20" s="862" t="s">
        <v>933</v>
      </c>
      <c r="C20" s="1464">
        <f ca="1">ROUND(POWER(1+G20,J20-I20)*(POWER(1+G20,I20)-1)/(POWER(1+G20,J20)-1),4)</f>
        <v>0.99590000000000001</v>
      </c>
      <c r="D20" s="1467" t="s">
        <v>934</v>
      </c>
      <c r="E20" s="1468">
        <f ca="1">INDIRECT("'存贷款利率'!e"&amp;存贷款利率!$K$4)/100</f>
        <v>5.3499999999999999E-2</v>
      </c>
      <c r="F20" s="1465" t="s">
        <v>935</v>
      </c>
      <c r="G20" s="1469">
        <f ca="1">SUMIF(P18:S18,E2,P20:S20)</f>
        <v>6.2E-2</v>
      </c>
      <c r="H20" s="1470" t="s">
        <v>1633</v>
      </c>
      <c r="I20" s="1022">
        <f>IF(H20="剩余土地使用年限",主表!B15,主表!B16)</f>
        <v>66</v>
      </c>
      <c r="J20" s="387">
        <f>IF(E2="住宅/居住",70,IF(E2="商业",40,50))</f>
        <v>70</v>
      </c>
      <c r="K20" s="765"/>
      <c r="L20" s="784" t="s">
        <v>277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6.7000000000000004E-2</v>
      </c>
      <c r="Q20" s="608">
        <f ca="1">ROUND($E$20*(1+Q19),3)</f>
        <v>6.4000000000000001E-2</v>
      </c>
      <c r="R20" s="608">
        <f ca="1">ROUND($E$20*(1+R19),3)</f>
        <v>6.2E-2</v>
      </c>
      <c r="S20" s="935">
        <f ca="1">ROUND($E$20*(1+S19),3)</f>
        <v>5.8999999999999997E-2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936</v>
      </c>
      <c r="B21" s="864" t="s">
        <v>278</v>
      </c>
      <c r="C21" s="388">
        <f>IF(B21="容积率修正",IF(G3&lt;=10,D22,J22),C23)</f>
        <v>1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939</v>
      </c>
      <c r="B24" s="876" t="s">
        <v>940</v>
      </c>
      <c r="C24" s="390">
        <f>SUMIF(A46:A88,E2,B46:B88)</f>
        <v>1.0430999999999999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963</v>
      </c>
      <c r="C26" s="27">
        <f ca="1">E29+SUM(E33:E39)</f>
        <v>0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964</v>
      </c>
      <c r="C27" s="382">
        <f ca="1">E30+SUM(I33:I39)</f>
        <v>0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958</v>
      </c>
      <c r="C29" s="27">
        <f ca="1">ROUND(C5*C18*C19*C20*C21*C24,0)</f>
        <v>21100</v>
      </c>
      <c r="D29" s="607"/>
      <c r="E29" s="397">
        <f ca="1">ROUND(C29*D29,0)</f>
        <v>0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959</v>
      </c>
      <c r="C30" s="29">
        <f ca="1">ROUND(IF(E2="工业",C29*M39,C29*M38),0)</f>
        <v>5275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0" t="s">
        <v>1738</v>
      </c>
      <c r="B33" s="912" t="s">
        <v>281</v>
      </c>
      <c r="C33" s="27">
        <f ca="1">ROUND(D5*C19*C20*C24*F33,0)</f>
        <v>12309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3077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1"/>
      <c r="B34" s="325" t="s">
        <v>282</v>
      </c>
      <c r="C34" s="27">
        <f ca="1">ROUND(D5*C19*C20*C24*F34,0)</f>
        <v>7033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1758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1"/>
      <c r="B35" s="325" t="s">
        <v>283</v>
      </c>
      <c r="C35" s="27">
        <f ca="1">ROUND(D5*C19*C20*C24*F35,0)</f>
        <v>4923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1231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2"/>
      <c r="B36" s="325" t="s">
        <v>284</v>
      </c>
      <c r="C36" s="27">
        <f ca="1">ROUND(D5*C19*C20*C24*F36,0)</f>
        <v>4396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1099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285</v>
      </c>
      <c r="C37" s="26">
        <f ca="1">ROUND(D5*C19*C20*C24*F37,0)</f>
        <v>4396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1099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6.2E-2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 hidden="1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 hidden="1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 hidden="1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 hidden="1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 hidden="1">
      <c r="A50" s="247" t="s">
        <v>896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 hidden="1">
      <c r="A51" s="247" t="s">
        <v>897</v>
      </c>
      <c r="B51" s="1536" t="s">
        <v>1735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 hidden="1">
      <c r="A52" s="247" t="s">
        <v>898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 hidden="1">
      <c r="A53" s="247" t="s">
        <v>899</v>
      </c>
      <c r="B53" s="1537" t="s">
        <v>1736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 hidden="1">
      <c r="A54" s="256" t="s">
        <v>900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 hidden="1">
      <c r="A55" s="256" t="s">
        <v>901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hidden="1" thickBot="1">
      <c r="A56" s="258" t="s">
        <v>902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 hidden="1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 hidden="1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 hidden="1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 hidden="1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 hidden="1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 hidden="1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 hidden="1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 hidden="1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 hidden="1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 hidden="1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hidden="1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1302</v>
      </c>
      <c r="B68" s="487">
        <f>1+E70</f>
        <v>1.0430999999999999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 t="s">
        <v>1797</v>
      </c>
      <c r="D70" s="490">
        <f t="shared" ref="D70:D78" si="14">SUMIF($J$69:$N$69,C70,J70:N70)</f>
        <v>6.8600000000000006E-3</v>
      </c>
      <c r="E70" s="253">
        <f>ROUND(SUM(D70:D78),4)</f>
        <v>4.3099999999999999E-2</v>
      </c>
      <c r="F70" s="937">
        <f>IF(E2="住宅/居住",SUMIF(L1:L12,G2,N1:N12),"——")</f>
        <v>9.7000000000000003E-2</v>
      </c>
      <c r="G70" s="491">
        <v>6.8600000000000006E-3</v>
      </c>
      <c r="H70" s="494">
        <f t="shared" ref="H70:H78" si="15">IFERROR($F$70*I70/2,"——")</f>
        <v>6.7900000000000009E-3</v>
      </c>
      <c r="I70" s="252">
        <v>0.14000000000000001</v>
      </c>
      <c r="J70" s="492">
        <f t="shared" ref="J70:J78" si="16">K70+$G70</f>
        <v>1.3720000000000001E-2</v>
      </c>
      <c r="K70" s="492">
        <f t="shared" ref="K70:K78" si="17">$L70+$G70</f>
        <v>6.8600000000000006E-3</v>
      </c>
      <c r="L70" s="492">
        <v>0</v>
      </c>
      <c r="M70" s="492">
        <f t="shared" ref="M70:N78" si="18">L70-$G70</f>
        <v>-6.8600000000000006E-3</v>
      </c>
      <c r="N70" s="492">
        <f t="shared" si="18"/>
        <v>-1.3720000000000001E-2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 t="s">
        <v>1797</v>
      </c>
      <c r="D71" s="490">
        <f t="shared" si="14"/>
        <v>1.47E-2</v>
      </c>
      <c r="E71" s="263"/>
      <c r="F71" s="938"/>
      <c r="G71" s="491">
        <v>1.47E-2</v>
      </c>
      <c r="H71" s="494">
        <f t="shared" si="15"/>
        <v>1.455E-2</v>
      </c>
      <c r="I71" s="252">
        <v>0.3</v>
      </c>
      <c r="J71" s="492">
        <f t="shared" si="16"/>
        <v>2.9399999999999999E-2</v>
      </c>
      <c r="K71" s="492">
        <f t="shared" si="17"/>
        <v>1.47E-2</v>
      </c>
      <c r="L71" s="492">
        <v>0</v>
      </c>
      <c r="M71" s="492">
        <f t="shared" si="18"/>
        <v>-1.47E-2</v>
      </c>
      <c r="N71" s="492">
        <f t="shared" si="18"/>
        <v>-2.9399999999999999E-2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 t="s">
        <v>15</v>
      </c>
      <c r="D72" s="490">
        <f t="shared" si="14"/>
        <v>0</v>
      </c>
      <c r="E72" s="263"/>
      <c r="F72" s="938"/>
      <c r="G72" s="491">
        <v>3.9199999999999999E-3</v>
      </c>
      <c r="H72" s="494">
        <f t="shared" si="15"/>
        <v>3.8800000000000002E-3</v>
      </c>
      <c r="I72" s="252">
        <v>0.08</v>
      </c>
      <c r="J72" s="492">
        <f t="shared" si="16"/>
        <v>7.8399999999999997E-3</v>
      </c>
      <c r="K72" s="492">
        <f t="shared" si="17"/>
        <v>3.9199999999999999E-3</v>
      </c>
      <c r="L72" s="492">
        <v>0</v>
      </c>
      <c r="M72" s="492">
        <f t="shared" si="18"/>
        <v>-3.9199999999999999E-3</v>
      </c>
      <c r="N72" s="492">
        <f t="shared" si="18"/>
        <v>-7.8399999999999997E-3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905</v>
      </c>
      <c r="B73" s="254">
        <f>估价对象房地状况!C12</f>
        <v>0</v>
      </c>
      <c r="C73" s="795" t="s">
        <v>1797</v>
      </c>
      <c r="D73" s="490">
        <f t="shared" si="14"/>
        <v>1.9599999999999999E-3</v>
      </c>
      <c r="E73" s="263"/>
      <c r="F73" s="938"/>
      <c r="G73" s="491">
        <v>1.9599999999999999E-3</v>
      </c>
      <c r="H73" s="494">
        <f t="shared" si="15"/>
        <v>1.9400000000000001E-3</v>
      </c>
      <c r="I73" s="252">
        <v>0.04</v>
      </c>
      <c r="J73" s="492">
        <f t="shared" si="16"/>
        <v>3.9199999999999999E-3</v>
      </c>
      <c r="K73" s="492">
        <f t="shared" si="17"/>
        <v>1.9599999999999999E-3</v>
      </c>
      <c r="L73" s="492">
        <v>0</v>
      </c>
      <c r="M73" s="492">
        <f t="shared" si="18"/>
        <v>-1.9599999999999999E-3</v>
      </c>
      <c r="N73" s="492">
        <f t="shared" si="18"/>
        <v>-3.9199999999999999E-3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 t="s">
        <v>1797</v>
      </c>
      <c r="D74" s="490">
        <f t="shared" si="14"/>
        <v>3.9199999999999999E-3</v>
      </c>
      <c r="E74" s="263"/>
      <c r="F74" s="938"/>
      <c r="G74" s="491">
        <v>3.9199999999999999E-3</v>
      </c>
      <c r="H74" s="494">
        <f t="shared" si="15"/>
        <v>3.8800000000000002E-3</v>
      </c>
      <c r="I74" s="252">
        <v>0.08</v>
      </c>
      <c r="J74" s="492">
        <f t="shared" si="16"/>
        <v>7.8399999999999997E-3</v>
      </c>
      <c r="K74" s="492">
        <f t="shared" si="17"/>
        <v>3.9199999999999999E-3</v>
      </c>
      <c r="L74" s="492">
        <v>0</v>
      </c>
      <c r="M74" s="492">
        <f t="shared" si="18"/>
        <v>-3.9199999999999999E-3</v>
      </c>
      <c r="N74" s="492">
        <f t="shared" si="18"/>
        <v>-7.8399999999999997E-3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 t="s">
        <v>1797</v>
      </c>
      <c r="D75" s="490">
        <f t="shared" si="14"/>
        <v>5.8799999999999998E-3</v>
      </c>
      <c r="E75" s="263"/>
      <c r="F75" s="938"/>
      <c r="G75" s="491">
        <v>5.8799999999999998E-3</v>
      </c>
      <c r="H75" s="494">
        <f t="shared" si="15"/>
        <v>5.8199999999999997E-3</v>
      </c>
      <c r="I75" s="252">
        <v>0.12</v>
      </c>
      <c r="J75" s="492">
        <f t="shared" si="16"/>
        <v>1.176E-2</v>
      </c>
      <c r="K75" s="492">
        <f t="shared" si="17"/>
        <v>5.8799999999999998E-3</v>
      </c>
      <c r="L75" s="492">
        <v>0</v>
      </c>
      <c r="M75" s="492">
        <f t="shared" si="18"/>
        <v>-5.8799999999999998E-3</v>
      </c>
      <c r="N75" s="492">
        <f t="shared" si="18"/>
        <v>-1.176E-2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899</v>
      </c>
      <c r="B76" s="1537" t="s">
        <v>1736</v>
      </c>
      <c r="C76" s="795" t="s">
        <v>1797</v>
      </c>
      <c r="D76" s="490">
        <f t="shared" si="14"/>
        <v>2.4500000000000004E-3</v>
      </c>
      <c r="E76" s="263"/>
      <c r="F76" s="938"/>
      <c r="G76" s="491">
        <v>2.4500000000000004E-3</v>
      </c>
      <c r="H76" s="494">
        <f t="shared" si="15"/>
        <v>2.4250000000000001E-3</v>
      </c>
      <c r="I76" s="252">
        <v>0.05</v>
      </c>
      <c r="J76" s="492">
        <f t="shared" si="16"/>
        <v>4.9000000000000007E-3</v>
      </c>
      <c r="K76" s="492">
        <f t="shared" si="17"/>
        <v>2.4500000000000004E-3</v>
      </c>
      <c r="L76" s="492">
        <v>0</v>
      </c>
      <c r="M76" s="492">
        <f t="shared" si="18"/>
        <v>-2.4500000000000004E-3</v>
      </c>
      <c r="N76" s="492">
        <f t="shared" si="18"/>
        <v>-4.9000000000000007E-3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 t="s">
        <v>1797</v>
      </c>
      <c r="D77" s="490">
        <f t="shared" si="14"/>
        <v>7.3499999999999998E-3</v>
      </c>
      <c r="E77" s="263"/>
      <c r="F77" s="938"/>
      <c r="G77" s="491">
        <v>7.3499999999999998E-3</v>
      </c>
      <c r="H77" s="494">
        <f t="shared" si="15"/>
        <v>7.2750000000000002E-3</v>
      </c>
      <c r="I77" s="252">
        <v>0.15</v>
      </c>
      <c r="J77" s="492">
        <f t="shared" si="16"/>
        <v>1.47E-2</v>
      </c>
      <c r="K77" s="492">
        <f t="shared" si="17"/>
        <v>7.3499999999999998E-3</v>
      </c>
      <c r="L77" s="492">
        <v>0</v>
      </c>
      <c r="M77" s="492">
        <f t="shared" si="18"/>
        <v>-7.3499999999999998E-3</v>
      </c>
      <c r="N77" s="492">
        <f t="shared" si="18"/>
        <v>-1.47E-2</v>
      </c>
      <c r="Z77" s="709"/>
      <c r="AA77" s="710"/>
      <c r="AG77" s="711"/>
      <c r="AK77" s="710"/>
    </row>
    <row r="78" spans="1:37" ht="36.6" thickBot="1">
      <c r="A78" s="258" t="s">
        <v>906</v>
      </c>
      <c r="B78" s="489"/>
      <c r="C78" s="795" t="s">
        <v>15</v>
      </c>
      <c r="D78" s="490">
        <f t="shared" si="14"/>
        <v>0</v>
      </c>
      <c r="E78" s="264"/>
      <c r="F78" s="938"/>
      <c r="G78" s="491">
        <v>1.9599999999999999E-3</v>
      </c>
      <c r="H78" s="494">
        <f t="shared" si="15"/>
        <v>1.9400000000000001E-3</v>
      </c>
      <c r="I78" s="260">
        <v>0.04</v>
      </c>
      <c r="J78" s="492">
        <f t="shared" si="16"/>
        <v>3.9199999999999999E-3</v>
      </c>
      <c r="K78" s="492">
        <f t="shared" si="17"/>
        <v>1.9599999999999999E-3</v>
      </c>
      <c r="L78" s="492">
        <v>0</v>
      </c>
      <c r="M78" s="492">
        <f t="shared" si="18"/>
        <v>-1.9599999999999999E-3</v>
      </c>
      <c r="N78" s="492">
        <f t="shared" si="18"/>
        <v>-3.9199999999999999E-3</v>
      </c>
      <c r="Z78" s="709"/>
      <c r="AA78" s="710"/>
      <c r="AG78" s="711"/>
      <c r="AK78" s="710"/>
    </row>
    <row r="79" spans="1:37" ht="14.4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9" t="s">
        <v>1158</v>
      </c>
      <c r="B91" s="1809"/>
      <c r="C91" s="1809"/>
      <c r="D91" s="1809"/>
      <c r="E91" s="1809"/>
      <c r="F91" s="1809"/>
      <c r="G91" s="1809"/>
      <c r="H91" s="1809"/>
      <c r="I91" s="1809"/>
      <c r="J91" s="1809"/>
      <c r="K91" s="653"/>
      <c r="L91" s="653"/>
      <c r="M91" s="653"/>
      <c r="N91" s="653"/>
    </row>
    <row r="92" spans="1:37">
      <c r="A92" s="1817" t="s">
        <v>1159</v>
      </c>
      <c r="B92" s="1817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17"/>
      <c r="B93" s="1817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3.2">
      <c r="A94" s="1818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19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19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19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19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19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19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20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18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3.2">
      <c r="A103" s="1819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3.2">
      <c r="A104" s="1819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3.2">
      <c r="A105" s="1819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3.2">
      <c r="A106" s="1819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3.2">
      <c r="A107" s="1819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3.2">
      <c r="A108" s="1819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3.2">
      <c r="A109" s="1819"/>
      <c r="B109" s="1821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20"/>
      <c r="B110" s="1822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16" t="s">
        <v>1174</v>
      </c>
      <c r="B111" s="1816"/>
      <c r="C111" s="1816"/>
      <c r="D111" s="1816"/>
      <c r="E111" s="1816"/>
      <c r="F111" s="1816"/>
      <c r="G111" s="1816"/>
      <c r="H111" s="1816"/>
      <c r="I111" s="1816"/>
      <c r="J111" s="1816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0.8548</v>
      </c>
      <c r="E114" s="716" t="s">
        <v>1159</v>
      </c>
      <c r="F114" s="926" t="str">
        <f>E2</f>
        <v>住宅/居住</v>
      </c>
      <c r="G114" s="716" t="s">
        <v>1176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3.2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3.2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3.2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8" thickBot="1">
      <c r="A119" s="799" t="s">
        <v>225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984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402</v>
      </c>
      <c r="B12" s="285" t="s">
        <v>251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250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250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250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250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250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250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250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250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250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250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250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250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250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250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250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250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250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250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250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250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250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250</v>
      </c>
      <c r="B70" s="271" t="s">
        <v>539</v>
      </c>
      <c r="C70" s="418">
        <v>9.0999999999999998E-2</v>
      </c>
      <c r="D70" s="424"/>
      <c r="E70" s="424"/>
      <c r="F70" s="423"/>
    </row>
    <row r="71" spans="1:6" ht="15" thickBot="1">
      <c r="A71" s="277" t="s">
        <v>250</v>
      </c>
      <c r="B71" s="271" t="s">
        <v>546</v>
      </c>
      <c r="C71" s="418">
        <v>0.1</v>
      </c>
      <c r="D71" s="424"/>
      <c r="E71" s="424"/>
      <c r="F71" s="423"/>
    </row>
    <row r="72" spans="1:6" ht="24.6" thickBot="1">
      <c r="A72" s="277" t="s">
        <v>250</v>
      </c>
      <c r="B72" s="271" t="s">
        <v>996</v>
      </c>
      <c r="C72" s="424"/>
      <c r="D72" s="424"/>
      <c r="E72" s="424"/>
      <c r="F72" s="419">
        <v>0.05</v>
      </c>
    </row>
    <row r="73" spans="1:6" ht="24.6" thickBot="1">
      <c r="A73" s="277" t="s">
        <v>250</v>
      </c>
      <c r="B73" s="271" t="s">
        <v>997</v>
      </c>
      <c r="C73" s="424"/>
      <c r="D73" s="424"/>
      <c r="E73" s="424"/>
      <c r="F73" s="419">
        <v>0.05</v>
      </c>
    </row>
    <row r="74" spans="1:6" ht="24.6" thickBot="1">
      <c r="A74" s="277" t="s">
        <v>250</v>
      </c>
      <c r="B74" s="271" t="s">
        <v>998</v>
      </c>
      <c r="C74" s="424"/>
      <c r="D74" s="424"/>
      <c r="E74" s="424"/>
      <c r="F74" s="419">
        <v>0.05</v>
      </c>
    </row>
    <row r="75" spans="1:6" ht="24.6" thickBot="1">
      <c r="A75" s="294" t="s">
        <v>250</v>
      </c>
      <c r="B75" s="287" t="s">
        <v>999</v>
      </c>
      <c r="C75" s="421"/>
      <c r="D75" s="421"/>
      <c r="E75" s="421"/>
      <c r="F75" s="425">
        <v>0.05</v>
      </c>
    </row>
    <row r="76" spans="1:6" ht="1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6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24.6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24.6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6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6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6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5" thickBot="1">
      <c r="A110" s="277" t="s">
        <v>33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33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33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33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33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33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33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33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33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33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33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33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33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33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33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33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33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33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33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33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33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33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33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33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33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33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33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33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33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33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33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33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33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33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33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33</v>
      </c>
      <c r="B145" s="428" t="s">
        <v>1015</v>
      </c>
      <c r="C145" s="429"/>
      <c r="D145" s="429"/>
      <c r="E145" s="429"/>
      <c r="F145" s="430">
        <v>0.05</v>
      </c>
    </row>
    <row r="146" spans="1:6" ht="24.6" thickBot="1">
      <c r="A146" s="431" t="s">
        <v>33</v>
      </c>
      <c r="B146" s="285" t="s">
        <v>1016</v>
      </c>
      <c r="C146" s="424"/>
      <c r="D146" s="424"/>
      <c r="E146" s="424"/>
      <c r="F146" s="432">
        <v>0.05</v>
      </c>
    </row>
    <row r="147" spans="1:6" ht="24.6" thickBot="1">
      <c r="A147" s="277" t="s">
        <v>33</v>
      </c>
      <c r="B147" s="271" t="s">
        <v>1017</v>
      </c>
      <c r="C147" s="424"/>
      <c r="D147" s="424"/>
      <c r="E147" s="424"/>
      <c r="F147" s="419">
        <v>0.05</v>
      </c>
    </row>
    <row r="148" spans="1:6" ht="24.6" thickBot="1">
      <c r="A148" s="277" t="s">
        <v>33</v>
      </c>
      <c r="B148" s="271" t="s">
        <v>1018</v>
      </c>
      <c r="C148" s="424"/>
      <c r="D148" s="424"/>
      <c r="E148" s="424"/>
      <c r="F148" s="419">
        <v>0.05</v>
      </c>
    </row>
    <row r="149" spans="1:6" ht="24.6" thickBot="1">
      <c r="A149" s="277" t="s">
        <v>33</v>
      </c>
      <c r="B149" s="271" t="s">
        <v>1019</v>
      </c>
      <c r="C149" s="424"/>
      <c r="D149" s="424"/>
      <c r="E149" s="424"/>
      <c r="F149" s="419">
        <v>0.05</v>
      </c>
    </row>
    <row r="150" spans="1:6" ht="24.6" thickBot="1">
      <c r="A150" s="277" t="s">
        <v>33</v>
      </c>
      <c r="B150" s="271" t="s">
        <v>1020</v>
      </c>
      <c r="C150" s="424"/>
      <c r="D150" s="424"/>
      <c r="E150" s="424"/>
      <c r="F150" s="419">
        <v>0.05</v>
      </c>
    </row>
    <row r="151" spans="1:6" ht="24.6" thickBot="1">
      <c r="A151" s="277" t="s">
        <v>33</v>
      </c>
      <c r="B151" s="271" t="s">
        <v>1021</v>
      </c>
      <c r="C151" s="424"/>
      <c r="D151" s="424"/>
      <c r="E151" s="424"/>
      <c r="F151" s="419">
        <v>0.05</v>
      </c>
    </row>
    <row r="152" spans="1:6" ht="24.6" thickBot="1">
      <c r="A152" s="277" t="s">
        <v>33</v>
      </c>
      <c r="B152" s="271" t="s">
        <v>646</v>
      </c>
      <c r="C152" s="424"/>
      <c r="D152" s="424"/>
      <c r="E152" s="424"/>
      <c r="F152" s="419">
        <v>0.05</v>
      </c>
    </row>
    <row r="153" spans="1:6" ht="15" thickBot="1">
      <c r="A153" s="277" t="s">
        <v>33</v>
      </c>
      <c r="B153" s="271" t="s">
        <v>1022</v>
      </c>
      <c r="C153" s="424"/>
      <c r="D153" s="424"/>
      <c r="E153" s="424"/>
      <c r="F153" s="419">
        <v>0.05</v>
      </c>
    </row>
    <row r="154" spans="1:6" ht="15" thickBot="1">
      <c r="A154" s="277" t="s">
        <v>33</v>
      </c>
      <c r="B154" s="271" t="s">
        <v>1023</v>
      </c>
      <c r="C154" s="424"/>
      <c r="D154" s="424"/>
      <c r="E154" s="424"/>
      <c r="F154" s="419">
        <v>0.05</v>
      </c>
    </row>
    <row r="155" spans="1:6" ht="24.6" thickBot="1">
      <c r="A155" s="277" t="s">
        <v>33</v>
      </c>
      <c r="B155" s="271" t="s">
        <v>1024</v>
      </c>
      <c r="C155" s="424"/>
      <c r="D155" s="424"/>
      <c r="E155" s="424"/>
      <c r="F155" s="419">
        <v>0.05</v>
      </c>
    </row>
    <row r="156" spans="1:6" ht="24.6" thickBot="1">
      <c r="A156" s="277" t="s">
        <v>33</v>
      </c>
      <c r="B156" s="271" t="s">
        <v>1025</v>
      </c>
      <c r="C156" s="424"/>
      <c r="D156" s="424"/>
      <c r="E156" s="424"/>
      <c r="F156" s="419">
        <v>0.05</v>
      </c>
    </row>
    <row r="157" spans="1:6" ht="24.6" thickBot="1">
      <c r="A157" s="294" t="s">
        <v>33</v>
      </c>
      <c r="B157" s="287" t="s">
        <v>1026</v>
      </c>
      <c r="C157" s="421"/>
      <c r="D157" s="421"/>
      <c r="E157" s="421"/>
      <c r="F157" s="425">
        <v>0.05</v>
      </c>
    </row>
    <row r="158" spans="1:6" ht="1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24.6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6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6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6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6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6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6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6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6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6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6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6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6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6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6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6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6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6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6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6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6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6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6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6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6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6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6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6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6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6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6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6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6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6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251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16310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251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250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250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250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250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250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250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250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250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250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250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250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250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250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250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250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250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250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250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250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250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250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250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250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250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250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250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250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33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33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33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33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33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33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33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33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33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33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33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33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33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33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33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33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33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33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33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33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33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33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33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33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33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33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33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33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33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33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33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33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33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33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33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33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33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33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33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33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33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33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33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33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33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33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33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33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2026-04-13T03:47:00Z</dcterms:modified>
</cp:coreProperties>
</file>