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2.咨询报告\2026-1-0205北京市朝阳区林萃路1号院1号楼8层2单元802\"/>
    </mc:Choice>
  </mc:AlternateContent>
  <bookViews>
    <workbookView xWindow="0" yWindow="0" windowWidth="24780" windowHeight="13332" tabRatio="787" firstSheet="3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6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Q26" i="67"/>
  <c r="F26" i="67"/>
  <c r="F25" i="67" s="1"/>
  <c r="F24" i="67" s="1"/>
  <c r="E26" i="67"/>
  <c r="U26" i="67" s="1"/>
  <c r="E25" i="67"/>
  <c r="E24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E81" i="67"/>
  <c r="E80" i="67" s="1"/>
  <c r="F80" i="67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E73" i="67"/>
  <c r="E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/>
  <c r="E66" i="67"/>
  <c r="C66" i="67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/>
  <c r="P59" i="67"/>
  <c r="E60" i="67" s="1"/>
  <c r="O59" i="67"/>
  <c r="C60" i="67" s="1"/>
  <c r="N59" i="67"/>
  <c r="B60" i="67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E45" i="67" s="1"/>
  <c r="O44" i="67"/>
  <c r="N44" i="67"/>
  <c r="Q43" i="67"/>
  <c r="F44" i="67" s="1"/>
  <c r="F45" i="67" s="1"/>
  <c r="F46" i="67"/>
  <c r="V46" i="67" s="1"/>
  <c r="P43" i="67"/>
  <c r="E44" i="67" s="1"/>
  <c r="E46" i="67"/>
  <c r="U46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O66" i="67"/>
  <c r="Q66" i="67"/>
  <c r="Y63" i="66"/>
  <c r="Y62" i="66" s="1"/>
  <c r="T62" i="66" s="1"/>
  <c r="B62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K15" i="66" s="1"/>
  <c r="B16" i="66"/>
  <c r="C16" i="66"/>
  <c r="E16" i="66"/>
  <c r="F16" i="66"/>
  <c r="B17" i="66"/>
  <c r="C17" i="66"/>
  <c r="E17" i="66"/>
  <c r="F17" i="66"/>
  <c r="B18" i="66"/>
  <c r="C18" i="66"/>
  <c r="H18" i="66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D33" i="66" s="1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8" i="66" s="1"/>
  <c r="C8" i="66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8" i="66"/>
  <c r="D25" i="66"/>
  <c r="D21" i="66"/>
  <c r="D20" i="66"/>
  <c r="D18" i="66"/>
  <c r="D17" i="66"/>
  <c r="D16" i="66"/>
  <c r="I15" i="66" s="1"/>
  <c r="D15" i="66"/>
  <c r="D14" i="66"/>
  <c r="D13" i="66"/>
  <c r="D12" i="66"/>
  <c r="D11" i="66"/>
  <c r="D10" i="66"/>
  <c r="D9" i="66"/>
  <c r="I9" i="66" s="1"/>
  <c r="H17" i="66"/>
  <c r="H16" i="66"/>
  <c r="H15" i="66"/>
  <c r="H14" i="66"/>
  <c r="K13" i="66"/>
  <c r="H13" i="66"/>
  <c r="H12" i="66"/>
  <c r="H11" i="66"/>
  <c r="H10" i="66"/>
  <c r="H9" i="66"/>
  <c r="H7" i="66"/>
  <c r="H5" i="66"/>
  <c r="D50" i="66"/>
  <c r="D44" i="66"/>
  <c r="D40" i="66"/>
  <c r="D29" i="66"/>
  <c r="J13" i="66"/>
  <c r="J2" i="66"/>
  <c r="N23" i="43" s="1"/>
  <c r="U62" i="66"/>
  <c r="C62" i="66" s="1"/>
  <c r="D62" i="66" s="1"/>
  <c r="T63" i="66"/>
  <c r="B63" i="66" s="1"/>
  <c r="AB62" i="66"/>
  <c r="T60" i="66"/>
  <c r="B60" i="66" s="1"/>
  <c r="V62" i="66"/>
  <c r="E62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I18" i="66"/>
  <c r="Z61" i="66"/>
  <c r="U61" i="66" s="1"/>
  <c r="C61" i="66" s="1"/>
  <c r="U60" i="66"/>
  <c r="C60" i="66" s="1"/>
  <c r="C18" i="64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/>
  <c r="P30" i="62"/>
  <c r="I93" i="62" s="1"/>
  <c r="P31" i="62"/>
  <c r="I94" i="62"/>
  <c r="P25" i="62"/>
  <c r="I88" i="62" s="1"/>
  <c r="N26" i="62"/>
  <c r="H89" i="62"/>
  <c r="N27" i="62"/>
  <c r="H90" i="62" s="1"/>
  <c r="N28" i="62"/>
  <c r="H91" i="62"/>
  <c r="N29" i="62"/>
  <c r="H92" i="62" s="1"/>
  <c r="N30" i="62"/>
  <c r="H93" i="62"/>
  <c r="N31" i="62"/>
  <c r="H94" i="62" s="1"/>
  <c r="N25" i="62"/>
  <c r="H88" i="62"/>
  <c r="L26" i="62"/>
  <c r="G89" i="62" s="1"/>
  <c r="L27" i="62"/>
  <c r="G90" i="62"/>
  <c r="L28" i="62"/>
  <c r="G91" i="62" s="1"/>
  <c r="L29" i="62"/>
  <c r="G92" i="62"/>
  <c r="L30" i="62"/>
  <c r="G93" i="62" s="1"/>
  <c r="L31" i="62"/>
  <c r="G94" i="62"/>
  <c r="L25" i="62"/>
  <c r="G88" i="62" s="1"/>
  <c r="H31" i="62"/>
  <c r="E94" i="62"/>
  <c r="H30" i="62"/>
  <c r="E93" i="62" s="1"/>
  <c r="H29" i="62"/>
  <c r="E92" i="62"/>
  <c r="H28" i="62"/>
  <c r="E91" i="62" s="1"/>
  <c r="H27" i="62"/>
  <c r="E90" i="62"/>
  <c r="H26" i="62"/>
  <c r="E89" i="62" s="1"/>
  <c r="H25" i="62"/>
  <c r="E88" i="62"/>
  <c r="F26" i="62"/>
  <c r="D89" i="62" s="1"/>
  <c r="F27" i="62"/>
  <c r="D90" i="62"/>
  <c r="F28" i="62"/>
  <c r="D91" i="62" s="1"/>
  <c r="F29" i="62"/>
  <c r="D92" i="62"/>
  <c r="F30" i="62"/>
  <c r="D93" i="62" s="1"/>
  <c r="F31" i="62"/>
  <c r="D94" i="62"/>
  <c r="F25" i="62"/>
  <c r="D88" i="62" s="1"/>
  <c r="D31" i="62"/>
  <c r="C94" i="62"/>
  <c r="D30" i="62"/>
  <c r="C93" i="62" s="1"/>
  <c r="D29" i="62"/>
  <c r="C92" i="62"/>
  <c r="D28" i="62"/>
  <c r="C91" i="62" s="1"/>
  <c r="D27" i="62"/>
  <c r="C90" i="62"/>
  <c r="D26" i="62"/>
  <c r="C89" i="62" s="1"/>
  <c r="D25" i="62"/>
  <c r="C88" i="62"/>
  <c r="B26" i="62"/>
  <c r="B89" i="62" s="1"/>
  <c r="B27" i="62"/>
  <c r="B90" i="62"/>
  <c r="B28" i="62"/>
  <c r="B91" i="62" s="1"/>
  <c r="B29" i="62"/>
  <c r="B92" i="62"/>
  <c r="B30" i="62"/>
  <c r="B93" i="62" s="1"/>
  <c r="B31" i="62"/>
  <c r="B94" i="62"/>
  <c r="B25" i="62"/>
  <c r="B88" i="62" s="1"/>
  <c r="T18" i="62"/>
  <c r="K81" i="62"/>
  <c r="T19" i="62"/>
  <c r="K82" i="62" s="1"/>
  <c r="T20" i="62"/>
  <c r="K83" i="62"/>
  <c r="T21" i="62"/>
  <c r="K84" i="62" s="1"/>
  <c r="T22" i="62"/>
  <c r="K85" i="62"/>
  <c r="T23" i="62"/>
  <c r="K86" i="62" s="1"/>
  <c r="T24" i="62"/>
  <c r="K87" i="62"/>
  <c r="T17" i="62"/>
  <c r="K80" i="62" s="1"/>
  <c r="P18" i="62"/>
  <c r="I81" i="62"/>
  <c r="P19" i="62"/>
  <c r="I82" i="62" s="1"/>
  <c r="P20" i="62"/>
  <c r="I83" i="62"/>
  <c r="P21" i="62"/>
  <c r="I84" i="62" s="1"/>
  <c r="P22" i="62"/>
  <c r="I85" i="62"/>
  <c r="P23" i="62"/>
  <c r="I86" i="62" s="1"/>
  <c r="P24" i="62"/>
  <c r="I87" i="62"/>
  <c r="P17" i="62"/>
  <c r="I80" i="62" s="1"/>
  <c r="L24" i="62"/>
  <c r="G87" i="62"/>
  <c r="L23" i="62"/>
  <c r="G86" i="62" s="1"/>
  <c r="L22" i="62"/>
  <c r="G85" i="62"/>
  <c r="L21" i="62"/>
  <c r="G84" i="62" s="1"/>
  <c r="L20" i="62"/>
  <c r="G83" i="62"/>
  <c r="L19" i="62"/>
  <c r="G82" i="62" s="1"/>
  <c r="L18" i="62"/>
  <c r="G81" i="62"/>
  <c r="L17" i="62"/>
  <c r="G80" i="62" s="1"/>
  <c r="J18" i="62"/>
  <c r="F81" i="62" s="1"/>
  <c r="J19" i="62"/>
  <c r="F82" i="62" s="1"/>
  <c r="J20" i="62"/>
  <c r="F83" i="62"/>
  <c r="J21" i="62"/>
  <c r="F84" i="62" s="1"/>
  <c r="J22" i="62"/>
  <c r="F85" i="62"/>
  <c r="J23" i="62"/>
  <c r="F86" i="62" s="1"/>
  <c r="J24" i="62"/>
  <c r="F87" i="62"/>
  <c r="J17" i="62"/>
  <c r="F80" i="62" s="1"/>
  <c r="D24" i="62"/>
  <c r="C87" i="62" s="1"/>
  <c r="D23" i="62"/>
  <c r="C86" i="62" s="1"/>
  <c r="D22" i="62"/>
  <c r="C85" i="62"/>
  <c r="D21" i="62"/>
  <c r="C84" i="62" s="1"/>
  <c r="D20" i="62"/>
  <c r="C83" i="62"/>
  <c r="D19" i="62"/>
  <c r="C82" i="62" s="1"/>
  <c r="D18" i="62"/>
  <c r="C81" i="62"/>
  <c r="D17" i="62"/>
  <c r="C80" i="62" s="1"/>
  <c r="B18" i="62"/>
  <c r="B81" i="62" s="1"/>
  <c r="B19" i="62"/>
  <c r="B82" i="62"/>
  <c r="B20" i="62"/>
  <c r="B83" i="62" s="1"/>
  <c r="B21" i="62"/>
  <c r="B84" i="62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/>
  <c r="N11" i="62"/>
  <c r="H74" i="62" s="1"/>
  <c r="N10" i="62"/>
  <c r="H73" i="62"/>
  <c r="F16" i="62"/>
  <c r="D79" i="62" s="1"/>
  <c r="F15" i="62"/>
  <c r="D78" i="62"/>
  <c r="F14" i="62"/>
  <c r="D77" i="62" s="1"/>
  <c r="F13" i="62"/>
  <c r="D76" i="62"/>
  <c r="F12" i="62"/>
  <c r="D75" i="62" s="1"/>
  <c r="F11" i="62"/>
  <c r="D74" i="62"/>
  <c r="F10" i="62"/>
  <c r="D73" i="62" s="1"/>
  <c r="D11" i="62"/>
  <c r="C74" i="62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F114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19" i="63"/>
  <c r="D43" i="63"/>
  <c r="D42" i="63"/>
  <c r="D62" i="63"/>
  <c r="D70" i="63"/>
  <c r="D72" i="63"/>
  <c r="D74" i="63"/>
  <c r="D75" i="63"/>
  <c r="D73" i="63"/>
  <c r="D71" i="63"/>
  <c r="D53" i="63"/>
  <c r="D51" i="63"/>
  <c r="I2" i="43"/>
  <c r="N6" i="43" s="1"/>
  <c r="D1" i="43"/>
  <c r="G2" i="43"/>
  <c r="O17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G29" i="59"/>
  <c r="F13" i="59"/>
  <c r="F18" i="59"/>
  <c r="F9" i="9"/>
  <c r="B8" i="59"/>
  <c r="G3" i="43" s="1"/>
  <c r="I102" i="43" s="1"/>
  <c r="F16" i="59"/>
  <c r="F8" i="9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9" i="43" s="1"/>
  <c r="K100" i="43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 s="1"/>
  <c r="C100" i="43"/>
  <c r="C109" i="43" s="1"/>
  <c r="H101" i="43"/>
  <c r="B84" i="43"/>
  <c r="B83" i="43"/>
  <c r="B72" i="43"/>
  <c r="B61" i="43"/>
  <c r="B50" i="43"/>
  <c r="M88" i="43"/>
  <c r="N88" i="43" s="1"/>
  <c r="K88" i="43"/>
  <c r="J88" i="43"/>
  <c r="D88" i="43"/>
  <c r="M87" i="43"/>
  <c r="N87" i="43" s="1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0" i="43"/>
  <c r="D76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F83" i="39" s="1"/>
  <c r="G83" i="39" s="1"/>
  <c r="D81" i="39"/>
  <c r="E81" i="39" s="1"/>
  <c r="J19" i="39" s="1"/>
  <c r="AC19" i="39" s="1"/>
  <c r="D79" i="39"/>
  <c r="E79" i="39" s="1"/>
  <c r="D77" i="39"/>
  <c r="E77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F42" i="39"/>
  <c r="AA42" i="39" s="1"/>
  <c r="F41" i="39"/>
  <c r="AA41" i="39" s="1"/>
  <c r="H39" i="39"/>
  <c r="U39" i="39" s="1"/>
  <c r="H34" i="39"/>
  <c r="AB34" i="39" s="1"/>
  <c r="E89" i="39"/>
  <c r="H42" i="39"/>
  <c r="AB42" i="39" s="1"/>
  <c r="J34" i="39"/>
  <c r="AC34" i="39"/>
  <c r="C25" i="39"/>
  <c r="F43" i="39"/>
  <c r="AA43" i="39" s="1"/>
  <c r="H43" i="39"/>
  <c r="U43" i="39" s="1"/>
  <c r="H14" i="39"/>
  <c r="F13" i="39"/>
  <c r="AA13" i="39" s="1"/>
  <c r="J41" i="39"/>
  <c r="W41" i="39" s="1"/>
  <c r="J42" i="39"/>
  <c r="AC42" i="39" s="1"/>
  <c r="H37" i="39"/>
  <c r="AB37" i="39" s="1"/>
  <c r="K17" i="43"/>
  <c r="F34" i="43"/>
  <c r="F39" i="43"/>
  <c r="F37" i="43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J23" i="39"/>
  <c r="AC23" i="39" s="1"/>
  <c r="F23" i="39"/>
  <c r="AA23" i="39" s="1"/>
  <c r="AB36" i="39"/>
  <c r="U36" i="39"/>
  <c r="U34" i="39"/>
  <c r="M101" i="43"/>
  <c r="E101" i="43"/>
  <c r="I101" i="43"/>
  <c r="S42" i="39"/>
  <c r="S38" i="39"/>
  <c r="AA36" i="39"/>
  <c r="AB43" i="39"/>
  <c r="AB39" i="39"/>
  <c r="J40" i="39"/>
  <c r="W40" i="39" s="1"/>
  <c r="H15" i="39"/>
  <c r="F77" i="39"/>
  <c r="G77" i="39" s="1"/>
  <c r="F15" i="39"/>
  <c r="S15" i="39" s="1"/>
  <c r="J15" i="39"/>
  <c r="W15" i="39" s="1"/>
  <c r="F37" i="39"/>
  <c r="S37" i="39" s="1"/>
  <c r="H41" i="39"/>
  <c r="AB41" i="39" s="1"/>
  <c r="U41" i="39"/>
  <c r="U45" i="39"/>
  <c r="J45" i="39"/>
  <c r="H23" i="39"/>
  <c r="U23" i="39"/>
  <c r="F85" i="39"/>
  <c r="G85" i="39" s="1"/>
  <c r="S34" i="39"/>
  <c r="J17" i="39"/>
  <c r="W17" i="39" s="1"/>
  <c r="J21" i="39"/>
  <c r="AC21" i="39" s="1"/>
  <c r="F21" i="39"/>
  <c r="AA21" i="39" s="1"/>
  <c r="H19" i="39"/>
  <c r="W34" i="39"/>
  <c r="S23" i="39"/>
  <c r="U10" i="39"/>
  <c r="S10" i="39"/>
  <c r="W10" i="39"/>
  <c r="AC10" i="39"/>
  <c r="S43" i="39"/>
  <c r="AB23" i="39"/>
  <c r="E48" i="43"/>
  <c r="B46" i="43" s="1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C17" i="43"/>
  <c r="A12" i="43"/>
  <c r="F59" i="43"/>
  <c r="H65" i="43" s="1"/>
  <c r="F17" i="59"/>
  <c r="F12" i="59" s="1"/>
  <c r="G7" i="65"/>
  <c r="H4" i="65"/>
  <c r="G5" i="65"/>
  <c r="H8" i="65"/>
  <c r="H5" i="65"/>
  <c r="H7" i="65"/>
  <c r="G4" i="65"/>
  <c r="H6" i="65"/>
  <c r="G6" i="65"/>
  <c r="J2" i="65" l="1"/>
  <c r="G10" i="63"/>
  <c r="C10" i="63" s="1"/>
  <c r="N7" i="43"/>
  <c r="N4" i="43"/>
  <c r="E22" i="43"/>
  <c r="F74" i="63"/>
  <c r="G74" i="63" s="1"/>
  <c r="E20" i="64"/>
  <c r="E70" i="63"/>
  <c r="B68" i="63" s="1"/>
  <c r="J43" i="63"/>
  <c r="I43" i="63" s="1"/>
  <c r="W13" i="39"/>
  <c r="AC13" i="39"/>
  <c r="AC32" i="39"/>
  <c r="W32" i="39"/>
  <c r="U35" i="39"/>
  <c r="AB35" i="39"/>
  <c r="G16" i="66"/>
  <c r="G6" i="66"/>
  <c r="J7" i="39"/>
  <c r="AC7" i="39" s="1"/>
  <c r="V47" i="39" s="1"/>
  <c r="I47" i="39" s="1"/>
  <c r="H8" i="44"/>
  <c r="N9" i="43"/>
  <c r="M5" i="43"/>
  <c r="AC37" i="39"/>
  <c r="M10" i="43"/>
  <c r="T66" i="67"/>
  <c r="D66" i="67"/>
  <c r="T70" i="67"/>
  <c r="C69" i="67"/>
  <c r="U38" i="39"/>
  <c r="H9" i="44"/>
  <c r="D101" i="43"/>
  <c r="F71" i="63"/>
  <c r="G71" i="63" s="1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I3" i="63"/>
  <c r="H5" i="44"/>
  <c r="N10" i="43"/>
  <c r="N5" i="43"/>
  <c r="M6" i="43"/>
  <c r="AC15" i="39"/>
  <c r="F81" i="39"/>
  <c r="G81" i="39" s="1"/>
  <c r="H21" i="39"/>
  <c r="U37" i="39"/>
  <c r="AC41" i="39"/>
  <c r="S39" i="39"/>
  <c r="S13" i="39"/>
  <c r="M3" i="43"/>
  <c r="H13" i="39"/>
  <c r="J36" i="39"/>
  <c r="D78" i="43"/>
  <c r="U29" i="39"/>
  <c r="J60" i="63"/>
  <c r="I60" i="63" s="1"/>
  <c r="J61" i="63"/>
  <c r="I61" i="63" s="1"/>
  <c r="F64" i="63"/>
  <c r="G64" i="63" s="1"/>
  <c r="D64" i="63" s="1"/>
  <c r="F54" i="63"/>
  <c r="G54" i="63" s="1"/>
  <c r="F28" i="59"/>
  <c r="W64" i="66"/>
  <c r="F64" i="66" s="1"/>
  <c r="W65" i="66"/>
  <c r="F65" i="66" s="1"/>
  <c r="J6" i="66"/>
  <c r="V60" i="66"/>
  <c r="E60" i="66" s="1"/>
  <c r="V61" i="66"/>
  <c r="E61" i="66" s="1"/>
  <c r="D78" i="67"/>
  <c r="E64" i="67"/>
  <c r="C77" i="67"/>
  <c r="C7" i="68"/>
  <c r="B2" i="68"/>
  <c r="D8" i="68" s="1"/>
  <c r="F14" i="68"/>
  <c r="F19" i="39"/>
  <c r="AA19" i="39" s="1"/>
  <c r="F75" i="63"/>
  <c r="G75" i="63" s="1"/>
  <c r="F48" i="63"/>
  <c r="G48" i="63" s="1"/>
  <c r="J52" i="63"/>
  <c r="I52" i="63" s="1"/>
  <c r="H16" i="63"/>
  <c r="N1" i="43"/>
  <c r="N8" i="43"/>
  <c r="S21" i="39"/>
  <c r="U42" i="39"/>
  <c r="M12" i="43"/>
  <c r="AB40" i="39"/>
  <c r="W42" i="39"/>
  <c r="W39" i="39"/>
  <c r="E81" i="43"/>
  <c r="B79" i="43" s="1"/>
  <c r="D74" i="43"/>
  <c r="L101" i="43"/>
  <c r="J73" i="63"/>
  <c r="I73" i="63" s="1"/>
  <c r="J66" i="63"/>
  <c r="I66" i="63" s="1"/>
  <c r="F57" i="63"/>
  <c r="G57" i="63" s="1"/>
  <c r="J63" i="63"/>
  <c r="I63" i="63" s="1"/>
  <c r="D27" i="64"/>
  <c r="D29" i="64"/>
  <c r="I20" i="43"/>
  <c r="V63" i="66"/>
  <c r="E63" i="66" s="1"/>
  <c r="D70" i="67"/>
  <c r="B41" i="67"/>
  <c r="B42" i="67" s="1"/>
  <c r="S42" i="67" s="1"/>
  <c r="D44" i="67"/>
  <c r="C45" i="67"/>
  <c r="D45" i="67" s="1"/>
  <c r="B57" i="67"/>
  <c r="B58" i="67" s="1"/>
  <c r="S58" i="67" s="1"/>
  <c r="E14" i="68"/>
  <c r="B53" i="67"/>
  <c r="B54" i="67" s="1"/>
  <c r="S54" i="67" s="1"/>
  <c r="C33" i="67"/>
  <c r="C57" i="67"/>
  <c r="D7" i="68"/>
  <c r="D72" i="43"/>
  <c r="C12" i="43"/>
  <c r="I106" i="43"/>
  <c r="I107" i="43"/>
  <c r="I103" i="43"/>
  <c r="I110" i="43"/>
  <c r="E102" i="43"/>
  <c r="K1" i="60"/>
  <c r="M1" i="60" s="1"/>
  <c r="C7" i="63" s="1"/>
  <c r="H16" i="44"/>
  <c r="M4" i="43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C15" i="63" s="1"/>
  <c r="J62" i="63"/>
  <c r="I62" i="63" s="1"/>
  <c r="F63" i="63"/>
  <c r="G63" i="63" s="1"/>
  <c r="D63" i="63" s="1"/>
  <c r="J57" i="63"/>
  <c r="I57" i="63" s="1"/>
  <c r="F46" i="63"/>
  <c r="G46" i="63" s="1"/>
  <c r="J76" i="63"/>
  <c r="I76" i="63" s="1"/>
  <c r="F60" i="63"/>
  <c r="G60" i="63" s="1"/>
  <c r="D60" i="63" s="1"/>
  <c r="U18" i="67"/>
  <c r="E17" i="67"/>
  <c r="E16" i="67" s="1"/>
  <c r="E15" i="67" s="1"/>
  <c r="E14" i="67" s="1"/>
  <c r="E108" i="43"/>
  <c r="E103" i="43"/>
  <c r="E106" i="43"/>
  <c r="E110" i="43"/>
  <c r="E105" i="43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5" i="9"/>
  <c r="F32" i="59"/>
  <c r="F29" i="59" s="1"/>
  <c r="F33" i="59" s="1"/>
  <c r="B17" i="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6" i="66"/>
  <c r="I4" i="66"/>
  <c r="I11" i="66"/>
  <c r="I12" i="66"/>
  <c r="I13" i="66"/>
  <c r="I16" i="66"/>
  <c r="I17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0" i="66"/>
  <c r="I14" i="66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C34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D65" i="63" s="1"/>
  <c r="F53" i="63"/>
  <c r="G53" i="63" s="1"/>
  <c r="F51" i="63"/>
  <c r="G51" i="63" s="1"/>
  <c r="F62" i="63"/>
  <c r="G62" i="63" s="1"/>
  <c r="F66" i="63"/>
  <c r="G66" i="63" s="1"/>
  <c r="D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I10" i="66"/>
  <c r="I7" i="66"/>
  <c r="I5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D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U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F20" i="59"/>
  <c r="F11" i="9" s="1"/>
  <c r="D17" i="43"/>
  <c r="L17" i="43"/>
  <c r="N17" i="43"/>
  <c r="E17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AC17" i="39"/>
  <c r="S27" i="39"/>
  <c r="U17" i="39"/>
  <c r="W21" i="39"/>
  <c r="W23" i="39"/>
  <c r="AA40" i="39"/>
  <c r="H27" i="39"/>
  <c r="S29" i="39"/>
  <c r="I3" i="65"/>
  <c r="E6" i="65"/>
  <c r="E7" i="65"/>
  <c r="D7" i="65"/>
  <c r="G8" i="65"/>
  <c r="E4" i="65"/>
  <c r="E5" i="65"/>
  <c r="E8" i="65"/>
  <c r="H55" i="43" l="1"/>
  <c r="C6" i="43"/>
  <c r="H53" i="43"/>
  <c r="H52" i="43"/>
  <c r="P65" i="66"/>
  <c r="U21" i="39"/>
  <c r="AB21" i="39"/>
  <c r="D69" i="67"/>
  <c r="C68" i="67"/>
  <c r="D68" i="67" s="1"/>
  <c r="P64" i="67"/>
  <c r="P63" i="67"/>
  <c r="D41" i="67"/>
  <c r="C42" i="67"/>
  <c r="F19" i="43"/>
  <c r="E70" i="43"/>
  <c r="B68" i="43" s="1"/>
  <c r="C24" i="43" s="1"/>
  <c r="D6" i="68"/>
  <c r="C76" i="67"/>
  <c r="D76" i="67" s="1"/>
  <c r="D77" i="67"/>
  <c r="U13" i="39"/>
  <c r="AB13" i="39"/>
  <c r="V66" i="66"/>
  <c r="E66" i="66" s="1"/>
  <c r="O66" i="66" s="1"/>
  <c r="AA65" i="66"/>
  <c r="D5" i="68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G12" i="63"/>
  <c r="H12" i="63" s="1"/>
  <c r="E13" i="63"/>
  <c r="F13" i="63" s="1"/>
  <c r="D14" i="63"/>
  <c r="F12" i="63"/>
  <c r="G13" i="63"/>
  <c r="B80" i="63"/>
  <c r="H13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E8" i="67"/>
  <c r="D58" i="39"/>
  <c r="E56" i="39"/>
  <c r="S25" i="39"/>
  <c r="AA25" i="39"/>
  <c r="AC25" i="39"/>
  <c r="U25" i="39"/>
  <c r="AB25" i="39"/>
  <c r="AB27" i="39"/>
  <c r="U27" i="39"/>
  <c r="D5" i="65"/>
  <c r="D8" i="65"/>
  <c r="D6" i="65"/>
  <c r="D4" i="65"/>
  <c r="G3" i="65"/>
  <c r="C5" i="43" l="1"/>
  <c r="V64" i="66"/>
  <c r="E64" i="66" s="1"/>
  <c r="V65" i="66"/>
  <c r="E65" i="66" s="1"/>
  <c r="O65" i="66" s="1"/>
  <c r="D42" i="67"/>
  <c r="T42" i="67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E20" i="43"/>
  <c r="G1" i="65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57" i="66"/>
  <c r="O44" i="66"/>
  <c r="O24" i="66"/>
  <c r="O35" i="66"/>
  <c r="O47" i="66"/>
  <c r="O58" i="66"/>
  <c r="O54" i="66"/>
  <c r="O46" i="66"/>
  <c r="O40" i="66"/>
  <c r="O33" i="66"/>
  <c r="O20" i="66"/>
  <c r="O39" i="66"/>
  <c r="O36" i="66"/>
  <c r="O51" i="66"/>
  <c r="O52" i="66"/>
  <c r="O45" i="66"/>
  <c r="O38" i="66"/>
  <c r="O30" i="66"/>
  <c r="O25" i="66"/>
  <c r="O56" i="66"/>
  <c r="O17" i="66"/>
  <c r="O2" i="66" s="1"/>
  <c r="C29" i="63" s="1"/>
  <c r="O50" i="66"/>
  <c r="O29" i="66"/>
  <c r="O26" i="66"/>
  <c r="O48" i="66"/>
  <c r="O63" i="66"/>
  <c r="O43" i="66"/>
  <c r="O22" i="66"/>
  <c r="O21" i="66"/>
  <c r="O32" i="66"/>
  <c r="O53" i="66"/>
  <c r="O64" i="66"/>
  <c r="O27" i="66"/>
  <c r="O23" i="66"/>
  <c r="O31" i="66"/>
  <c r="O18" i="66"/>
  <c r="O37" i="66"/>
  <c r="O55" i="66"/>
  <c r="O62" i="66"/>
  <c r="O42" i="66"/>
  <c r="O59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C22" i="63"/>
  <c r="B5" i="63" s="1"/>
  <c r="E20" i="63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<sst xmlns="http://schemas.openxmlformats.org/spreadsheetml/2006/main" count="3973" uniqueCount="1803">
  <si>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</si>
  <si>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</si>
  <si>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</si>
  <si>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</si>
  <si>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</si>
  <si>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</si>
  <si>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</si>
  <si>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</si>
  <si>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</si>
  <si>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</si>
  <si>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</si>
  <si>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</si>
  <si>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</si>
  <si>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</si>
  <si>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</si>
  <si>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</si>
  <si>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</si>
  <si>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</si>
  <si>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</si>
  <si>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</si>
  <si>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</si>
  <si>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</si>
  <si>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</si>
  <si>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</si>
  <si>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</si>
  <si>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</si>
  <si>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</si>
  <si>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</si>
  <si>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</si>
  <si>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</si>
  <si>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</si>
  <si>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</si>
  <si>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</si>
  <si>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</si>
  <si>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</si>
  <si>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</si>
  <si>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</si>
  <si>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</si>
  <si>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</si>
  <si>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</si>
  <si>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</si>
  <si>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</si>
  <si>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</si>
  <si>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</si>
  <si>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</si>
  <si>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</si>
  <si>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</si>
  <si>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</si>
  <si>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</si>
  <si>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</si>
  <si>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</si>
  <si>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</si>
  <si>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</si>
  <si>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</si>
  <si>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</si>
  <si>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</si>
  <si>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</si>
  <si>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</si>
  <si>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</si>
  <si>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</si>
  <si>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</si>
  <si>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</si>
  <si>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</si>
  <si>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</si>
  <si>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</si>
  <si>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</si>
  <si>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</si>
  <si>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</si>
  <si>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</si>
  <si>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</si>
  <si>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</si>
  <si>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</si>
  <si>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</si>
  <si>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</si>
  <si>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</si>
  <si>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</si>
  <si>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</si>
  <si>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</si>
  <si>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</si>
  <si>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</si>
  <si>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</si>
  <si>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</si>
  <si>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</si>
  <si>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</si>
  <si>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</si>
  <si>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</si>
  <si>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</si>
  <si>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</si>
  <si>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</si>
  <si>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</si>
  <si>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</si>
  <si>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</si>
  <si>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</si>
  <si>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</si>
  <si>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</si>
  <si>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</si>
  <si>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</si>
  <si>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</si>
  <si>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</si>
  <si>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</si>
  <si>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</si>
  <si>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</si>
  <si>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</si>
  <si>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</si>
  <si>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</si>
  <si>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</si>
  <si>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</si>
  <si>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</si>
  <si>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</si>
  <si>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</si>
  <si>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</si>
  <si>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</si>
  <si>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</si>
  <si>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</si>
  <si>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</si>
  <si>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</si>
  <si>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</si>
  <si>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</si>
  <si>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</si>
  <si>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</si>
  <si>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</si>
  <si>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</si>
  <si>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</si>
  <si>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</si>
  <si>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</si>
  <si>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</si>
  <si>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</si>
  <si>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</si>
  <si>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</si>
  <si>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</si>
  <si>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</si>
  <si>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</si>
  <si>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</si>
  <si>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</si>
  <si>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</si>
  <si>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</si>
  <si>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</si>
  <si>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</si>
  <si>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</si>
  <si>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</si>
  <si>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</si>
  <si>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</si>
  <si>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</si>
  <si>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</si>
  <si>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</si>
  <si>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</si>
  <si>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</si>
  <si>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</si>
  <si>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</si>
  <si>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</si>
  <si>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</si>
  <si>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</si>
  <si>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</si>
  <si>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</si>
  <si>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</si>
  <si>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</si>
  <si>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</si>
  <si>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</si>
  <si>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</si>
  <si>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</si>
  <si>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</si>
  <si>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</si>
  <si>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</si>
  <si>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</si>
  <si>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</si>
  <si>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</si>
  <si>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</si>
  <si>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</si>
  <si>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</si>
  <si>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</si>
  <si>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</si>
  <si>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</si>
  <si>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</si>
  <si>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</si>
  <si>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</si>
  <si>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</si>
  <si>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</si>
  <si>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</si>
  <si>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</si>
  <si>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</si>
  <si>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</si>
  <si>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</si>
  <si>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</si>
  <si>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</si>
  <si>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</si>
  <si>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</si>
  <si>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</si>
  <si>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</si>
  <si>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</si>
  <si>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</si>
  <si>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</si>
  <si>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</si>
  <si>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</si>
  <si>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</si>
  <si>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</si>
  <si>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</si>
  <si>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</si>
  <si>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</si>
  <si>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</si>
  <si>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</si>
  <si>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</si>
  <si>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</si>
  <si>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</si>
  <si>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</si>
  <si>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</si>
  <si>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</si>
  <si>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</si>
  <si>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</si>
  <si>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</si>
  <si>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</si>
  <si>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</si>
  <si>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</si>
  <si>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</si>
  <si>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</si>
  <si>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</si>
  <si>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</si>
  <si>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</si>
  <si>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</si>
  <si>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</si>
  <si>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</si>
  <si>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</si>
  <si>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</si>
  <si>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</si>
  <si>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</si>
  <si>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</si>
  <si>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</si>
  <si>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</si>
  <si>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</si>
  <si>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</si>
  <si>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</si>
  <si>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</si>
  <si>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</si>
  <si>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</si>
  <si>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</si>
  <si>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</si>
  <si>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</si>
  <si>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</si>
  <si>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</si>
  <si>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</si>
  <si>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</si>
  <si>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</si>
  <si>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</si>
  <si>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</si>
  <si>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</si>
  <si>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</si>
  <si>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</si>
  <si>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</si>
  <si>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</si>
  <si>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</si>
  <si>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</si>
  <si>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</si>
  <si>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</si>
  <si>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</si>
  <si>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</si>
  <si>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</si>
  <si>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</si>
  <si>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</si>
  <si>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</si>
  <si>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</si>
  <si>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</si>
  <si>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</si>
  <si>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</si>
  <si>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</si>
  <si>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</si>
  <si>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</si>
  <si>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</si>
  <si>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</si>
  <si>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</si>
  <si>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</si>
  <si>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</si>
  <si>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</si>
  <si>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</si>
  <si>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</si>
  <si>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</si>
  <si>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</si>
  <si>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</si>
  <si>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</si>
  <si>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</si>
  <si>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</si>
  <si>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</si>
  <si>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</si>
  <si>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</si>
  <si>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</si>
  <si>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</si>
  <si>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</si>
  <si>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</si>
  <si>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</si>
  <si>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</si>
  <si>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</si>
  <si>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</si>
  <si>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</si>
  <si>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</si>
  <si>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</si>
  <si>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</si>
  <si>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</si>
  <si>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</si>
  <si>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</si>
  <si>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</si>
  <si>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</si>
  <si>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</si>
  <si>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</si>
  <si>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</si>
  <si>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</si>
  <si>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</si>
  <si>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</si>
  <si>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</si>
  <si>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</si>
  <si>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</si>
  <si>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</si>
  <si>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</si>
  <si>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</si>
  <si>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</si>
  <si>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</si>
  <si>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</si>
  <si>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</si>
  <si>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</si>
  <si>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</si>
  <si>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</si>
  <si>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</si>
  <si>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</si>
  <si>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</si>
  <si>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</si>
  <si>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</si>
  <si>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</si>
  <si>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</si>
  <si>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</si>
  <si>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</si>
  <si>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</si>
  <si>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</si>
  <si>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</si>
  <si>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</si>
  <si>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</si>
  <si>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</si>
  <si>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</si>
  <si>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</si>
  <si>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</si>
  <si>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</si>
  <si>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</si>
  <si>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</si>
  <si>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</si>
  <si>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</si>
  <si>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</si>
  <si>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</si>
  <si>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</si>
  <si>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</si>
  <si>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</si>
  <si>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</si>
  <si>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</si>
  <si>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</si>
  <si>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</si>
  <si>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</si>
  <si>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</si>
  <si>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</si>
  <si>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</si>
  <si>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</si>
  <si>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</si>
  <si>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</si>
  <si>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</si>
  <si>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</si>
  <si>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</si>
  <si>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</si>
  <si>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</si>
  <si>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</si>
  <si>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</si>
  <si>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</si>
  <si>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</si>
  <si>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</si>
  <si>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</si>
  <si>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</si>
  <si>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</si>
  <si>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</si>
  <si>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</si>
  <si>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</si>
  <si>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</si>
  <si>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</si>
  <si>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</si>
  <si>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</si>
  <si>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</si>
  <si>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</si>
  <si>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</si>
  <si>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</si>
  <si>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</si>
  <si>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</si>
  <si>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</si>
  <si>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</si>
  <si>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</si>
  <si>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</si>
  <si>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</si>
  <si>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</si>
  <si>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</si>
  <si>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</si>
  <si>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</si>
  <si>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</si>
  <si>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</si>
  <si>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</si>
  <si>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</si>
  <si>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</si>
  <si>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</si>
  <si>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</si>
  <si>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</si>
  <si>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</si>
  <si>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</si>
  <si>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</si>
  <si>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</si>
  <si>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</si>
  <si>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</si>
  <si>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</si>
  <si>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</si>
  <si>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</si>
  <si>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</si>
  <si>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</si>
  <si>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</si>
  <si>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</si>
  <si>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</si>
  <si>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</si>
  <si>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</si>
  <si>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</si>
  <si>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</si>
  <si>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</si>
  <si>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</si>
  <si>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</si>
  <si>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</si>
  <si>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</si>
  <si>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</si>
  <si>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</si>
  <si>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</si>
  <si>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</si>
  <si>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</si>
  <si>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</si>
  <si>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</si>
  <si>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</si>
  <si>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</si>
  <si>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</si>
  <si>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</si>
  <si>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</si>
  <si>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</si>
  <si>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</si>
  <si>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</si>
  <si>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</si>
  <si>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</si>
  <si>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</si>
  <si>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</si>
  <si>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</si>
  <si>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</si>
  <si>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</si>
  <si>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</si>
  <si>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</si>
  <si>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</si>
  <si>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</si>
  <si>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</si>
  <si>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</si>
  <si>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</si>
  <si>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</si>
  <si>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</si>
  <si>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</si>
  <si>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</si>
  <si>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</si>
  <si>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</si>
  <si>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</si>
  <si>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</si>
  <si>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</si>
  <si>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</si>
  <si>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</si>
  <si>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</si>
  <si>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</si>
  <si>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</si>
  <si>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</si>
  <si>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</si>
  <si>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</si>
  <si>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</si>
  <si>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</si>
  <si>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</si>
  <si>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</si>
  <si>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</si>
  <si>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</si>
  <si>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</si>
  <si>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</si>
  <si>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</si>
  <si>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</si>
  <si>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</si>
  <si>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</si>
  <si>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</si>
  <si>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</si>
  <si>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</si>
  <si>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</si>
  <si>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</si>
  <si>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</si>
  <si>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</si>
  <si>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</si>
  <si>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</si>
  <si>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</si>
  <si>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</si>
  <si>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</si>
  <si>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</si>
  <si>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</si>
  <si>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</si>
  <si>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</si>
  <si>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</si>
  <si>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</si>
  <si>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</si>
  <si>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</si>
  <si>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</si>
  <si>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</si>
  <si>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</si>
  <si>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</si>
  <si>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</si>
  <si>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</si>
  <si>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</si>
  <si>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</si>
  <si>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</si>
  <si>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</si>
  <si>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</si>
  <si>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</si>
  <si>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</si>
  <si>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</si>
  <si>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</si>
  <si>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</si>
  <si>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</si>
  <si>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</si>
  <si>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</si>
  <si>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</si>
  <si>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</si>
  <si>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</si>
  <si>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</si>
  <si>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</si>
  <si>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</si>
  <si>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</si>
  <si>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</si>
  <si>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</si>
  <si>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</si>
  <si>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</si>
  <si>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</si>
  <si>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</si>
  <si>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</si>
  <si>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</si>
  <si>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</si>
  <si>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</si>
  <si>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</si>
  <si>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</si>
  <si>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</si>
  <si>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</si>
  <si>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</si>
  <si>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</si>
  <si>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</si>
  <si>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</si>
  <si>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</si>
  <si>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</si>
  <si>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</si>
  <si>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</si>
  <si>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</si>
  <si>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</si>
  <si>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</si>
  <si>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</si>
  <si>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</si>
  <si>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</si>
  <si>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</si>
  <si>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</si>
  <si>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</si>
  <si>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</si>
  <si>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</si>
  <si>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</si>
  <si>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</si>
  <si>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</si>
  <si>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</si>
  <si>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</si>
  <si>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</si>
  <si>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</si>
  <si>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</si>
  <si>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</si>
  <si>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</si>
  <si>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</si>
  <si>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</si>
  <si>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</si>
  <si>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</si>
  <si>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</si>
  <si>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</si>
  <si>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</si>
  <si>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</si>
  <si>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</si>
  <si>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</si>
  <si>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</si>
  <si>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</si>
  <si>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</si>
  <si>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</si>
  <si>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</si>
  <si>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</si>
  <si>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</si>
  <si>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</si>
  <si>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</si>
  <si>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</si>
  <si>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</si>
  <si>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</si>
  <si>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</si>
  <si>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</si>
  <si>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</si>
  <si>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</si>
  <si>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</si>
  <si>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</si>
  <si>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</si>
  <si>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</si>
  <si>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</si>
  <si>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</si>
  <si>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</si>
  <si>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</si>
  <si>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</si>
  <si>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</si>
  <si>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</si>
  <si>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</si>
  <si>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</si>
  <si>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</si>
  <si>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</si>
  <si>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</si>
  <si>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</si>
  <si>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</si>
  <si>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</si>
  <si>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</si>
  <si>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</si>
  <si>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</si>
  <si>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</si>
  <si>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</si>
  <si>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</si>
  <si>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</si>
  <si>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</si>
  <si>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</si>
  <si>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</si>
  <si>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</si>
  <si>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</si>
  <si>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</si>
  <si>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</si>
  <si>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</si>
  <si>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</si>
  <si>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</si>
  <si>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</si>
  <si>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</si>
  <si>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</si>
  <si>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</si>
  <si>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</si>
  <si>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</si>
  <si>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</si>
  <si>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</si>
  <si>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</si>
  <si>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</si>
  <si>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</si>
  <si>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</si>
  <si>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</si>
  <si>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</si>
  <si>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</si>
  <si>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</si>
  <si>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</si>
  <si>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</si>
  <si>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</si>
  <si>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</si>
  <si>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</si>
  <si>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</si>
  <si>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</si>
  <si>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</si>
  <si>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</si>
  <si>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</si>
  <si>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</si>
  <si>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</si>
  <si>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</si>
  <si>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</si>
  <si>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</si>
  <si>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</si>
  <si>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</si>
  <si>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</si>
  <si>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</si>
  <si>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</si>
  <si>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</si>
  <si>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</si>
  <si>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</si>
  <si>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</si>
  <si>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</si>
  <si>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</si>
  <si>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</si>
  <si>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</si>
  <si>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</si>
  <si>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</si>
  <si>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</si>
  <si>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</si>
  <si>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</si>
  <si>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</si>
  <si>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</si>
  <si>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</si>
  <si>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</si>
  <si>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</si>
  <si>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</si>
  <si>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</si>
  <si>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</si>
  <si>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</si>
  <si>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</si>
  <si>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</si>
  <si>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</si>
  <si>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</si>
  <si>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</si>
  <si>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</si>
  <si>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</si>
  <si>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</si>
  <si>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</si>
  <si>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</si>
  <si>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</si>
  <si>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</si>
  <si>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</si>
  <si>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</si>
  <si>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</si>
  <si>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</si>
  <si>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</si>
  <si>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</si>
  <si>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</si>
  <si>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</si>
  <si>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</si>
  <si>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</si>
  <si>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</si>
  <si>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</si>
  <si>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</si>
  <si>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</si>
  <si>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</si>
  <si>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</si>
  <si>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</si>
  <si>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</si>
  <si>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</si>
  <si>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</si>
  <si>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</si>
  <si>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</si>
  <si>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</si>
  <si>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</si>
  <si>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</si>
  <si>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</si>
  <si>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</si>
  <si>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</si>
  <si>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</si>
  <si>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</si>
  <si>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</si>
  <si>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</si>
  <si>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</si>
  <si>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</si>
  <si>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</si>
  <si>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</si>
  <si>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</si>
  <si>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</si>
  <si>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</si>
  <si>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</si>
  <si>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</si>
  <si>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</si>
  <si>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</si>
  <si>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</si>
  <si>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</si>
  <si>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</si>
  <si>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</si>
  <si>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</si>
  <si>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</si>
  <si>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</si>
  <si>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</si>
  <si>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</si>
  <si>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</si>
  <si>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</si>
  <si>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</si>
  <si>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</si>
  <si>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</si>
  <si>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</si>
  <si>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</si>
  <si>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</si>
  <si>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</si>
  <si>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</si>
  <si>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</si>
  <si>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</si>
  <si>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</si>
  <si>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</si>
  <si>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</si>
  <si>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</si>
  <si>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</si>
  <si>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</si>
  <si>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</si>
  <si>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</si>
  <si>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</si>
  <si>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</si>
  <si>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</si>
  <si>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</si>
  <si>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</si>
  <si>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</si>
  <si>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</si>
  <si>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</si>
  <si>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</si>
  <si>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</si>
  <si>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</si>
  <si>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</si>
  <si>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</si>
  <si>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</si>
  <si>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</si>
  <si>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</si>
  <si>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</si>
  <si>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</si>
  <si>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</si>
  <si>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</si>
  <si>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</si>
  <si>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</si>
  <si>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</si>
  <si>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</si>
  <si>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</si>
  <si>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</si>
  <si>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</si>
  <si>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</si>
  <si>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</si>
  <si>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</si>
  <si>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</si>
  <si>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</si>
  <si>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</si>
  <si>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</si>
  <si>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</si>
  <si>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</si>
  <si>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</si>
  <si>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</si>
  <si>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</si>
  <si>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</si>
  <si>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</si>
  <si>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</si>
  <si>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</si>
  <si>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</si>
  <si>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</si>
  <si>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</si>
  <si>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</si>
  <si>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</si>
  <si>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</si>
  <si>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</si>
  <si>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</si>
  <si>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</si>
  <si>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</si>
  <si>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</si>
  <si>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</si>
  <si>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</si>
  <si>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</si>
  <si>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</si>
  <si>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</si>
  <si>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</si>
  <si>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</si>
  <si>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</si>
  <si>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</si>
  <si>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</si>
  <si>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</si>
  <si>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</si>
  <si>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</si>
  <si>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</si>
  <si>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</si>
  <si>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</si>
  <si>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</si>
  <si>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</si>
  <si>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</si>
  <si>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</si>
  <si>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</si>
  <si>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</si>
  <si>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</si>
  <si>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</si>
  <si>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</si>
  <si>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</si>
  <si>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</si>
  <si>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</si>
  <si>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</si>
  <si>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</si>
  <si>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</si>
  <si>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</si>
  <si>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</si>
  <si>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</si>
  <si>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</si>
  <si>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</si>
  <si>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</si>
  <si>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</si>
  <si>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</si>
  <si>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</si>
  <si>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</si>
  <si>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</si>
  <si>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</si>
  <si>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</si>
  <si>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</si>
  <si>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</si>
  <si>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</si>
  <si>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</si>
  <si>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</si>
  <si>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</si>
  <si>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</si>
  <si>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</si>
  <si>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</si>
  <si>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</si>
  <si>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</si>
  <si>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</si>
  <si>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</si>
  <si>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</si>
  <si>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</si>
  <si>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</si>
  <si>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</si>
  <si>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</si>
  <si>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</si>
  <si>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</si>
  <si>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</si>
  <si>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</si>
  <si>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</si>
  <si>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</si>
  <si>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</si>
  <si>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</si>
  <si>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</si>
  <si>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</si>
  <si>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</si>
  <si>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</si>
  <si>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</si>
  <si>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</si>
  <si>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</si>
  <si>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</si>
  <si>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</si>
  <si>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</si>
  <si>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</si>
  <si>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</si>
  <si>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</si>
  <si>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</si>
  <si>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</si>
  <si>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</si>
  <si>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</si>
  <si>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</si>
  <si>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</si>
  <si>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</si>
  <si>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</si>
  <si>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</si>
  <si>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</si>
  <si>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</si>
  <si>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</si>
  <si>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</si>
  <si>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</si>
  <si>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</si>
  <si>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</si>
  <si>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</si>
  <si>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</si>
  <si>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</si>
  <si>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</si>
  <si>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</si>
  <si>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</si>
  <si>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</si>
  <si>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</si>
  <si>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</si>
  <si>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</si>
  <si>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</si>
  <si>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</si>
  <si>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</si>
  <si>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</si>
  <si>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</si>
  <si>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</si>
  <si>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</si>
  <si>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</si>
  <si>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</si>
  <si>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</si>
  <si>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</si>
  <si>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</si>
  <si>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</si>
  <si>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</si>
  <si>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</si>
  <si>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</si>
  <si>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</si>
  <si>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</si>
  <si>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</si>
  <si>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</si>
  <si>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</si>
  <si>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</si>
  <si>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</si>
  <si>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</si>
  <si>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</si>
  <si>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</si>
  <si>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</si>
  <si>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</si>
  <si>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</si>
  <si>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</si>
  <si>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</si>
  <si>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</si>
  <si>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</si>
  <si>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</si>
  <si>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</si>
  <si>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</si>
  <si>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</si>
  <si>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</si>
  <si>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</si>
  <si>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</si>
  <si>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</si>
  <si>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</si>
  <si>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</si>
  <si>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</si>
  <si>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</si>
  <si>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</si>
  <si>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</si>
  <si>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</si>
  <si>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</si>
  <si>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</si>
  <si>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</si>
  <si>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</si>
  <si>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</si>
  <si>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</si>
  <si>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</si>
  <si>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</si>
  <si>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</si>
  <si>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</si>
  <si>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</si>
  <si>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</si>
  <si>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</si>
  <si>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</si>
  <si>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</si>
  <si>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</si>
  <si>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</si>
  <si>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</si>
  <si>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</si>
  <si>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</si>
  <si>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</si>
  <si>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</si>
  <si>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</si>
  <si>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</si>
  <si>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</si>
  <si>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</si>
  <si>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</si>
  <si>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</si>
  <si>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</si>
  <si>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</si>
  <si>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</si>
  <si>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</si>
  <si>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</si>
  <si>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</si>
  <si>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</si>
  <si>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</si>
  <si>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</si>
  <si>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</si>
  <si>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</si>
  <si>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</si>
  <si>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</si>
  <si>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</si>
  <si>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</si>
  <si>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</si>
  <si>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</si>
  <si>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</si>
  <si>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</si>
  <si>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</si>
  <si>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</si>
  <si>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</si>
  <si>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</si>
  <si>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</si>
  <si>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</si>
  <si>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</si>
  <si>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</si>
  <si>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</si>
  <si>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</si>
  <si>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</si>
  <si>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</si>
  <si>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</si>
  <si>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</si>
  <si>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</si>
  <si>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</si>
  <si>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</si>
  <si>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</si>
  <si>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</si>
  <si>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</si>
  <si>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</si>
  <si>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</si>
  <si>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</si>
  <si>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</si>
  <si>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</si>
  <si>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</si>
  <si>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</si>
  <si>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</si>
  <si>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</si>
  <si>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</si>
  <si>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</si>
  <si>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</si>
  <si>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</si>
  <si>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</si>
  <si>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</si>
  <si>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</si>
  <si>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</si>
  <si>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</si>
  <si>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</si>
  <si>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</si>
  <si>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</si>
  <si>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</si>
  <si>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</si>
  <si>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</si>
  <si>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</si>
  <si>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</si>
  <si>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</si>
  <si>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</si>
  <si>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</si>
  <si>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</si>
  <si>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</si>
  <si>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</si>
  <si>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</si>
  <si>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</si>
  <si>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</si>
  <si>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</si>
  <si>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</si>
  <si>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</si>
  <si>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</si>
  <si>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</si>
  <si>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</si>
  <si>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</si>
  <si>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</si>
  <si>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</si>
  <si>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</si>
  <si>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</si>
  <si>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</si>
  <si>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</si>
  <si>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</si>
  <si>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</si>
  <si>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</si>
  <si>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</si>
  <si>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</si>
  <si>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</si>
  <si>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</si>
  <si>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</si>
  <si>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</si>
  <si>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</si>
  <si>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</si>
  <si>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</si>
  <si>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</si>
  <si>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</si>
  <si>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</si>
  <si>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</si>
  <si>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</si>
  <si>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</si>
  <si>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</si>
  <si>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</si>
  <si>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</si>
  <si>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</si>
  <si>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</si>
  <si>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</si>
  <si>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</si>
  <si>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</si>
  <si>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</si>
  <si>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</si>
  <si>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</si>
  <si>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</si>
  <si>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</si>
  <si>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</si>
  <si>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</si>
  <si>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</si>
  <si>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</si>
  <si>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</si>
  <si>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</si>
  <si>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</si>
  <si>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</si>
  <si>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</si>
  <si>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</si>
  <si>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</si>
  <si>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</si>
  <si>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</si>
  <si>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</si>
  <si>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</si>
  <si>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</si>
  <si>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</si>
  <si>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</si>
  <si>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</si>
  <si>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</si>
  <si>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</si>
  <si>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</si>
  <si>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</si>
  <si>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</si>
  <si>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</si>
  <si>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</si>
  <si>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</si>
  <si>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</si>
  <si>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</si>
  <si>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</si>
  <si>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</si>
  <si>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</si>
  <si>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</si>
  <si>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</si>
  <si>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</si>
  <si>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</si>
  <si>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</si>
  <si>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</si>
  <si>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</si>
  <si>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</si>
  <si>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</si>
  <si>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</si>
  <si>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</si>
  <si>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</si>
  <si>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</si>
  <si>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</si>
  <si>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</si>
  <si>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</si>
  <si>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</si>
  <si>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</si>
  <si>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</si>
  <si>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</si>
  <si>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</si>
  <si>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</si>
  <si>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</si>
  <si>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</si>
  <si>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</si>
  <si>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</si>
  <si>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</si>
  <si>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</si>
  <si>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</si>
  <si>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</si>
  <si>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</si>
  <si>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</si>
  <si>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</si>
  <si>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</si>
  <si>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</si>
  <si>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</si>
  <si>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</si>
  <si>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</si>
  <si>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</si>
  <si>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</si>
  <si>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</si>
  <si>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</si>
  <si>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</si>
  <si>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</si>
  <si>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</si>
  <si>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</si>
  <si>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</si>
  <si>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</si>
  <si>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</si>
  <si>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</si>
  <si>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</si>
  <si>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</si>
  <si>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</si>
  <si>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</si>
  <si>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</si>
  <si>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</si>
  <si>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</si>
  <si>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</si>
  <si>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</si>
  <si>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</si>
  <si>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</si>
  <si>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</si>
  <si>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</si>
  <si>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</si>
  <si>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</si>
  <si>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</si>
  <si>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</si>
  <si>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</si>
  <si>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</si>
  <si>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</si>
  <si>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</si>
  <si>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</si>
  <si>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</si>
  <si>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</si>
  <si>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</si>
  <si>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</si>
  <si>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</si>
  <si>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</si>
  <si>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</si>
  <si>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</si>
  <si>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</si>
  <si>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</si>
  <si>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</si>
  <si>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</si>
  <si>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</si>
  <si>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</si>
  <si>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</si>
  <si>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</si>
  <si>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</si>
  <si>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</si>
  <si>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</si>
  <si>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</si>
  <si>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</si>
  <si>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</si>
  <si>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</si>
  <si>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</si>
  <si>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</si>
  <si>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</si>
  <si>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</si>
  <si>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</si>
  <si>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</si>
  <si>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</si>
  <si>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</si>
  <si>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</si>
  <si>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</si>
  <si>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</si>
  <si>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</si>
  <si>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</si>
  <si>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</si>
  <si>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</si>
  <si>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</si>
  <si>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</si>
  <si>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</si>
  <si>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</si>
  <si>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</si>
  <si>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</si>
  <si>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</si>
  <si>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</si>
  <si>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</si>
  <si>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</si>
  <si>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</si>
  <si>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</si>
  <si>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</si>
  <si>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</si>
  <si>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</si>
  <si>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</si>
  <si>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</si>
  <si>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</si>
  <si>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</si>
  <si>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</si>
  <si>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</si>
  <si>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</si>
  <si>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</si>
  <si>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</si>
  <si>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</si>
  <si>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</si>
  <si>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</si>
  <si>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</si>
  <si>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</si>
  <si>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</si>
  <si>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</si>
  <si>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</si>
  <si>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</si>
  <si>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</si>
  <si>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</si>
  <si>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</si>
  <si>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</si>
  <si>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</si>
  <si>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</si>
  <si>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</si>
  <si>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</si>
  <si>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</si>
  <si>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</si>
  <si>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</si>
  <si>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</si>
  <si>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</si>
  <si>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</si>
  <si>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</si>
  <si>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</si>
  <si>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</si>
  <si>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</si>
  <si>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</si>
  <si>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</si>
  <si>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</si>
  <si>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</si>
  <si>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</si>
  <si>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</si>
  <si>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</si>
  <si>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</si>
  <si>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</si>
  <si>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</si>
  <si>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</si>
  <si>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</si>
  <si>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</si>
  <si>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</si>
  <si>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</si>
  <si>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</si>
  <si>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</si>
  <si>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</si>
  <si>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</si>
  <si>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</si>
  <si>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</si>
  <si>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</si>
  <si>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</si>
  <si>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</si>
  <si>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</si>
  <si>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</si>
  <si>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</si>
  <si>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</si>
  <si>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</si>
  <si>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</si>
  <si>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</si>
  <si>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</si>
  <si>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</si>
  <si>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</si>
  <si>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</si>
  <si>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</si>
  <si>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</si>
  <si>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</si>
  <si>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</si>
  <si>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</si>
  <si>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</si>
  <si>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</si>
  <si>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</si>
  <si>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</si>
  <si>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</si>
  <si>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</si>
  <si>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</si>
  <si>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</si>
  <si>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</si>
  <si>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</si>
  <si>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</si>
  <si>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</si>
  <si>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</si>
  <si>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</si>
  <si>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</si>
  <si>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</si>
  <si>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</si>
  <si>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</si>
  <si>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</si>
  <si>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</si>
  <si>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</si>
  <si>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</si>
  <si>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</si>
  <si>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</si>
  <si>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</si>
  <si>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</si>
  <si>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</si>
  <si>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</si>
  <si>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</si>
  <si>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</si>
  <si>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</si>
  <si>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</si>
  <si>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</si>
  <si>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</si>
  <si>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</si>
  <si>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</si>
  <si>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</si>
  <si>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</si>
  <si>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</si>
  <si>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</si>
  <si>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</si>
  <si>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</si>
  <si>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</si>
  <si>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</si>
  <si>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</si>
  <si>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</si>
  <si>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</si>
  <si>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</si>
  <si>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</si>
  <si>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</si>
  <si>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</si>
  <si>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</si>
  <si>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</si>
  <si>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</si>
  <si>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</si>
  <si>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</si>
  <si>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</si>
  <si>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</si>
  <si>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</si>
  <si>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</si>
  <si>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</si>
  <si>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</si>
  <si>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</si>
  <si>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</si>
  <si>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</si>
  <si>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</si>
  <si>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</si>
  <si>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</si>
  <si>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</si>
  <si>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</si>
  <si>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</si>
  <si>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</si>
  <si>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</si>
  <si>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</si>
  <si>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</si>
  <si>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</si>
  <si>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</si>
  <si>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</si>
  <si>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</si>
  <si>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</si>
  <si>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</si>
  <si>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</si>
  <si>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</si>
  <si>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</si>
  <si>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</si>
  <si>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</si>
  <si>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</si>
  <si>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</si>
  <si>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</si>
  <si>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</si>
  <si>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</si>
  <si>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</si>
  <si>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</si>
  <si>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</si>
  <si>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</si>
  <si>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</si>
  <si>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</si>
  <si>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</si>
  <si>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</si>
  <si>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</si>
  <si>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</si>
  <si>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</si>
  <si>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</si>
  <si>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</si>
  <si>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</si>
  <si>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</si>
  <si>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</si>
  <si>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</si>
  <si>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</si>
  <si>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</si>
  <si>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</si>
  <si>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</si>
  <si>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</si>
  <si>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</si>
  <si>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</si>
  <si>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</si>
  <si>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</si>
  <si>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</si>
  <si>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</si>
  <si>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</si>
  <si>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</si>
  <si>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</si>
  <si>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</si>
  <si>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</si>
  <si>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</si>
  <si>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</si>
  <si>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</si>
  <si>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</si>
  <si>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</si>
  <si>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</si>
  <si>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</si>
  <si>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</si>
  <si>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</si>
  <si>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</si>
  <si>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</si>
  <si>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</si>
  <si>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</si>
  <si>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</si>
  <si>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</si>
  <si>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</si>
  <si>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</si>
  <si>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</si>
  <si>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</si>
  <si>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</si>
  <si>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</si>
  <si>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</si>
  <si>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</si>
  <si>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</si>
  <si>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</si>
  <si>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</si>
  <si>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</si>
  <si>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</si>
  <si>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</si>
  <si>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</si>
  <si>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</si>
  <si>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</si>
  <si>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</si>
  <si>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</si>
  <si>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</si>
  <si>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</si>
  <si>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</si>
  <si>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</si>
  <si>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</si>
  <si>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</si>
  <si>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</si>
  <si>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</si>
  <si>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</si>
  <si>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</si>
  <si>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</si>
  <si>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</si>
  <si>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</si>
  <si>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</si>
  <si>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</si>
  <si>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</si>
  <si>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</si>
  <si>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</si>
  <si>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</si>
  <si>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</si>
  <si>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</si>
  <si>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</si>
  <si>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</si>
  <si>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</si>
  <si>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</si>
  <si>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</si>
  <si>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</si>
  <si>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</si>
  <si>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</si>
  <si>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</si>
  <si>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</si>
  <si>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</si>
  <si>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</si>
  <si>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</si>
  <si>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</si>
  <si>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</si>
  <si>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</si>
  <si>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</si>
  <si>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</si>
  <si>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</si>
  <si>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</si>
  <si>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</si>
  <si>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</si>
  <si>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</si>
  <si>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</si>
  <si>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</si>
  <si>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</si>
  <si>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</si>
  <si>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</si>
  <si>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</si>
  <si>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</si>
  <si>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</si>
  <si>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</si>
  <si>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</si>
  <si>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</si>
  <si>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</si>
  <si>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</si>
  <si>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</si>
  <si>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</si>
  <si>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</si>
  <si>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</si>
  <si>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</si>
  <si>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</si>
  <si>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</si>
  <si>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</si>
  <si>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</si>
  <si>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</si>
  <si>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</si>
  <si>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</si>
  <si>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</si>
  <si>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</si>
  <si>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</si>
  <si>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</si>
  <si>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</si>
  <si>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</si>
  <si>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</si>
  <si>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</si>
  <si>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</si>
  <si>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</si>
  <si>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</si>
  <si>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</si>
  <si>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</si>
  <si>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</si>
  <si>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</si>
  <si>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</si>
  <si>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</si>
  <si>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</si>
  <si>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</si>
  <si>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</si>
  <si>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</si>
  <si>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</si>
  <si>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</si>
  <si>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</si>
  <si>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</si>
  <si>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</si>
  <si>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</si>
  <si>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</si>
  <si>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</si>
  <si>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</si>
  <si>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</si>
  <si>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</si>
  <si>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</si>
  <si>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</si>
  <si>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</si>
  <si>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</si>
  <si>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</si>
  <si>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</si>
  <si>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</si>
  <si>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</si>
  <si>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</si>
  <si>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</si>
  <si>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</si>
  <si>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</si>
  <si>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</si>
  <si>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</si>
  <si>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</si>
  <si>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</si>
  <si>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</si>
  <si>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</si>
  <si>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</si>
  <si>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</si>
  <si>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</si>
  <si>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</si>
  <si>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</si>
  <si>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</si>
  <si>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</si>
  <si>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</si>
  <si>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</si>
  <si>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</si>
  <si>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</si>
  <si>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</si>
  <si>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</si>
  <si>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</si>
  <si>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</si>
  <si>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</si>
  <si>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</si>
  <si>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</si>
  <si>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</si>
  <si>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</si>
  <si>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</si>
  <si>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</si>
  <si>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</si>
  <si>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</si>
  <si>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</si>
  <si>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</si>
  <si>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</si>
  <si>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</si>
  <si>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</si>
  <si>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</si>
  <si>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</si>
  <si>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</si>
  <si>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</si>
  <si>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</si>
  <si>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</si>
  <si>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</si>
  <si>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</si>
  <si>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</si>
  <si>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</si>
  <si>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</si>
  <si>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</si>
  <si>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</si>
  <si>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</si>
  <si>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</si>
  <si>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</si>
  <si>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</si>
  <si>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</si>
  <si>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</si>
  <si>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</si>
  <si>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</si>
  <si>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</si>
  <si>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</si>
  <si>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</si>
  <si>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</si>
  <si>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</si>
  <si>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</si>
  <si>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</si>
  <si>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</si>
  <si>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</si>
  <si>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</si>
  <si>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</si>
  <si>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</si>
  <si>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</si>
  <si>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</si>
  <si>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</si>
  <si>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</si>
  <si>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</si>
  <si>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</si>
  <si>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</si>
  <si>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</si>
  <si>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</si>
  <si>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</si>
  <si>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</si>
  <si>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</si>
  <si>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</si>
  <si>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</si>
  <si>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</si>
  <si>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</si>
  <si>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</si>
  <si>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</si>
  <si>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</si>
  <si>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</si>
  <si>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</si>
  <si>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</si>
  <si>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</si>
  <si>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</si>
  <si>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</si>
  <si>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</si>
  <si>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</si>
  <si>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</si>
  <si>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</si>
  <si>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</si>
  <si>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</si>
  <si>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</si>
  <si>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</si>
  <si>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</si>
  <si>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</si>
  <si>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</si>
  <si>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</si>
  <si>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</si>
  <si>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</si>
  <si>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</si>
  <si>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</si>
  <si>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</si>
  <si>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</si>
  <si>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</si>
  <si>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</si>
  <si>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</si>
  <si>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</si>
  <si>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</si>
  <si>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</si>
  <si>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</si>
  <si>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</si>
  <si>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</si>
  <si>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</si>
  <si>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</si>
  <si>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</si>
  <si>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</si>
  <si>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</si>
  <si>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</si>
  <si>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</si>
  <si>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</si>
  <si>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</si>
  <si>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</si>
  <si>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</si>
  <si>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</si>
  <si>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</si>
  <si>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</si>
  <si>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</si>
  <si>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</si>
  <si>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</si>
  <si>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</si>
  <si>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</si>
  <si>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</si>
  <si>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</si>
  <si>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</si>
  <si>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</si>
  <si>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</si>
  <si>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</si>
  <si>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</si>
  <si>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</si>
  <si>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</si>
  <si>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</si>
  <si>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</si>
  <si>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</si>
  <si>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</si>
  <si>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</si>
  <si>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</si>
  <si>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</si>
  <si>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</si>
  <si>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</si>
  <si>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</si>
  <si>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</si>
  <si>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</si>
  <si>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</si>
  <si>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</si>
  <si>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</si>
  <si>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市区</t>
  </si>
  <si>
    <t>七通一平</t>
  </si>
  <si>
    <t>四环路外</t>
  </si>
  <si>
    <t>居住用地（指一类居住用地）</t>
  </si>
  <si>
    <t>Ⅳ-01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</si>
</sst>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30</xdr:row>
      <xdr:rowOff>47625</xdr:rowOff>
    </xdr:from>
    <xdr:to>
      <xdr:col>24</xdr:col>
      <xdr:colOff>741526</xdr:colOff>
      <xdr:row>40</xdr:row>
      <xdr:rowOff>37856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7067550"/>
          <a:ext cx="11390476" cy="1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05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05"/>
      <c r="B19" s="1805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05"/>
      <c r="B24" s="1805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05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05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05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05"/>
      <c r="B36" s="1805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25" zoomScale="90" zoomScaleNormal="90" zoomScaleSheetLayoutView="89" workbookViewId="0">
      <selection activeCell="C66" sqref="C66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0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四级</v>
      </c>
      <c r="H2" s="715" t="s">
        <v>1350</v>
      </c>
      <c r="I2" s="1311" t="s">
        <v>1793</v>
      </c>
      <c r="J2" s="717"/>
      <c r="AE2" s="712"/>
      <c r="AF2" s="712"/>
    </row>
    <row r="3" spans="1:36" ht="24">
      <c r="A3" s="668" t="s">
        <v>912</v>
      </c>
      <c r="B3" s="1398">
        <f>C18</f>
        <v>0</v>
      </c>
      <c r="C3" s="713" t="s">
        <v>913</v>
      </c>
      <c r="D3" s="714" t="s">
        <v>252</v>
      </c>
      <c r="E3" s="718" t="s">
        <v>1801</v>
      </c>
      <c r="F3" s="1459" t="s">
        <v>1795</v>
      </c>
      <c r="G3" s="238">
        <f>IF(F3="容积率",主表!B8,主表!B9)</f>
        <v>2.5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7" t="s">
        <v>1566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1565</v>
      </c>
      <c r="B5" s="1396">
        <f>C22</f>
        <v>0</v>
      </c>
      <c r="C5" s="1399" t="s">
        <v>1567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2845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5">
        <f>(300+680)/2</f>
        <v>490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928</v>
      </c>
      <c r="B9" s="1510" t="s">
        <v>931</v>
      </c>
      <c r="C9" s="1511">
        <f>IF(OR(H9&gt;=DATE(2014,8,28),H9&lt;DATE(2002,12,10)),0,ROUND(I9/F9,4))</f>
        <v>0</v>
      </c>
      <c r="D9" s="1512" t="s">
        <v>261</v>
      </c>
      <c r="E9" s="1513">
        <v>37257</v>
      </c>
      <c r="F9" s="1514">
        <f>ROUND(SUMIF(地价!B3:F3,E2,地价!B86:F86),0)</f>
        <v>104</v>
      </c>
      <c r="G9" s="1515" t="s">
        <v>262</v>
      </c>
      <c r="H9" s="1516">
        <f>主表!B4</f>
        <v>42077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930</v>
      </c>
      <c r="B10" s="1519" t="s">
        <v>198</v>
      </c>
      <c r="C10" s="1520">
        <f>ROUND(POWER(1+E10,H10-G10)*(POWER(1+E10,G10)-1)/(POWER(1+E10,H10)-1),4)</f>
        <v>0.98340000000000005</v>
      </c>
      <c r="D10" s="1480" t="s">
        <v>935</v>
      </c>
      <c r="E10" s="1481">
        <v>0.04</v>
      </c>
      <c r="F10" s="1521" t="s">
        <v>1633</v>
      </c>
      <c r="G10" s="1522">
        <f>IF(F10="剩余土地使用年限",主表!B15,主表!B16)</f>
        <v>64.489999999999995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932</v>
      </c>
      <c r="B11" s="746" t="s">
        <v>937</v>
      </c>
      <c r="C11" s="1312">
        <f>IF(E2="工业",1,IF(G3&gt;10,D14,IF(D11="郊区",D13,D12)))</f>
        <v>0.94699999999999995</v>
      </c>
      <c r="D11" s="1487" t="s">
        <v>1798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6">
        <f>IF(E12=G12,F12,IF(G3&lt;=10,ROUND(F12+(H12-F12)*(G3-E12)/(G12-E12),4),"——"))</f>
        <v>0.94699999999999995</v>
      </c>
      <c r="E12" s="1478">
        <f>ROUNDDOWN(G3,1)</f>
        <v>2.5</v>
      </c>
      <c r="F12" s="1479">
        <f>IF(G3&lt;=10,SUMPRODUCT(('2002容积率修正'!A3:A102=E12)*('2002容积率修正'!B2:D2=E2)*('2002容积率修正'!B3:D102)),"——")</f>
        <v>0.94699999999999995</v>
      </c>
      <c r="G12" s="1477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6">
        <f>IF(E12=G12,F12,IF(G3&lt;=10,ROUND(F12+(H12-F12)*(G3-E12)/(G12-E12),4),"——"))</f>
        <v>0.94699999999999995</v>
      </c>
      <c r="E13" s="1478">
        <f>ROUNDDOWN(G3,1)</f>
        <v>2.5</v>
      </c>
      <c r="F13" s="1479">
        <f>IF(G3&lt;=10,SUMPRODUCT(('2002容积率修正'!A3:A102=E13)*('2002容积率修正'!E2:G2=E2)*('2002容积率修正'!E3:G102)),"——")</f>
        <v>0.80500000000000005</v>
      </c>
      <c r="G13" s="1477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1.1040000000000001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1323</v>
      </c>
      <c r="B16" s="1519" t="s">
        <v>1332</v>
      </c>
      <c r="C16" s="1524">
        <v>1</v>
      </c>
      <c r="D16" s="1525" t="s">
        <v>1336</v>
      </c>
      <c r="E16" s="1482" t="s">
        <v>925</v>
      </c>
      <c r="F16" s="1483" t="s">
        <v>1799</v>
      </c>
      <c r="G16" s="1526" t="s">
        <v>927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>
        <f>ROUND(C7*C9*C10*C11*C15*C16,0)</f>
        <v>0</v>
      </c>
      <c r="D18" s="630">
        <f>H1</f>
        <v>0</v>
      </c>
      <c r="E18" s="631">
        <f>ROUND(C18*D18,0)</f>
        <v>0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>
        <f>ROUND(C7*C9*C10*C11*C15*C16*G3,0)</f>
        <v>0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0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1347</v>
      </c>
      <c r="B22" s="775"/>
      <c r="C22" s="1564">
        <f>ROUND(IF(D22="四环路内",C20*0.4,C20*0.6),0)</f>
        <v>0</v>
      </c>
      <c r="D22" s="776" t="s">
        <v>1800</v>
      </c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53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4" t="s">
        <v>1490</v>
      </c>
      <c r="C25" s="1458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6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7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6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7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1.1040000000000001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1797</v>
      </c>
      <c r="D60" s="490">
        <f t="shared" ref="D60:D67" si="7">SUMIF($F$59:$J$59,C60,F60:J60)</f>
        <v>1.2999999999999999E-2</v>
      </c>
      <c r="E60" s="253">
        <f>SUM(D60:D67)</f>
        <v>0.104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1797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1797</v>
      </c>
      <c r="D63" s="490">
        <f t="shared" si="7"/>
        <v>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7" t="s">
        <v>1736</v>
      </c>
      <c r="C64" s="795" t="s">
        <v>1797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1797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1797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7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225</v>
      </c>
      <c r="P14" s="1026" t="s">
        <v>0</v>
      </c>
      <c r="Q14" s="273" t="s">
        <v>1301</v>
      </c>
      <c r="R14" s="273" t="s">
        <v>1302</v>
      </c>
      <c r="S14" s="1027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6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5" t="s">
        <v>1423</v>
      </c>
      <c r="E2" s="1835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46"/>
      <c r="E3" s="1836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7"/>
      <c r="E5" s="1837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3"/>
      <c r="C6" s="703"/>
      <c r="D6" s="1845" t="s">
        <v>1424</v>
      </c>
      <c r="E6" s="1835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6" t="s">
        <v>1432</v>
      </c>
      <c r="B7" s="1347" t="str">
        <f>LEFT(主表!B10,1)&amp;"类"</f>
        <v>四类</v>
      </c>
      <c r="C7" s="703"/>
      <c r="D7" s="1846"/>
      <c r="E7" s="1836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9"/>
      <c r="C8" s="703"/>
      <c r="D8" s="1847"/>
      <c r="E8" s="1837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0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45" t="s">
        <v>1402</v>
      </c>
      <c r="E10" s="1835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1218</v>
      </c>
      <c r="B11" s="702" t="e">
        <f>IF(A11="容积率",主表!B8,主表!B9)</f>
        <v>#DIV/0!</v>
      </c>
      <c r="C11" s="703"/>
      <c r="D11" s="1848"/>
      <c r="E11" s="1838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914</v>
      </c>
      <c r="B14" s="1353" t="s">
        <v>1426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1445</v>
      </c>
      <c r="B15" s="1348" t="s">
        <v>1410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1446</v>
      </c>
      <c r="B18" s="1390" t="s">
        <v>1430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1429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1561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1559</v>
      </c>
      <c r="B21" s="1362" t="s">
        <v>937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1560</v>
      </c>
      <c r="B22" s="1348" t="s">
        <v>198</v>
      </c>
      <c r="C22" s="1358">
        <f ca="1">ROUND(POWER(1+C23,C25-C24)*(POWER(1+C23,C24)-1)/(POWER(1+C23,C25)-1),4)</f>
        <v>0.98819999999999997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4.7500000000000001E-2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1633</v>
      </c>
      <c r="C24" s="621">
        <f>IF(B24="剩余土地使用年限",主表!B15,主表!B16)</f>
        <v>64.489999999999995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1444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939</v>
      </c>
      <c r="B26" s="1366" t="s">
        <v>942</v>
      </c>
      <c r="C26" s="1367" t="s">
        <v>946</v>
      </c>
      <c r="D26" s="1367" t="s">
        <v>1339</v>
      </c>
      <c r="E26" s="1368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0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0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61" t="s">
        <v>90</v>
      </c>
      <c r="D4" s="1862"/>
      <c r="E4" s="1863" t="s">
        <v>91</v>
      </c>
      <c r="F4" s="1864"/>
      <c r="G4" s="1861" t="s">
        <v>92</v>
      </c>
      <c r="H4" s="1862"/>
      <c r="I4" s="1861" t="s">
        <v>93</v>
      </c>
      <c r="J4" s="1862"/>
      <c r="K4" s="142" t="s">
        <v>94</v>
      </c>
      <c r="L4" s="448"/>
      <c r="M4" s="449"/>
      <c r="N4" s="449"/>
      <c r="O4" s="449"/>
      <c r="P4" s="1865" t="s">
        <v>95</v>
      </c>
      <c r="Q4" s="1866"/>
      <c r="R4" s="1871" t="s">
        <v>91</v>
      </c>
      <c r="S4" s="1872"/>
      <c r="T4" s="1871" t="s">
        <v>92</v>
      </c>
      <c r="U4" s="1872"/>
      <c r="V4" s="1877" t="s">
        <v>93</v>
      </c>
      <c r="W4" s="1877"/>
      <c r="X4" s="201"/>
      <c r="Y4" s="1871" t="s">
        <v>95</v>
      </c>
      <c r="Z4" s="1872"/>
      <c r="AA4" s="1858" t="s">
        <v>91</v>
      </c>
      <c r="AB4" s="1859" t="s">
        <v>92</v>
      </c>
      <c r="AC4" s="1858" t="s">
        <v>93</v>
      </c>
    </row>
    <row r="5" spans="1:30" ht="14.4">
      <c r="A5" s="41"/>
      <c r="B5" s="42"/>
      <c r="C5" s="1854" t="s">
        <v>226</v>
      </c>
      <c r="D5" s="1855"/>
      <c r="E5" s="1878" t="s">
        <v>227</v>
      </c>
      <c r="F5" s="1879"/>
      <c r="G5" s="1854" t="s">
        <v>230</v>
      </c>
      <c r="H5" s="1855"/>
      <c r="I5" s="1854" t="s">
        <v>228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229</v>
      </c>
      <c r="D6" s="1852"/>
      <c r="E6" s="1849" t="s">
        <v>229</v>
      </c>
      <c r="F6" s="1850"/>
      <c r="G6" s="1851" t="s">
        <v>229</v>
      </c>
      <c r="H6" s="1852"/>
      <c r="I6" s="1851" t="s">
        <v>229</v>
      </c>
      <c r="J6" s="1852"/>
      <c r="K6" s="142" t="s">
        <v>96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97</v>
      </c>
      <c r="B7" s="46"/>
      <c r="C7" s="1344">
        <f>主表!B4</f>
        <v>42077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98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98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124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124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1218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1531</v>
      </c>
      <c r="C12" s="1064" t="str">
        <f>主表!B10</f>
        <v>四级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1197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1198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1544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1546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2015-3-1</v>
      </c>
      <c r="D56" s="1533">
        <f>EDATE(C56,-3)</f>
        <v>41974</v>
      </c>
      <c r="E56" s="1533">
        <f t="shared" ref="E56:O56" si="15">EDATE(D56,-3)</f>
        <v>41883</v>
      </c>
      <c r="F56" s="1533">
        <f t="shared" si="15"/>
        <v>41791</v>
      </c>
      <c r="G56" s="1533">
        <f t="shared" si="15"/>
        <v>41699</v>
      </c>
      <c r="H56" s="1533">
        <f t="shared" si="15"/>
        <v>41609</v>
      </c>
      <c r="I56" s="1533">
        <f t="shared" si="15"/>
        <v>41518</v>
      </c>
      <c r="J56" s="1533">
        <f t="shared" si="15"/>
        <v>41426</v>
      </c>
      <c r="K56" s="1533">
        <f t="shared" si="15"/>
        <v>41334</v>
      </c>
      <c r="L56" s="1533">
        <f t="shared" si="15"/>
        <v>41244</v>
      </c>
      <c r="M56" s="1533">
        <f t="shared" si="15"/>
        <v>41153</v>
      </c>
      <c r="N56" s="1533">
        <f t="shared" si="15"/>
        <v>41061</v>
      </c>
      <c r="O56" s="1533">
        <f t="shared" si="15"/>
        <v>40969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2015-1</v>
      </c>
      <c r="D58" s="1532" t="str">
        <f t="shared" ref="D58:O58" si="16">YEAR(D56)&amp;"-"&amp;ROUNDUP(MONTH(D56)/3,0)</f>
        <v>2014-4</v>
      </c>
      <c r="E58" s="1532" t="str">
        <f t="shared" si="16"/>
        <v>2014-3</v>
      </c>
      <c r="F58" s="1532" t="str">
        <f t="shared" si="16"/>
        <v>2014-2</v>
      </c>
      <c r="G58" s="1532" t="str">
        <f t="shared" si="16"/>
        <v>2014-1</v>
      </c>
      <c r="H58" s="1532" t="str">
        <f t="shared" si="16"/>
        <v>2013-4</v>
      </c>
      <c r="I58" s="1532" t="str">
        <f t="shared" si="16"/>
        <v>2013-3</v>
      </c>
      <c r="J58" s="1532" t="str">
        <f t="shared" si="16"/>
        <v>2013-2</v>
      </c>
      <c r="K58" s="1532" t="str">
        <f t="shared" si="16"/>
        <v>2013-1</v>
      </c>
      <c r="L58" s="1532" t="str">
        <f t="shared" si="16"/>
        <v>2012-4</v>
      </c>
      <c r="M58" s="1532" t="str">
        <f t="shared" si="16"/>
        <v>2012-3</v>
      </c>
      <c r="N58" s="1532" t="str">
        <f t="shared" si="16"/>
        <v>2012-2</v>
      </c>
      <c r="O58" s="1532" t="str">
        <f t="shared" si="16"/>
        <v>2012-1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1532</v>
      </c>
      <c r="D70" s="1037" t="s">
        <v>1533</v>
      </c>
      <c r="E70" s="1037" t="s">
        <v>1534</v>
      </c>
      <c r="F70" s="1037" t="s">
        <v>1535</v>
      </c>
      <c r="G70" s="1037" t="s">
        <v>1536</v>
      </c>
      <c r="H70" s="1037" t="s">
        <v>1537</v>
      </c>
      <c r="I70" s="1037" t="s">
        <v>1538</v>
      </c>
      <c r="J70" s="1037" t="s">
        <v>1539</v>
      </c>
      <c r="K70" s="1037" t="s">
        <v>1540</v>
      </c>
      <c r="L70" s="1037" t="s">
        <v>1541</v>
      </c>
      <c r="M70" s="1038" t="s">
        <v>1542</v>
      </c>
      <c r="N70" s="1038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1547</v>
      </c>
      <c r="D102" s="1116" t="s">
        <v>1548</v>
      </c>
      <c r="E102" s="1116" t="s">
        <v>1549</v>
      </c>
      <c r="F102" s="1116" t="s">
        <v>1550</v>
      </c>
      <c r="G102" s="1116" t="s">
        <v>1551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1547</v>
      </c>
      <c r="D119" s="1116" t="s">
        <v>1548</v>
      </c>
      <c r="E119" s="1116" t="s">
        <v>1549</v>
      </c>
      <c r="F119" s="1116" t="s">
        <v>1550</v>
      </c>
      <c r="G119" s="1116" t="s">
        <v>1551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42077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8">
        <f>IF(C1&gt;C14,0,MATCH(C1,C$14:C$68,-1))+IF(SUMIF(C14:C68,C1,D14:D68)=0,14,13)</f>
        <v>27</v>
      </c>
      <c r="K1" s="1138">
        <f ca="1">MATCH(E1,C4:C8,1)+IF(SUMIF(C4:C8,E1,D4:D8)=0,3,2)</f>
        <v>3</v>
      </c>
      <c r="L1" s="1138">
        <f>IF(C1&gt;M14,0,MATCH(C1,M$14:M$52,-1))+IF(SUMIF(M14:M52,C1,N14:N52)=0,14,13)</f>
        <v>18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42077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8">
        <f>IF(C2&gt;C14,0,MATCH(C2,C$14:C$68,-1))+IF(SUMIF(C14:C68,C2,D14:D68)=0,14,13)</f>
        <v>27</v>
      </c>
      <c r="K2" s="1138">
        <f ca="1">MATCH(E2,C4:C8,1)+IF(SUMIF(C4:C8,E2,D4:D8)=0,3,2)</f>
        <v>3</v>
      </c>
      <c r="L2" s="1138">
        <f>IF(C2&gt;M14,0,MATCH(C2,M$14:M$52,-1))+IF(SUMIF(M14:M52,C2,N14:N52)=0,14,13)</f>
        <v>18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5.7500000000000002E-2</v>
      </c>
      <c r="H3" s="1019" t="s">
        <v>1507</v>
      </c>
      <c r="I3" s="1020">
        <f ca="1">SUMIF(F4:F8,E3,H4:H8)/100</f>
        <v>3.7499999999999999E-2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5.35</v>
      </c>
      <c r="E4" s="1004">
        <f ca="1">INDIRECT("d"&amp;$J$2)</f>
        <v>5.35</v>
      </c>
      <c r="F4" s="1005">
        <v>0.5</v>
      </c>
      <c r="G4" s="1006">
        <f ca="1">INDIRECT("p"&amp;$L$1)</f>
        <v>2.2999999999999998</v>
      </c>
      <c r="H4" s="1006">
        <f ca="1">INDIRECT("p"&amp;$L$2)</f>
        <v>2.2999999999999998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5.35</v>
      </c>
      <c r="E5" s="978">
        <f ca="1">INDIRECT("e"&amp;$J$2)</f>
        <v>5.35</v>
      </c>
      <c r="F5" s="977">
        <v>1</v>
      </c>
      <c r="G5" s="1007">
        <f ca="1">INDIRECT("q"&amp;$L$1)</f>
        <v>2.5</v>
      </c>
      <c r="H5" s="1007">
        <f ca="1">INDIRECT("q"&amp;$L$2)</f>
        <v>2.5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5.75</v>
      </c>
      <c r="E6" s="978">
        <f ca="1">INDIRECT("f"&amp;$J$2)</f>
        <v>5.75</v>
      </c>
      <c r="F6" s="977">
        <v>2</v>
      </c>
      <c r="G6" s="1007">
        <f ca="1">INDIRECT("r"&amp;$L$1)</f>
        <v>3.1</v>
      </c>
      <c r="H6" s="1007">
        <f ca="1">INDIRECT("r"&amp;$L$2)</f>
        <v>3.1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5.75</v>
      </c>
      <c r="E7" s="978">
        <f ca="1">INDIRECT("g"&amp;$J$2)</f>
        <v>5.75</v>
      </c>
      <c r="F7" s="977">
        <v>3</v>
      </c>
      <c r="G7" s="1007">
        <f ca="1">INDIRECT("s"&amp;$L$1)</f>
        <v>3.75</v>
      </c>
      <c r="H7" s="1007">
        <f ca="1">INDIRECT("s"&amp;$L$2)</f>
        <v>3.75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5.9</v>
      </c>
      <c r="E8" s="978">
        <f ca="1">INDIRECT("h"&amp;$J$2)</f>
        <v>5.9</v>
      </c>
      <c r="F8" s="977">
        <v>5</v>
      </c>
      <c r="G8" s="1007">
        <f ca="1">INDIRECT("t"&amp;$L$1)</f>
        <v>4.5</v>
      </c>
      <c r="H8" s="1007">
        <f ca="1">INDIRECT("t"&amp;$L$2)</f>
        <v>4.5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1785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1700</v>
      </c>
      <c r="C1" s="1588"/>
      <c r="D1" s="1588"/>
      <c r="F1" s="1588"/>
    </row>
    <row r="2" spans="1:32" s="1587" customFormat="1" ht="13.8" thickBot="1">
      <c r="B2" s="1588" t="s">
        <v>1635</v>
      </c>
      <c r="C2" s="1588"/>
      <c r="D2" s="1588"/>
      <c r="F2" s="1588"/>
      <c r="G2" s="1898" t="s">
        <v>1636</v>
      </c>
      <c r="H2" s="1898"/>
      <c r="I2" s="1898"/>
      <c r="J2" s="1898"/>
      <c r="K2" s="1898"/>
      <c r="L2" s="1898"/>
      <c r="N2" s="1890" t="s">
        <v>1637</v>
      </c>
      <c r="O2" s="1890"/>
      <c r="P2" s="1890"/>
      <c r="Q2" s="1890"/>
      <c r="S2" s="1890" t="s">
        <v>1638</v>
      </c>
      <c r="T2" s="1890"/>
      <c r="U2" s="1890"/>
      <c r="V2" s="1890"/>
    </row>
    <row r="3" spans="1:32" s="1587" customFormat="1" ht="14.4">
      <c r="B3" s="1589" t="s">
        <v>1694</v>
      </c>
      <c r="C3" s="1589" t="s">
        <v>41</v>
      </c>
      <c r="D3" s="1590" t="s">
        <v>1297</v>
      </c>
      <c r="E3" s="1590" t="s">
        <v>1298</v>
      </c>
      <c r="F3" s="1589" t="s">
        <v>49</v>
      </c>
      <c r="G3" s="1591" t="s">
        <v>1740</v>
      </c>
      <c r="H3" s="1591" t="s">
        <v>1741</v>
      </c>
      <c r="I3" s="1592" t="s">
        <v>1694</v>
      </c>
      <c r="J3" s="1592" t="s">
        <v>1699</v>
      </c>
      <c r="K3" s="1590" t="s">
        <v>1298</v>
      </c>
      <c r="L3" s="1592" t="s">
        <v>49</v>
      </c>
      <c r="N3" s="1592" t="s">
        <v>1694</v>
      </c>
      <c r="O3" s="1592" t="s">
        <v>1699</v>
      </c>
      <c r="P3" s="1590" t="s">
        <v>1298</v>
      </c>
      <c r="Q3" s="1592" t="s">
        <v>49</v>
      </c>
      <c r="S3" s="1592" t="s">
        <v>1694</v>
      </c>
      <c r="T3" s="1592" t="s">
        <v>1699</v>
      </c>
      <c r="U3" s="1590" t="s">
        <v>1298</v>
      </c>
      <c r="V3" s="1592" t="s">
        <v>49</v>
      </c>
    </row>
    <row r="4" spans="1:32" s="1598" customFormat="1" ht="14.4">
      <c r="A4" s="1593" t="s">
        <v>1743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1790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1744</v>
      </c>
      <c r="Y6" s="1619"/>
      <c r="Z6" s="1619"/>
      <c r="AA6" s="1619"/>
    </row>
    <row r="7" spans="1:32">
      <c r="A7" s="1620" t="s">
        <v>1789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1788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1787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1786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1784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1783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1782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1781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1760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1759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1757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1758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1752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1747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1746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1745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1742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1739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1639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1640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276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275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265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274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273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272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271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270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269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268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267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266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1641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1642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1643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1644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1645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1646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1647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1648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1649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1650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1651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1652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1653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1654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1655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1656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1657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1658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1659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1660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1661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1662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1663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1664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1665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1666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1667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1668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1669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1670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1671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1672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1673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1674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1675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1676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1677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1678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1679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1680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1681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1682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1683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1684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1685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1686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1687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1688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1695</v>
      </c>
      <c r="G89" s="1705"/>
      <c r="N89" s="1705"/>
      <c r="S89" s="1705"/>
    </row>
    <row r="90" spans="1:32" s="1704" customFormat="1">
      <c r="A90" s="1704" t="s">
        <v>1696</v>
      </c>
      <c r="G90" s="1705"/>
      <c r="N90" s="1705"/>
      <c r="S90" s="1705"/>
    </row>
    <row r="91" spans="1:32" s="1704" customFormat="1">
      <c r="A91" s="1704" t="s">
        <v>1697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1698</v>
      </c>
      <c r="G92" s="1705"/>
      <c r="N92" s="1705"/>
      <c r="S92" s="1705"/>
    </row>
    <row r="99" spans="14:29" ht="13.8" thickBot="1"/>
    <row r="100" spans="14:29" ht="24">
      <c r="S100" s="1708" t="s">
        <v>1689</v>
      </c>
      <c r="T100" s="1709" t="s">
        <v>1690</v>
      </c>
      <c r="U100" s="1709" t="s">
        <v>1691</v>
      </c>
      <c r="V100" s="1709" t="s">
        <v>1692</v>
      </c>
      <c r="W100" s="1710" t="s">
        <v>1693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5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968</v>
      </c>
      <c r="H1" s="249">
        <f>'2014基准地价'!M18</f>
        <v>4</v>
      </c>
      <c r="I1" s="1409" t="s">
        <v>1632</v>
      </c>
      <c r="J1" s="1423" t="str">
        <f>'2014基准地价'!N19</f>
        <v>2017-1</v>
      </c>
      <c r="K1" s="298"/>
      <c r="L1" s="1421" t="s">
        <v>968</v>
      </c>
      <c r="M1" s="249">
        <f>'2002基准地价'!B24</f>
        <v>53</v>
      </c>
      <c r="N1" s="1409" t="s">
        <v>1632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263</v>
      </c>
      <c r="B3" s="1407" t="s">
        <v>277</v>
      </c>
      <c r="C3" s="1407" t="s">
        <v>279</v>
      </c>
      <c r="D3" s="1407" t="s">
        <v>1299</v>
      </c>
      <c r="E3" s="1407" t="s">
        <v>1346</v>
      </c>
      <c r="F3" s="1412" t="s">
        <v>2</v>
      </c>
      <c r="G3" s="1415" t="s">
        <v>277</v>
      </c>
      <c r="H3" s="1407" t="s">
        <v>0</v>
      </c>
      <c r="I3" s="1407" t="s">
        <v>1299</v>
      </c>
      <c r="J3" s="1407" t="s">
        <v>1346</v>
      </c>
      <c r="K3" s="1412" t="s">
        <v>2</v>
      </c>
      <c r="L3" s="1415" t="s">
        <v>277</v>
      </c>
      <c r="M3" s="1407" t="s">
        <v>0</v>
      </c>
      <c r="N3" s="1407" t="s">
        <v>1299</v>
      </c>
      <c r="O3" s="1407" t="s">
        <v>1346</v>
      </c>
      <c r="P3" s="1407" t="s">
        <v>2</v>
      </c>
    </row>
    <row r="4" spans="1:23">
      <c r="A4" s="665" t="s">
        <v>1583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1624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1625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1629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1733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951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951</v>
      </c>
      <c r="D7" s="1257"/>
      <c r="E7" s="1268"/>
      <c r="F7" s="1274" t="s">
        <v>1188</v>
      </c>
      <c r="G7" s="1275" t="s">
        <v>1190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1189</v>
      </c>
      <c r="G8" s="1270" t="s">
        <v>1191</v>
      </c>
    </row>
    <row r="9" spans="1:18" ht="34.799999999999997">
      <c r="A9" s="1265"/>
      <c r="B9" s="1274" t="s">
        <v>1188</v>
      </c>
      <c r="C9" s="1270" t="s">
        <v>1190</v>
      </c>
      <c r="D9" s="1257"/>
      <c r="E9" s="1268"/>
      <c r="F9" s="1269" t="s">
        <v>9</v>
      </c>
      <c r="G9" s="1276"/>
    </row>
    <row r="10" spans="1:18">
      <c r="A10" s="1265"/>
      <c r="B10" s="1274" t="s">
        <v>1189</v>
      </c>
      <c r="C10" s="1270" t="s">
        <v>1191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1701</v>
      </c>
      <c r="B1" s="1730">
        <f>SUM(B14:B23)</f>
        <v>0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1702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1703</v>
      </c>
      <c r="B3" s="1734">
        <f>主表!B3</f>
        <v>42077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1704</v>
      </c>
      <c r="B4" s="1730" t="s">
        <v>1705</v>
      </c>
      <c r="C4" s="1730" t="s">
        <v>1706</v>
      </c>
      <c r="D4" s="1730" t="s">
        <v>1707</v>
      </c>
      <c r="E4" s="1728"/>
      <c r="F4" s="1731"/>
      <c r="G4" s="1731"/>
      <c r="H4" s="1732"/>
      <c r="I4" s="1732"/>
    </row>
    <row r="5" spans="1:10" ht="15.6">
      <c r="A5" s="1730" t="s">
        <v>1708</v>
      </c>
      <c r="B5" s="1730">
        <f>SUM(D14:D23)</f>
        <v>0</v>
      </c>
      <c r="C5" s="1730" t="e">
        <f>ROUND(B5*10000/$B$1,0)</f>
        <v>#DIV/0!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1709</v>
      </c>
      <c r="B6" s="1730">
        <f>SUM(G14:G23)</f>
        <v>0</v>
      </c>
      <c r="C6" s="1730" t="e">
        <f>ROUND(B6*10000/$B$1,0)</f>
        <v>#DIV/0!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1710</v>
      </c>
      <c r="B7" s="1730">
        <f>SUM(H14:H23)</f>
        <v>0</v>
      </c>
      <c r="C7" s="1730" t="e">
        <f>ROUND(B7*10000/$B$1,0)</f>
        <v>#DIV/0!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1711</v>
      </c>
      <c r="B8" s="1730">
        <f>SUM(I14:I23)</f>
        <v>0</v>
      </c>
      <c r="C8" s="1730" t="e">
        <f>ROUND(B8*10000/$B$1,0)</f>
        <v>#DIV/0!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1712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1713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1732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1714</v>
      </c>
      <c r="B13" s="1736" t="s">
        <v>1715</v>
      </c>
      <c r="C13" s="1736" t="s">
        <v>1716</v>
      </c>
      <c r="D13" s="1736" t="s">
        <v>1717</v>
      </c>
      <c r="E13" s="1730" t="s">
        <v>1706</v>
      </c>
      <c r="F13" s="1730" t="s">
        <v>1718</v>
      </c>
      <c r="G13" s="1736" t="s">
        <v>1719</v>
      </c>
      <c r="H13" s="1736" t="s">
        <v>1720</v>
      </c>
      <c r="I13" s="1736" t="s">
        <v>1721</v>
      </c>
      <c r="J13" s="1737"/>
    </row>
    <row r="14" spans="1:10" ht="15.6">
      <c r="A14" s="1738" t="s">
        <v>1722</v>
      </c>
      <c r="B14" s="1739">
        <f>主表!B7</f>
        <v>0</v>
      </c>
      <c r="C14" s="1739">
        <f>主表!B6</f>
        <v>0</v>
      </c>
      <c r="D14" s="1739"/>
      <c r="E14" s="1739" t="e">
        <f>ROUND(D14*10000/B14,0)</f>
        <v>#DIV/0!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1723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1724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1725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1726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1727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1728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1729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1730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1731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83" t="s">
        <v>1352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4.4">
      <c r="A3" s="1784" t="s">
        <v>1353</v>
      </c>
      <c r="B3" s="1785"/>
      <c r="C3" s="1786"/>
      <c r="D3" s="1787" t="s">
        <v>1354</v>
      </c>
      <c r="E3" s="1785"/>
      <c r="F3" s="1785"/>
      <c r="G3" s="1788"/>
      <c r="H3" s="1743"/>
      <c r="I3" s="1742"/>
      <c r="X3" s="221"/>
      <c r="AG3" s="189"/>
    </row>
    <row r="4" spans="1:33" ht="28.8">
      <c r="A4" s="1292" t="s">
        <v>1355</v>
      </c>
      <c r="B4" s="1293" t="s">
        <v>1356</v>
      </c>
      <c r="C4" s="1294" t="s">
        <v>1357</v>
      </c>
      <c r="D4" s="1789" t="s">
        <v>1355</v>
      </c>
      <c r="E4" s="1781"/>
      <c r="F4" s="1293" t="s">
        <v>1356</v>
      </c>
      <c r="G4" s="1295" t="s">
        <v>1358</v>
      </c>
      <c r="H4" s="1743"/>
      <c r="I4" s="1742"/>
      <c r="X4" s="221"/>
      <c r="AG4" s="189"/>
    </row>
    <row r="5" spans="1:33" ht="14.4">
      <c r="A5" s="1790" t="s">
        <v>1359</v>
      </c>
      <c r="B5" s="1775">
        <f ca="1">主表!F5</f>
        <v>15796</v>
      </c>
      <c r="C5" s="1791" t="s">
        <v>1360</v>
      </c>
      <c r="D5" s="1781" t="s">
        <v>1361</v>
      </c>
      <c r="E5" s="1782"/>
      <c r="F5" s="1296">
        <f>SUM(F6:F10)</f>
        <v>0</v>
      </c>
      <c r="G5" s="1297" t="s">
        <v>1634</v>
      </c>
      <c r="H5" s="1743"/>
      <c r="I5" s="1742"/>
      <c r="X5" s="221"/>
      <c r="AG5" s="189"/>
    </row>
    <row r="6" spans="1:33" ht="43.2">
      <c r="A6" s="1790"/>
      <c r="B6" s="1775"/>
      <c r="C6" s="1791"/>
      <c r="D6" s="1792" t="s">
        <v>1382</v>
      </c>
      <c r="E6" s="1296" t="s">
        <v>1362</v>
      </c>
      <c r="F6" s="1296">
        <f>主表!F14</f>
        <v>0</v>
      </c>
      <c r="G6" s="1297" t="s">
        <v>1363</v>
      </c>
      <c r="H6" s="1743"/>
      <c r="I6" s="1742"/>
      <c r="X6" s="221"/>
      <c r="AG6" s="189"/>
    </row>
    <row r="7" spans="1:33" ht="14.4">
      <c r="A7" s="1790"/>
      <c r="B7" s="1775"/>
      <c r="C7" s="1791"/>
      <c r="D7" s="1792"/>
      <c r="E7" s="1296" t="s">
        <v>1364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90"/>
      <c r="B8" s="1775"/>
      <c r="C8" s="1791"/>
      <c r="D8" s="1777" t="s">
        <v>1383</v>
      </c>
      <c r="E8" s="1778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90"/>
      <c r="B9" s="1775"/>
      <c r="C9" s="1791"/>
      <c r="D9" s="1777" t="s">
        <v>1384</v>
      </c>
      <c r="E9" s="1778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90"/>
      <c r="B10" s="1775"/>
      <c r="C10" s="1791"/>
      <c r="D10" s="1777" t="s">
        <v>1385</v>
      </c>
      <c r="E10" s="1778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1365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81" t="s">
        <v>1366</v>
      </c>
      <c r="E11" s="1782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1367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前期开发期为年，贷款利率为3.00%，计息期为年，复利计息</v>
      </c>
      <c r="D12" s="1781" t="s">
        <v>1368</v>
      </c>
      <c r="E12" s="1782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3"/>
      <c r="I12" s="1742"/>
      <c r="X12" s="221"/>
      <c r="AG12" s="189"/>
    </row>
    <row r="13" spans="1:33" ht="28.8">
      <c r="A13" s="1292" t="s">
        <v>1369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81" t="s">
        <v>1369</v>
      </c>
      <c r="E13" s="1782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1370</v>
      </c>
      <c r="B14" s="1296">
        <f ca="1">SUM(B5:B13)</f>
        <v>15796</v>
      </c>
      <c r="C14" s="1299" t="s">
        <v>1371</v>
      </c>
      <c r="D14" s="1781" t="s">
        <v>1370</v>
      </c>
      <c r="E14" s="1782"/>
      <c r="F14" s="1296">
        <f ca="1">F5+F11+F12+F13</f>
        <v>0</v>
      </c>
      <c r="G14" s="1297" t="s">
        <v>1371</v>
      </c>
      <c r="H14" s="1743"/>
      <c r="I14" s="1742"/>
      <c r="X14" s="221"/>
      <c r="AG14" s="189"/>
    </row>
    <row r="15" spans="1:33" ht="29.4" thickBot="1">
      <c r="A15" s="1292" t="s">
        <v>1372</v>
      </c>
      <c r="B15" s="1775">
        <f ca="1">主表!F24</f>
        <v>15796</v>
      </c>
      <c r="C15" s="1776"/>
      <c r="D15" s="1777" t="s">
        <v>1373</v>
      </c>
      <c r="E15" s="1778"/>
      <c r="F15" s="1778"/>
      <c r="G15" s="1779"/>
      <c r="H15" s="1743"/>
      <c r="I15" s="1742"/>
      <c r="X15" s="221"/>
      <c r="AG15" s="189"/>
    </row>
    <row r="16" spans="1:33" ht="29.4" thickBot="1">
      <c r="A16" s="1292" t="s">
        <v>1374</v>
      </c>
      <c r="B16" s="1775">
        <f ca="1">主表!F25</f>
        <v>0</v>
      </c>
      <c r="C16" s="1776"/>
      <c r="D16" s="1777" t="s">
        <v>1375</v>
      </c>
      <c r="E16" s="1778"/>
      <c r="F16" s="1778"/>
      <c r="G16" s="1779"/>
      <c r="H16" s="1301" t="str">
        <f ca="1">NUMBERSTRING(INT(B16*10000),2)&amp;"元整"</f>
        <v>零元整</v>
      </c>
      <c r="I16" s="1302"/>
      <c r="X16" s="221"/>
      <c r="AG16" s="189"/>
    </row>
    <row r="17" spans="1:33" ht="14.4">
      <c r="A17" s="1292" t="s">
        <v>1376</v>
      </c>
      <c r="B17" s="1780">
        <f>主表!F33</f>
        <v>0</v>
      </c>
      <c r="C17" s="1776"/>
      <c r="D17" s="1777" t="s">
        <v>1377</v>
      </c>
      <c r="E17" s="1778"/>
      <c r="F17" s="1778"/>
      <c r="G17" s="1779"/>
      <c r="H17" s="1743"/>
      <c r="I17" s="1742"/>
      <c r="X17" s="221"/>
      <c r="AG17" s="189"/>
    </row>
    <row r="18" spans="1:33" ht="29.4" thickBot="1">
      <c r="A18" s="1292" t="s">
        <v>1378</v>
      </c>
      <c r="B18" s="1775">
        <f ca="1">主表!F35</f>
        <v>0</v>
      </c>
      <c r="C18" s="1776"/>
      <c r="D18" s="1777" t="s">
        <v>1379</v>
      </c>
      <c r="E18" s="1778"/>
      <c r="F18" s="1778"/>
      <c r="G18" s="1779"/>
      <c r="H18" s="1743"/>
      <c r="I18" s="1742"/>
      <c r="X18" s="221"/>
      <c r="AG18" s="189"/>
    </row>
    <row r="19" spans="1:33" ht="29.4" thickBot="1">
      <c r="A19" s="1300" t="s">
        <v>1380</v>
      </c>
      <c r="B19" s="1770">
        <f ca="1">主表!F36</f>
        <v>0</v>
      </c>
      <c r="C19" s="1771"/>
      <c r="D19" s="1772" t="s">
        <v>1381</v>
      </c>
      <c r="E19" s="1773"/>
      <c r="F19" s="1773"/>
      <c r="G19" s="1774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5" sqref="B15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v>42077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60</v>
      </c>
    </row>
    <row r="4" spans="1:18" ht="15.75" customHeight="1">
      <c r="A4" s="1191" t="s">
        <v>1775</v>
      </c>
      <c r="B4" s="1565">
        <f>B3</f>
        <v>42077</v>
      </c>
      <c r="C4" s="1164"/>
      <c r="D4" s="1171" t="s">
        <v>1275</v>
      </c>
      <c r="E4" s="1172" t="s">
        <v>1568</v>
      </c>
      <c r="F4" s="1173">
        <f ca="1">F5+F8+F9+F10</f>
        <v>15796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 ca="1">IF(B4&lt;DATE(2002,12,10),F6,F6-F7)</f>
        <v>15796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 ca="1">IF(B4&lt;DATE(2002,12,10),'1993基准地价'!B3,IF(B4&gt;=DATE(2014,8,28),'2014基准地价'!B3,'2002基准地价'!B3))</f>
        <v>21062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/>
      <c r="C7" s="1164"/>
      <c r="D7" s="1183" t="s">
        <v>1268</v>
      </c>
      <c r="E7" s="1179" t="s">
        <v>1224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5266</v>
      </c>
      <c r="G7" s="1188"/>
      <c r="H7" s="1345"/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 ca="1">ROUND(F5*G8,0)</f>
        <v>0</v>
      </c>
      <c r="G8" s="646"/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2.5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250</v>
      </c>
      <c r="C10" s="1164"/>
      <c r="D10" s="1198">
        <v>4</v>
      </c>
      <c r="E10" s="1199" t="s">
        <v>1228</v>
      </c>
      <c r="F10" s="1200">
        <f ca="1">ROUND((F5+F8)*G10,0)</f>
        <v>0</v>
      </c>
      <c r="G10" s="504"/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1802</v>
      </c>
      <c r="C11" s="1164"/>
      <c r="D11" s="1204" t="s">
        <v>1281</v>
      </c>
      <c r="E11" s="1205" t="s">
        <v>1570</v>
      </c>
      <c r="F11" s="1173">
        <f ca="1">F12+F20+F21+F22</f>
        <v>0</v>
      </c>
      <c r="G11" s="1206"/>
      <c r="H11" s="1207" t="s">
        <v>1231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0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70</v>
      </c>
      <c r="C13" s="1164"/>
      <c r="D13" s="1183" t="s">
        <v>1267</v>
      </c>
      <c r="E13" s="1191" t="s">
        <v>1232</v>
      </c>
      <c r="F13" s="1192">
        <f>F14+F15</f>
        <v>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>
        <v>65617</v>
      </c>
      <c r="C14" s="1164"/>
      <c r="D14" s="1190" t="s">
        <v>1270</v>
      </c>
      <c r="E14" s="1191" t="s">
        <v>1233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64.489999999999995</v>
      </c>
      <c r="C15" s="1164"/>
      <c r="D15" s="1190" t="s">
        <v>1271</v>
      </c>
      <c r="E15" s="1191" t="s">
        <v>1234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0</v>
      </c>
      <c r="G16" s="503"/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 ca="1">IF(B4&lt;DATE(2002,12,10),'1993基准地价'!C23,IF(B4&gt;=DATE(2014,8,28),'2014基准地价'!G20,'2002基准地价'!E10))</f>
        <v>6.2E-2</v>
      </c>
      <c r="C17" s="1164"/>
      <c r="D17" s="1183" t="s">
        <v>1269</v>
      </c>
      <c r="E17" s="1191" t="s">
        <v>1238</v>
      </c>
      <c r="F17" s="1192">
        <f>F18+F19</f>
        <v>0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 ca="1">IF(ISERROR(ROUND(POWER(1+B17,B13-B15)*(POWER(1+B17,B15)-1)/(POWER(1+B17,B13)-1),3)),0,ROUND(POWER(1+B17,B13-B15)*(POWER(1+B17,B15)-1)/(POWER(1+B17,B13)-1),3))</f>
        <v>0.99399999999999999</v>
      </c>
      <c r="C18" s="1164"/>
      <c r="D18" s="1190" t="s">
        <v>1272</v>
      </c>
      <c r="E18" s="1191" t="s">
        <v>1282</v>
      </c>
      <c r="F18" s="1021">
        <f>ROUND(IF(B12="住宅/居住",F13*G18,0),0)</f>
        <v>0</v>
      </c>
      <c r="G18" s="503"/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1273</v>
      </c>
      <c r="E19" s="1191" t="s">
        <v>1240</v>
      </c>
      <c r="F19" s="1021">
        <f>ROUND(F13*G19,0)</f>
        <v>0</v>
      </c>
      <c r="G19" s="503"/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0</v>
      </c>
      <c r="G20" s="646"/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1572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/>
      <c r="C22" s="1164"/>
      <c r="D22" s="1198">
        <v>4</v>
      </c>
      <c r="E22" s="1199" t="s">
        <v>1573</v>
      </c>
      <c r="F22" s="1200">
        <f>ROUND((F12+F20)*G22,0)</f>
        <v>0</v>
      </c>
      <c r="G22" s="504"/>
      <c r="H22" s="1201" t="s">
        <v>1230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1779</v>
      </c>
      <c r="B23" s="1581"/>
      <c r="C23" s="1212"/>
      <c r="D23" s="1204" t="s">
        <v>1574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/>
      <c r="C24" s="1212"/>
      <c r="D24" s="1178">
        <v>1</v>
      </c>
      <c r="E24" s="1179" t="s">
        <v>1244</v>
      </c>
      <c r="F24" s="1021">
        <f ca="1">F4+F11</f>
        <v>15796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0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1225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</v>
      </c>
      <c r="G28" s="506"/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/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0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0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4" zoomScale="80" zoomScaleNormal="80" zoomScaleSheetLayoutView="89" workbookViewId="0">
      <selection activeCell="E77" sqref="E77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0</v>
      </c>
      <c r="E1" s="706" t="s">
        <v>1554</v>
      </c>
      <c r="F1" s="1311" t="s">
        <v>1793</v>
      </c>
      <c r="G1" s="1486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四级</v>
      </c>
      <c r="H2" s="811" t="s">
        <v>911</v>
      </c>
      <c r="I2" s="665" t="str">
        <f>主表!B11</f>
        <v>Ⅳ-01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21062</v>
      </c>
      <c r="C3" s="667" t="s">
        <v>913</v>
      </c>
      <c r="D3" s="714" t="s">
        <v>252</v>
      </c>
      <c r="E3" s="718" t="s">
        <v>1794</v>
      </c>
      <c r="F3" s="1459" t="s">
        <v>1795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5266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16310</v>
      </c>
      <c r="N4" s="438">
        <f>SUMPRODUCT(('2014因素修正幅度'!B49:B75=I2)*('2014因素修正幅度'!C3:F3=E2)*('2014因素修正幅度'!C49:F75))</f>
        <v>9.7000000000000003E-2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19572</v>
      </c>
      <c r="D5" s="1540">
        <f>ROUND(C6+C16,0)</f>
        <v>16310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16310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924</v>
      </c>
      <c r="C16" s="1471">
        <f>ROUND(IF(F17="与级别开发程度一致",0,(G17-E17)/C17),0)</f>
        <v>0</v>
      </c>
      <c r="D16" s="1820" t="s">
        <v>927</v>
      </c>
      <c r="E16" s="1821"/>
      <c r="F16" s="1820" t="s">
        <v>925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5"/>
      <c r="B17" s="1556" t="s">
        <v>926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1796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928</v>
      </c>
      <c r="B18" s="1548" t="s">
        <v>929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968</v>
      </c>
      <c r="M18" s="1555">
        <f>ROUNDDOWN(IF(H19&gt;=E19,DATEDIF(E19,H19,"M")/3,DATEDIF(H19,E19,"M")/3),0)</f>
        <v>4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3">
        <f>IF(H19&lt;DATE(2014,8,28),0,ROUND(I19/F19,4))</f>
        <v>1.0378000000000001</v>
      </c>
      <c r="D19" s="1466" t="s">
        <v>261</v>
      </c>
      <c r="E19" s="1505">
        <v>41640</v>
      </c>
      <c r="F19" s="1506">
        <f>ROUND(SUMIF(地价!B3:F3,E2,地价!B38:F38),0)</f>
        <v>423</v>
      </c>
      <c r="G19" s="1466" t="s">
        <v>262</v>
      </c>
      <c r="H19" s="1308">
        <f>主表!B4</f>
        <v>42077</v>
      </c>
      <c r="I19" s="1507">
        <f>ROUND(SUMPRODUCT((地价!A5:A38=YEAR(H19)&amp;"-"&amp;ROUNDUP(MONTH(H19)/3,0))*(地价!B3:F3=E2)*(地价!B5:F38)),0)</f>
        <v>439</v>
      </c>
      <c r="J19" s="1508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4">
        <f ca="1">ROUND(POWER(1+G20,J20-I20)*(POWER(1+G20,I20)-1)/(POWER(1+G20,J20)-1),4)</f>
        <v>0.99409999999999998</v>
      </c>
      <c r="D20" s="1467" t="s">
        <v>934</v>
      </c>
      <c r="E20" s="1468">
        <f ca="1">INDIRECT("'存贷款利率'!e"&amp;存贷款利率!$K$4)/100</f>
        <v>5.3499999999999999E-2</v>
      </c>
      <c r="F20" s="1465" t="s">
        <v>935</v>
      </c>
      <c r="G20" s="1469">
        <f ca="1">SUMIF(P18:S18,E2,P20:S20)</f>
        <v>6.2E-2</v>
      </c>
      <c r="H20" s="1470" t="s">
        <v>1633</v>
      </c>
      <c r="I20" s="1022">
        <f>IF(H20="剩余土地使用年限",主表!B15,主表!B16)</f>
        <v>64.489999999999995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6.7000000000000004E-2</v>
      </c>
      <c r="Q20" s="608">
        <f ca="1">ROUND($E$20*(1+Q19),3)</f>
        <v>6.4000000000000001E-2</v>
      </c>
      <c r="R20" s="608">
        <f ca="1">ROUND($E$20*(1+R19),3)</f>
        <v>6.2E-2</v>
      </c>
      <c r="S20" s="935">
        <f ca="1">ROUND($E$20*(1+S19),3)</f>
        <v>5.8999999999999997E-2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60" t="s">
        <v>1480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1.0430999999999999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21062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5266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1738</v>
      </c>
      <c r="B33" s="912" t="s">
        <v>281</v>
      </c>
      <c r="C33" s="27">
        <f ca="1">ROUND(D5*C19*C20*C24*F33,0)</f>
        <v>12286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3072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282</v>
      </c>
      <c r="C34" s="27">
        <f ca="1">ROUND(D5*C19*C20*C24*F34,0)</f>
        <v>7021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1755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283</v>
      </c>
      <c r="C35" s="27">
        <f ca="1">ROUND(D5*C19*C20*C24*F35,0)</f>
        <v>4915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1229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284</v>
      </c>
      <c r="C36" s="27">
        <f ca="1">ROUND(D5*C19*C20*C24*F36,0)</f>
        <v>4388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1097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4388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1097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1751</v>
      </c>
      <c r="C41" s="1543">
        <f ca="1">ROUND(POWER(1+E41,H41-G41)*(POWER(1+E41,G41)-1)/(POWER(1+E41,H41)-1),4)</f>
        <v>0</v>
      </c>
      <c r="D41" s="26" t="s">
        <v>1748</v>
      </c>
      <c r="E41" s="1541">
        <f ca="1">G20</f>
        <v>6.2E-2</v>
      </c>
      <c r="F41" s="26" t="s">
        <v>1749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6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7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6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7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1.0430999999999999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4.3099999999999999E-2</v>
      </c>
      <c r="F70" s="937">
        <f>IF(E2="住宅/居住",SUMIF(L1:L12,G2,N1:N12),"——")</f>
        <v>9.7000000000000003E-2</v>
      </c>
      <c r="G70" s="491">
        <v>6.8600000000000006E-3</v>
      </c>
      <c r="H70" s="494">
        <f t="shared" ref="H70:H78" si="15">IFERROR($F$70*I70/2,"——")</f>
        <v>6.7900000000000009E-3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1797</v>
      </c>
      <c r="D71" s="490">
        <f t="shared" si="14"/>
        <v>1.47E-2</v>
      </c>
      <c r="E71" s="263"/>
      <c r="F71" s="938"/>
      <c r="G71" s="491">
        <v>1.47E-2</v>
      </c>
      <c r="H71" s="494">
        <f t="shared" si="15"/>
        <v>1.455E-2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15</v>
      </c>
      <c r="D72" s="490">
        <f t="shared" si="14"/>
        <v>0</v>
      </c>
      <c r="E72" s="263"/>
      <c r="F72" s="938"/>
      <c r="G72" s="491">
        <v>3.9199999999999999E-3</v>
      </c>
      <c r="H72" s="494">
        <f t="shared" si="15"/>
        <v>3.8800000000000002E-3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1.9599999999999999E-3</v>
      </c>
      <c r="E73" s="263"/>
      <c r="F73" s="938"/>
      <c r="G73" s="491">
        <v>1.9599999999999999E-3</v>
      </c>
      <c r="H73" s="494">
        <f t="shared" si="15"/>
        <v>1.9400000000000001E-3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3.8800000000000002E-3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1797</v>
      </c>
      <c r="D75" s="490">
        <f t="shared" si="14"/>
        <v>5.8799999999999998E-3</v>
      </c>
      <c r="E75" s="263"/>
      <c r="F75" s="938"/>
      <c r="G75" s="491">
        <v>5.8799999999999998E-3</v>
      </c>
      <c r="H75" s="494">
        <f t="shared" si="15"/>
        <v>5.8199999999999997E-3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7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2.4250000000000001E-3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7.2750000000000002E-3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15</v>
      </c>
      <c r="D78" s="490">
        <f t="shared" si="14"/>
        <v>0</v>
      </c>
      <c r="E78" s="264"/>
      <c r="F78" s="938"/>
      <c r="G78" s="491">
        <v>1.9599999999999999E-3</v>
      </c>
      <c r="H78" s="494">
        <f t="shared" si="15"/>
        <v>1.9400000000000001E-3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7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1158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1159</v>
      </c>
      <c r="B92" s="1805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06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1479</v>
      </c>
      <c r="B102" s="943" t="s">
        <v>1482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07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07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07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07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07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07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07"/>
      <c r="B109" s="1809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04" t="s">
        <v>1174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2.5</v>
      </c>
      <c r="C114" s="925" t="s">
        <v>1466</v>
      </c>
      <c r="D114" s="351">
        <f>SUMPRODUCT((A116:A119=F114)*(B115:M115=H114)*B116:M119)</f>
        <v>0.8548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16310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2026-04-13T07:02:06Z</dcterms:modified>
</cp:coreProperties>
</file>