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2.咨询报告\2026-1-0205北京市朝阳区林萃路1号院1号楼8层2单元802\"/>
    </mc:Choice>
  </mc:AlternateContent>
  <bookViews>
    <workbookView xWindow="0" yWindow="0" windowWidth="24780" windowHeight="13332" tabRatio="787" firstSheet="3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K15" i="66" s="1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D33" i="66" s="1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8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1" i="66"/>
  <c r="D20" i="66"/>
  <c r="D18" i="66"/>
  <c r="D17" i="66"/>
  <c r="D16" i="66"/>
  <c r="I15" i="66" s="1"/>
  <c r="D15" i="66"/>
  <c r="D14" i="66"/>
  <c r="D13" i="66"/>
  <c r="D12" i="66"/>
  <c r="D11" i="66"/>
  <c r="D10" i="66"/>
  <c r="D9" i="66"/>
  <c r="I9" i="66" s="1"/>
  <c r="H17" i="66"/>
  <c r="H16" i="66"/>
  <c r="H15" i="66"/>
  <c r="H14" i="66"/>
  <c r="K13" i="66"/>
  <c r="H13" i="66"/>
  <c r="H12" i="66"/>
  <c r="H11" i="66"/>
  <c r="H10" i="66"/>
  <c r="H9" i="66"/>
  <c r="H7" i="66"/>
  <c r="H5" i="66"/>
  <c r="D50" i="66"/>
  <c r="D44" i="66"/>
  <c r="D40" i="66"/>
  <c r="D29" i="66"/>
  <c r="J13" i="66"/>
  <c r="J2" i="66"/>
  <c r="N23" i="43" s="1"/>
  <c r="U62" i="66"/>
  <c r="C62" i="66" s="1"/>
  <c r="D62" i="66" s="1"/>
  <c r="T63" i="66"/>
  <c r="B63" i="66" s="1"/>
  <c r="AB62" i="66"/>
  <c r="T60" i="66"/>
  <c r="B60" i="66" s="1"/>
  <c r="V62" i="66"/>
  <c r="E62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 s="1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 s="1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 s="1"/>
  <c r="B19" i="62"/>
  <c r="B82" i="62"/>
  <c r="B20" i="62"/>
  <c r="B83" i="62" s="1"/>
  <c r="B21" i="62"/>
  <c r="B84" i="62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/>
  <c r="N11" i="62"/>
  <c r="H74" i="62" s="1"/>
  <c r="N10" i="62"/>
  <c r="H73" i="62"/>
  <c r="F16" i="62"/>
  <c r="D79" i="62" s="1"/>
  <c r="F15" i="62"/>
  <c r="D78" i="62"/>
  <c r="F14" i="62"/>
  <c r="D77" i="62" s="1"/>
  <c r="F13" i="62"/>
  <c r="D76" i="62"/>
  <c r="F12" i="62"/>
  <c r="D75" i="62" s="1"/>
  <c r="F11" i="62"/>
  <c r="D74" i="62"/>
  <c r="F10" i="62"/>
  <c r="D73" i="62" s="1"/>
  <c r="D11" i="62"/>
  <c r="C74" i="62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F114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D62" i="63"/>
  <c r="D70" i="63"/>
  <c r="D72" i="63"/>
  <c r="D74" i="63"/>
  <c r="D75" i="63"/>
  <c r="D73" i="63"/>
  <c r="D71" i="63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 s="1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 s="1"/>
  <c r="C100" i="43"/>
  <c r="C109" i="43" s="1"/>
  <c r="H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0" i="43"/>
  <c r="D76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F83" i="39" s="1"/>
  <c r="G83" i="39" s="1"/>
  <c r="D81" i="39"/>
  <c r="E81" i="39" s="1"/>
  <c r="J19" i="39" s="1"/>
  <c r="AC19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AB41" i="39" s="1"/>
  <c r="U41" i="39"/>
  <c r="U45" i="39"/>
  <c r="J45" i="39"/>
  <c r="H23" i="39"/>
  <c r="U23" i="39"/>
  <c r="F85" i="39"/>
  <c r="G85" i="39" s="1"/>
  <c r="S34" i="39"/>
  <c r="J17" i="39"/>
  <c r="W17" i="39" s="1"/>
  <c r="J21" i="39"/>
  <c r="AC21" i="39" s="1"/>
  <c r="F21" i="39"/>
  <c r="AA21" i="39" s="1"/>
  <c r="H19" i="39"/>
  <c r="W34" i="39"/>
  <c r="S23" i="39"/>
  <c r="U10" i="39"/>
  <c r="S10" i="39"/>
  <c r="W10" i="39"/>
  <c r="AC10" i="39"/>
  <c r="S43" i="39"/>
  <c r="AB23" i="39"/>
  <c r="E48" i="43"/>
  <c r="B46" i="43" s="1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C17" i="43"/>
  <c r="A12" i="43"/>
  <c r="F59" i="43"/>
  <c r="H65" i="43" s="1"/>
  <c r="F17" i="59"/>
  <c r="F12" i="59" s="1"/>
  <c r="G7" i="65"/>
  <c r="H5" i="65"/>
  <c r="G6" i="65"/>
  <c r="H8" i="65"/>
  <c r="H6" i="65"/>
  <c r="H4" i="65"/>
  <c r="H7" i="65"/>
  <c r="G5" i="65"/>
  <c r="G4" i="65"/>
  <c r="J2" i="65" l="1"/>
  <c r="G10" i="63"/>
  <c r="C10" i="63" s="1"/>
  <c r="N7" i="43"/>
  <c r="N4" i="43"/>
  <c r="E22" i="43"/>
  <c r="F74" i="63"/>
  <c r="G74" i="63" s="1"/>
  <c r="E20" i="64"/>
  <c r="E70" i="63"/>
  <c r="B68" i="63" s="1"/>
  <c r="J43" i="63"/>
  <c r="I43" i="63" s="1"/>
  <c r="W13" i="39"/>
  <c r="AC13" i="39"/>
  <c r="AC32" i="39"/>
  <c r="W32" i="39"/>
  <c r="U35" i="39"/>
  <c r="AB35" i="39"/>
  <c r="G16" i="66"/>
  <c r="G6" i="66"/>
  <c r="J7" i="39"/>
  <c r="AC7" i="39" s="1"/>
  <c r="V47" i="39" s="1"/>
  <c r="I47" i="39" s="1"/>
  <c r="H8" i="44"/>
  <c r="N9" i="43"/>
  <c r="M5" i="43"/>
  <c r="AC37" i="39"/>
  <c r="M10" i="43"/>
  <c r="T66" i="67"/>
  <c r="D66" i="67"/>
  <c r="T70" i="67"/>
  <c r="C69" i="67"/>
  <c r="U38" i="39"/>
  <c r="H9" i="44"/>
  <c r="D101" i="43"/>
  <c r="F71" i="63"/>
  <c r="G71" i="63" s="1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I3" i="63"/>
  <c r="H5" i="44"/>
  <c r="N10" i="43"/>
  <c r="N5" i="43"/>
  <c r="M6" i="43"/>
  <c r="AC15" i="39"/>
  <c r="F81" i="39"/>
  <c r="G81" i="39" s="1"/>
  <c r="H21" i="39"/>
  <c r="U37" i="39"/>
  <c r="AC41" i="39"/>
  <c r="S39" i="39"/>
  <c r="S13" i="39"/>
  <c r="M3" i="43"/>
  <c r="H13" i="39"/>
  <c r="J36" i="39"/>
  <c r="D78" i="43"/>
  <c r="U29" i="39"/>
  <c r="J60" i="63"/>
  <c r="I60" i="63" s="1"/>
  <c r="J61" i="63"/>
  <c r="I61" i="63" s="1"/>
  <c r="F64" i="63"/>
  <c r="G64" i="63" s="1"/>
  <c r="D64" i="63" s="1"/>
  <c r="F54" i="63"/>
  <c r="G54" i="63" s="1"/>
  <c r="F28" i="59"/>
  <c r="W64" i="66"/>
  <c r="F64" i="66" s="1"/>
  <c r="W65" i="66"/>
  <c r="F65" i="66" s="1"/>
  <c r="J6" i="66"/>
  <c r="V60" i="66"/>
  <c r="E60" i="66" s="1"/>
  <c r="V61" i="66"/>
  <c r="E61" i="66" s="1"/>
  <c r="D78" i="67"/>
  <c r="E64" i="67"/>
  <c r="C77" i="67"/>
  <c r="C7" i="68"/>
  <c r="B2" i="68"/>
  <c r="D8" i="68" s="1"/>
  <c r="F14" i="68"/>
  <c r="F19" i="39"/>
  <c r="AA19" i="39" s="1"/>
  <c r="F75" i="63"/>
  <c r="G75" i="63" s="1"/>
  <c r="F48" i="63"/>
  <c r="G48" i="63" s="1"/>
  <c r="J52" i="63"/>
  <c r="I52" i="63" s="1"/>
  <c r="H16" i="63"/>
  <c r="N1" i="43"/>
  <c r="N8" i="43"/>
  <c r="S21" i="39"/>
  <c r="U42" i="39"/>
  <c r="M12" i="43"/>
  <c r="AB40" i="39"/>
  <c r="W42" i="39"/>
  <c r="W39" i="39"/>
  <c r="E81" i="43"/>
  <c r="B79" i="43" s="1"/>
  <c r="D74" i="43"/>
  <c r="L101" i="43"/>
  <c r="J73" i="63"/>
  <c r="I73" i="63" s="1"/>
  <c r="J66" i="63"/>
  <c r="I66" i="63" s="1"/>
  <c r="F57" i="63"/>
  <c r="G57" i="63" s="1"/>
  <c r="J63" i="63"/>
  <c r="I63" i="63" s="1"/>
  <c r="D27" i="64"/>
  <c r="D29" i="64"/>
  <c r="I20" i="43"/>
  <c r="V63" i="66"/>
  <c r="E63" i="66" s="1"/>
  <c r="D70" i="67"/>
  <c r="B41" i="67"/>
  <c r="B42" i="67" s="1"/>
  <c r="S42" i="67" s="1"/>
  <c r="D44" i="67"/>
  <c r="C45" i="67"/>
  <c r="D45" i="67" s="1"/>
  <c r="B57" i="67"/>
  <c r="B58" i="67" s="1"/>
  <c r="S58" i="67" s="1"/>
  <c r="E14" i="68"/>
  <c r="B53" i="67"/>
  <c r="B54" i="67" s="1"/>
  <c r="S54" i="67" s="1"/>
  <c r="C33" i="67"/>
  <c r="C57" i="67"/>
  <c r="D7" i="68"/>
  <c r="D72" i="43"/>
  <c r="C12" i="43"/>
  <c r="I106" i="43"/>
  <c r="I107" i="43"/>
  <c r="I103" i="43"/>
  <c r="I110" i="43"/>
  <c r="E102" i="43"/>
  <c r="K1" i="60"/>
  <c r="M1" i="60" s="1"/>
  <c r="C7" i="63" s="1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D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 s="1"/>
  <c r="F33" i="59" s="1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D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D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F20" i="59"/>
  <c r="F11" i="9" s="1"/>
  <c r="D17" i="43"/>
  <c r="L17" i="43"/>
  <c r="N17" i="43"/>
  <c r="E17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G8" i="65"/>
  <c r="E6" i="65"/>
  <c r="E4" i="65"/>
  <c r="E7" i="65"/>
  <c r="E5" i="65"/>
  <c r="D7" i="65"/>
  <c r="E8" i="65"/>
  <c r="H55" i="43" l="1"/>
  <c r="C6" i="43"/>
  <c r="H53" i="43"/>
  <c r="H52" i="43"/>
  <c r="P65" i="66"/>
  <c r="U21" i="39"/>
  <c r="AB21" i="39"/>
  <c r="D69" i="67"/>
  <c r="C68" i="67"/>
  <c r="D68" i="67" s="1"/>
  <c r="P64" i="67"/>
  <c r="P63" i="67"/>
  <c r="D41" i="67"/>
  <c r="C42" i="67"/>
  <c r="F19" i="43"/>
  <c r="E70" i="43"/>
  <c r="B68" i="43" s="1"/>
  <c r="C24" i="43" s="1"/>
  <c r="D6" i="68"/>
  <c r="C76" i="67"/>
  <c r="D76" i="67" s="1"/>
  <c r="D77" i="67"/>
  <c r="U13" i="39"/>
  <c r="AB13" i="39"/>
  <c r="V66" i="66"/>
  <c r="E66" i="66" s="1"/>
  <c r="O66" i="66" s="1"/>
  <c r="AA65" i="66"/>
  <c r="D5" i="68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G12" i="63"/>
  <c r="H12" i="63" s="1"/>
  <c r="E13" i="63"/>
  <c r="F13" i="63" s="1"/>
  <c r="D14" i="63"/>
  <c r="F12" i="63"/>
  <c r="G13" i="63"/>
  <c r="B80" i="63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D6" i="65"/>
  <c r="D4" i="65"/>
  <c r="D5" i="65"/>
  <c r="G3" i="65"/>
  <c r="D8" i="65"/>
  <c r="C5" i="43" l="1"/>
  <c r="V64" i="66"/>
  <c r="E64" i="66" s="1"/>
  <c r="V65" i="66"/>
  <c r="E65" i="66" s="1"/>
  <c r="O65" i="66" s="1"/>
  <c r="D42" i="67"/>
  <c r="T42" i="67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G1" i="65"/>
  <c r="G2" i="65"/>
  <c r="E20" i="43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57" i="66"/>
  <c r="O44" i="66"/>
  <c r="O24" i="66"/>
  <c r="O35" i="66"/>
  <c r="O47" i="66"/>
  <c r="O58" i="66"/>
  <c r="O54" i="66"/>
  <c r="O46" i="66"/>
  <c r="O40" i="66"/>
  <c r="O33" i="66"/>
  <c r="O20" i="66"/>
  <c r="O39" i="66"/>
  <c r="O36" i="66"/>
  <c r="O51" i="66"/>
  <c r="O52" i="66"/>
  <c r="O45" i="66"/>
  <c r="O38" i="66"/>
  <c r="O30" i="66"/>
  <c r="O25" i="66"/>
  <c r="O56" i="66"/>
  <c r="O17" i="66"/>
  <c r="O2" i="66" s="1"/>
  <c r="C29" i="63" s="1"/>
  <c r="O50" i="66"/>
  <c r="O29" i="66"/>
  <c r="O26" i="66"/>
  <c r="O48" i="66"/>
  <c r="O63" i="66"/>
  <c r="O43" i="66"/>
  <c r="O22" i="66"/>
  <c r="O21" i="66"/>
  <c r="O32" i="66"/>
  <c r="O53" i="66"/>
  <c r="O64" i="66"/>
  <c r="O27" i="66"/>
  <c r="O23" i="66"/>
  <c r="O31" i="66"/>
  <c r="O18" i="66"/>
  <c r="O37" i="66"/>
  <c r="O55" i="66"/>
  <c r="O62" i="66"/>
  <c r="O42" i="66"/>
  <c r="O59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C22" i="63"/>
  <c r="B5" i="63" s="1"/>
  <c r="E20" i="63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<sst xmlns="http://schemas.openxmlformats.org/spreadsheetml/2006/main" count="3973" uniqueCount="1803">
  <si>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</si>
  <si>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</si>
  <si>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</si>
  <si>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</si>
  <si>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</si>
  <si>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</si>
  <si>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</si>
  <si>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</si>
  <si>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</si>
  <si>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</si>
  <si>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</si>
  <si>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</si>
  <si>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</si>
  <si>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</si>
  <si>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</si>
  <si>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</si>
  <si>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</si>
  <si>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</si>
  <si>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</si>
  <si>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</si>
  <si>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</si>
  <si>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</si>
  <si>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</si>
  <si>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</si>
  <si>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</si>
  <si>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</si>
  <si>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</si>
  <si>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</si>
  <si>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</si>
  <si>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</si>
  <si>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</si>
  <si>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</si>
  <si>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</si>
  <si>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</si>
  <si>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</si>
  <si>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</si>
  <si>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</si>
  <si>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</si>
  <si>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</si>
  <si>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</si>
  <si>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</si>
  <si>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</si>
  <si>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</si>
  <si>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</si>
  <si>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</si>
  <si>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</si>
  <si>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</si>
  <si>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</si>
  <si>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</si>
  <si>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</si>
  <si>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</si>
  <si>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</si>
  <si>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</si>
  <si>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</si>
  <si>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</si>
  <si>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</si>
  <si>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</si>
  <si>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</si>
  <si>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</si>
  <si>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</si>
  <si>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</si>
  <si>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</si>
  <si>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</si>
  <si>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</si>
  <si>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</si>
  <si>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</si>
  <si>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</si>
  <si>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</si>
  <si>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</si>
  <si>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</si>
  <si>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</si>
  <si>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</si>
  <si>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</si>
  <si>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</si>
  <si>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</si>
  <si>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</si>
  <si>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</si>
  <si>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</si>
  <si>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</si>
  <si>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</si>
  <si>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</si>
  <si>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</si>
  <si>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</si>
  <si>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</si>
  <si>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</si>
  <si>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</si>
  <si>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</si>
  <si>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</si>
  <si>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</si>
  <si>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</si>
  <si>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</si>
  <si>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</si>
  <si>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</si>
  <si>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</si>
  <si>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</si>
  <si>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</si>
  <si>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</si>
  <si>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</si>
  <si>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</si>
  <si>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</si>
  <si>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</si>
  <si>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</si>
  <si>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</si>
  <si>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</si>
  <si>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</si>
  <si>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</si>
  <si>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</si>
  <si>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</si>
  <si>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</si>
  <si>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</si>
  <si>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</si>
  <si>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</si>
  <si>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</si>
  <si>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</si>
  <si>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</si>
  <si>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</si>
  <si>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</si>
  <si>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</si>
  <si>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</si>
  <si>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</si>
  <si>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</si>
  <si>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</si>
  <si>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</si>
  <si>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</si>
  <si>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</si>
  <si>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</si>
  <si>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</si>
  <si>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</si>
  <si>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</si>
  <si>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</si>
  <si>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</si>
  <si>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</si>
  <si>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</si>
  <si>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</si>
  <si>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</si>
  <si>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</si>
  <si>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</si>
  <si>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</si>
  <si>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</si>
  <si>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</si>
  <si>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</si>
  <si>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</si>
  <si>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</si>
  <si>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</si>
  <si>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</si>
  <si>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</si>
  <si>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</si>
  <si>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</si>
  <si>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</si>
  <si>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</si>
  <si>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</si>
  <si>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</si>
  <si>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</si>
  <si>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</si>
  <si>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</si>
  <si>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</si>
  <si>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</si>
  <si>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</si>
  <si>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</si>
  <si>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</si>
  <si>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</si>
  <si>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</si>
  <si>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</si>
  <si>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</si>
  <si>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</si>
  <si>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</si>
  <si>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</si>
  <si>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</si>
  <si>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</si>
  <si>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</si>
  <si>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</si>
  <si>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</si>
  <si>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</si>
  <si>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</si>
  <si>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</si>
  <si>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</si>
  <si>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</si>
  <si>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</si>
  <si>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</si>
  <si>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</si>
  <si>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</si>
  <si>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</si>
  <si>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</si>
  <si>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</si>
  <si>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</si>
  <si>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</si>
  <si>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</si>
  <si>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</si>
  <si>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</si>
  <si>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</si>
  <si>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</si>
  <si>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</si>
  <si>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</si>
  <si>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</si>
  <si>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</si>
  <si>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</si>
  <si>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</si>
  <si>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</si>
  <si>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</si>
  <si>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</si>
  <si>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</si>
  <si>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</si>
  <si>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</si>
  <si>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</si>
  <si>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</si>
  <si>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</si>
  <si>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</si>
  <si>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</si>
  <si>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</si>
  <si>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</si>
  <si>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</si>
  <si>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</si>
  <si>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</si>
  <si>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</si>
  <si>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</si>
  <si>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</si>
  <si>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</si>
  <si>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</si>
  <si>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</si>
  <si>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</si>
  <si>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</si>
  <si>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</si>
  <si>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</si>
  <si>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</si>
  <si>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</si>
  <si>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</si>
  <si>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</si>
  <si>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</si>
  <si>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</si>
  <si>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</si>
  <si>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</si>
  <si>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</si>
  <si>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</si>
  <si>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</si>
  <si>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</si>
  <si>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</si>
  <si>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</si>
  <si>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</si>
  <si>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</si>
  <si>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</si>
  <si>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</si>
  <si>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</si>
  <si>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</si>
  <si>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</si>
  <si>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</si>
  <si>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</si>
  <si>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</si>
  <si>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</si>
  <si>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</si>
  <si>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</si>
  <si>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</si>
  <si>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</si>
  <si>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</si>
  <si>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</si>
  <si>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</si>
  <si>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</si>
  <si>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</si>
  <si>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</si>
  <si>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</si>
  <si>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</si>
  <si>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</si>
  <si>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</si>
  <si>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</si>
  <si>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</si>
  <si>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</si>
  <si>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</si>
  <si>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</si>
  <si>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</si>
  <si>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</si>
  <si>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</si>
  <si>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</si>
  <si>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</si>
  <si>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</si>
  <si>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</si>
  <si>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</si>
  <si>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</si>
  <si>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</si>
  <si>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</si>
  <si>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</si>
  <si>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</si>
  <si>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</si>
  <si>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</si>
  <si>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</si>
  <si>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</si>
  <si>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</si>
  <si>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</si>
  <si>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</si>
  <si>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</si>
  <si>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</si>
  <si>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</si>
  <si>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</si>
  <si>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</si>
  <si>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</si>
  <si>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</si>
  <si>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</si>
  <si>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</si>
  <si>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</si>
  <si>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</si>
  <si>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</si>
  <si>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</si>
  <si>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</si>
  <si>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</si>
  <si>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</si>
  <si>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</si>
  <si>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</si>
  <si>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</si>
  <si>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</si>
  <si>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</si>
  <si>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</si>
  <si>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</si>
  <si>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</si>
  <si>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</si>
  <si>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</si>
  <si>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</si>
  <si>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</si>
  <si>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</si>
  <si>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</si>
  <si>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</si>
  <si>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</si>
  <si>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</si>
  <si>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</si>
  <si>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</si>
  <si>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</si>
  <si>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</si>
  <si>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</si>
  <si>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</si>
  <si>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</si>
  <si>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</si>
  <si>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</si>
  <si>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</si>
  <si>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</si>
  <si>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</si>
  <si>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</si>
  <si>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</si>
  <si>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</si>
  <si>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</si>
  <si>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</si>
  <si>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</si>
  <si>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</si>
  <si>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</si>
  <si>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</si>
  <si>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</si>
  <si>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</si>
  <si>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</si>
  <si>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</si>
  <si>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</si>
  <si>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</si>
  <si>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</si>
  <si>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</si>
  <si>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</si>
  <si>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</si>
  <si>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</si>
  <si>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</si>
  <si>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</si>
  <si>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</si>
  <si>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</si>
  <si>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</si>
  <si>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</si>
  <si>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</si>
  <si>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</si>
  <si>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</si>
  <si>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</si>
  <si>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</si>
  <si>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</si>
  <si>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</si>
  <si>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</si>
  <si>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</si>
  <si>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</si>
  <si>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</si>
  <si>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</si>
  <si>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</si>
  <si>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</si>
  <si>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</si>
  <si>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</si>
  <si>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</si>
  <si>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</si>
  <si>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</si>
  <si>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</si>
  <si>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</si>
  <si>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</si>
  <si>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</si>
  <si>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</si>
  <si>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</si>
  <si>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</si>
  <si>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</si>
  <si>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</si>
  <si>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</si>
  <si>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</si>
  <si>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</si>
  <si>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</si>
  <si>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</si>
  <si>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</si>
  <si>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</si>
  <si>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</si>
  <si>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</si>
  <si>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</si>
  <si>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</si>
  <si>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</si>
  <si>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</si>
  <si>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</si>
  <si>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</si>
  <si>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</si>
  <si>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</si>
  <si>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</si>
  <si>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</si>
  <si>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</si>
  <si>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</si>
  <si>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</si>
  <si>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</si>
  <si>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</si>
  <si>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</si>
  <si>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</si>
  <si>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</si>
  <si>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</si>
  <si>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</si>
  <si>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</si>
  <si>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</si>
  <si>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</si>
  <si>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</si>
  <si>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</si>
  <si>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</si>
  <si>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</si>
  <si>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</si>
  <si>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</si>
  <si>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</si>
  <si>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</si>
  <si>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</si>
  <si>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</si>
  <si>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</si>
  <si>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</si>
  <si>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</si>
  <si>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</si>
  <si>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</si>
  <si>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</si>
  <si>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</si>
  <si>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</si>
  <si>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</si>
  <si>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</si>
  <si>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</si>
  <si>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</si>
  <si>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</si>
  <si>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</si>
  <si>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</si>
  <si>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</si>
  <si>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</si>
  <si>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</si>
  <si>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</si>
  <si>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</si>
  <si>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</si>
  <si>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</si>
  <si>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</si>
  <si>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</si>
  <si>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</si>
  <si>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</si>
  <si>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</si>
  <si>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</si>
  <si>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</si>
  <si>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</si>
  <si>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</si>
  <si>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</si>
  <si>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</si>
  <si>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</si>
  <si>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</si>
  <si>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</si>
  <si>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</si>
  <si>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</si>
  <si>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</si>
  <si>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</si>
  <si>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</si>
  <si>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</si>
  <si>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</si>
  <si>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</si>
  <si>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</si>
  <si>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</si>
  <si>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</si>
  <si>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</si>
  <si>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</si>
  <si>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</si>
  <si>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</si>
  <si>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</si>
  <si>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</si>
  <si>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</si>
  <si>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</si>
  <si>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</si>
  <si>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</si>
  <si>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</si>
  <si>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</si>
  <si>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</si>
  <si>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</si>
  <si>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</si>
  <si>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</si>
  <si>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</si>
  <si>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</si>
  <si>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</si>
  <si>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</si>
  <si>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</si>
  <si>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</si>
  <si>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</si>
  <si>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</si>
  <si>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</si>
  <si>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</si>
  <si>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</si>
  <si>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</si>
  <si>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</si>
  <si>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</si>
  <si>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</si>
  <si>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</si>
  <si>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</si>
  <si>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</si>
  <si>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</si>
  <si>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</si>
  <si>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</si>
  <si>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</si>
  <si>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</si>
  <si>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</si>
  <si>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</si>
  <si>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</si>
  <si>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</si>
  <si>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</si>
  <si>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</si>
  <si>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</si>
  <si>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</si>
  <si>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</si>
  <si>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</si>
  <si>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</si>
  <si>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</si>
  <si>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</si>
  <si>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</si>
  <si>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</si>
  <si>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</si>
  <si>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</si>
  <si>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</si>
  <si>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</si>
  <si>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</si>
  <si>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</si>
  <si>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</si>
  <si>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</si>
  <si>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</si>
  <si>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</si>
  <si>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</si>
  <si>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</si>
  <si>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</si>
  <si>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</si>
  <si>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</si>
  <si>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</si>
  <si>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</si>
  <si>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</si>
  <si>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</si>
  <si>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</si>
  <si>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</si>
  <si>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</si>
  <si>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</si>
  <si>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</si>
  <si>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</si>
  <si>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</si>
  <si>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</si>
  <si>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</si>
  <si>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</si>
  <si>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</si>
  <si>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</si>
  <si>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</si>
  <si>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</si>
  <si>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</si>
  <si>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</si>
  <si>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</si>
  <si>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</si>
  <si>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</si>
  <si>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</si>
  <si>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</si>
  <si>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</si>
  <si>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</si>
  <si>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</si>
  <si>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</si>
  <si>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</si>
  <si>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</si>
  <si>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</si>
  <si>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</si>
  <si>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</si>
  <si>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</si>
  <si>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</si>
  <si>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</si>
  <si>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</si>
  <si>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</si>
  <si>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</si>
  <si>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</si>
  <si>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</si>
  <si>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</si>
  <si>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</si>
  <si>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</si>
  <si>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</si>
  <si>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</si>
  <si>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</si>
  <si>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</si>
  <si>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</si>
  <si>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</si>
  <si>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</si>
  <si>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</si>
  <si>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</si>
  <si>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</si>
  <si>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</si>
  <si>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</si>
  <si>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</si>
  <si>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</si>
  <si>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</si>
  <si>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</si>
  <si>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</si>
  <si>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</si>
  <si>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</si>
  <si>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</si>
  <si>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</si>
  <si>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</si>
  <si>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</si>
  <si>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</si>
  <si>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</si>
  <si>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</si>
  <si>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</si>
  <si>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</si>
  <si>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</si>
  <si>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</si>
  <si>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</si>
  <si>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</si>
  <si>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</si>
  <si>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</si>
  <si>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</si>
  <si>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</si>
  <si>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</si>
  <si>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</si>
  <si>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</si>
  <si>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</si>
  <si>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</si>
  <si>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</si>
  <si>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</si>
  <si>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</si>
  <si>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</si>
  <si>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</si>
  <si>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</si>
  <si>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</si>
  <si>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</si>
  <si>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</si>
  <si>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</si>
  <si>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</si>
  <si>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</si>
  <si>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</si>
  <si>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</si>
  <si>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</si>
  <si>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</si>
  <si>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</si>
  <si>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</si>
  <si>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</si>
  <si>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</si>
  <si>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</si>
  <si>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</si>
  <si>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</si>
  <si>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</si>
  <si>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</si>
  <si>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</si>
  <si>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</si>
  <si>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</si>
  <si>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</si>
  <si>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</si>
  <si>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</si>
  <si>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</si>
  <si>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</si>
  <si>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</si>
  <si>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</si>
  <si>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</si>
  <si>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</si>
  <si>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</si>
  <si>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</si>
  <si>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</si>
  <si>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</si>
  <si>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</si>
  <si>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</si>
  <si>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</si>
  <si>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</si>
  <si>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</si>
  <si>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</si>
  <si>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</si>
  <si>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</si>
  <si>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</si>
  <si>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</si>
  <si>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</si>
  <si>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</si>
  <si>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</si>
  <si>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</si>
  <si>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</si>
  <si>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</si>
  <si>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</si>
  <si>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</si>
  <si>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</si>
  <si>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</si>
  <si>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</si>
  <si>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</si>
  <si>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</si>
  <si>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</si>
  <si>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</si>
  <si>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</si>
  <si>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</si>
  <si>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</si>
  <si>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</si>
  <si>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</si>
  <si>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</si>
  <si>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</si>
  <si>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</si>
  <si>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</si>
  <si>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</si>
  <si>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</si>
  <si>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</si>
  <si>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</si>
  <si>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</si>
  <si>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</si>
  <si>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</si>
  <si>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</si>
  <si>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</si>
  <si>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</si>
  <si>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</si>
  <si>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</si>
  <si>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</si>
  <si>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</si>
  <si>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</si>
  <si>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</si>
  <si>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</si>
  <si>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</si>
  <si>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</si>
  <si>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</si>
  <si>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</si>
  <si>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</si>
  <si>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</si>
  <si>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</si>
  <si>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</si>
  <si>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</si>
  <si>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</si>
  <si>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</si>
  <si>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</si>
  <si>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</si>
  <si>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</si>
  <si>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</si>
  <si>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</si>
  <si>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</si>
  <si>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</si>
  <si>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</si>
  <si>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</si>
  <si>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</si>
  <si>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</si>
  <si>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</si>
  <si>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</si>
  <si>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</si>
  <si>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</si>
  <si>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</si>
  <si>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</si>
  <si>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</si>
  <si>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</si>
  <si>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</si>
  <si>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</si>
  <si>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</si>
  <si>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</si>
  <si>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</si>
  <si>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</si>
  <si>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</si>
  <si>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</si>
  <si>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</si>
  <si>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</si>
  <si>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</si>
  <si>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</si>
  <si>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</si>
  <si>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</si>
  <si>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</si>
  <si>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</si>
  <si>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</si>
  <si>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</si>
  <si>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</si>
  <si>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</si>
  <si>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</si>
  <si>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</si>
  <si>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</si>
  <si>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</si>
  <si>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</si>
  <si>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</si>
  <si>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</si>
  <si>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</si>
  <si>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</si>
  <si>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</si>
  <si>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</si>
  <si>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</si>
  <si>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</si>
  <si>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</si>
  <si>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</si>
  <si>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</si>
  <si>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</si>
  <si>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</si>
  <si>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</si>
  <si>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</si>
  <si>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</si>
  <si>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</si>
  <si>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</si>
  <si>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</si>
  <si>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</si>
  <si>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</si>
  <si>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</si>
  <si>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</si>
  <si>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</si>
  <si>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</si>
  <si>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</si>
  <si>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</si>
  <si>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</si>
  <si>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</si>
  <si>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</si>
  <si>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</si>
  <si>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</si>
  <si>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</si>
  <si>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</si>
  <si>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</si>
  <si>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</si>
  <si>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</si>
  <si>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</si>
  <si>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</si>
  <si>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</si>
  <si>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</si>
  <si>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</si>
  <si>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</si>
  <si>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</si>
  <si>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</si>
  <si>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</si>
  <si>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</si>
  <si>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</si>
  <si>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</si>
  <si>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</si>
  <si>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</si>
  <si>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</si>
  <si>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</si>
  <si>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</si>
  <si>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</si>
  <si>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</si>
  <si>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</si>
  <si>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</si>
  <si>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</si>
  <si>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</si>
  <si>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</si>
  <si>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</si>
  <si>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</si>
  <si>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</si>
  <si>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</si>
  <si>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</si>
  <si>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</si>
  <si>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</si>
  <si>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</si>
  <si>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</si>
  <si>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</si>
  <si>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</si>
  <si>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</si>
  <si>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</si>
  <si>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</si>
  <si>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</si>
  <si>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</si>
  <si>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</si>
  <si>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</si>
  <si>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</si>
  <si>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</si>
  <si>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</si>
  <si>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</si>
  <si>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</si>
  <si>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</si>
  <si>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</si>
  <si>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</si>
  <si>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</si>
  <si>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</si>
  <si>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</si>
  <si>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</si>
  <si>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</si>
  <si>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</si>
  <si>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</si>
  <si>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</si>
  <si>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</si>
  <si>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</si>
  <si>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</si>
  <si>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</si>
  <si>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</si>
  <si>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</si>
  <si>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</si>
  <si>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</si>
  <si>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</si>
  <si>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</si>
  <si>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</si>
  <si>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</si>
  <si>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</si>
  <si>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</si>
  <si>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</si>
  <si>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</si>
  <si>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</si>
  <si>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</si>
  <si>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</si>
  <si>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</si>
  <si>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</si>
  <si>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</si>
  <si>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</si>
  <si>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</si>
  <si>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</si>
  <si>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</si>
  <si>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</si>
  <si>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</si>
  <si>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</si>
  <si>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</si>
  <si>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</si>
  <si>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</si>
  <si>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</si>
  <si>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</si>
  <si>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</si>
  <si>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</si>
  <si>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</si>
  <si>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</si>
  <si>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</si>
  <si>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</si>
  <si>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</si>
  <si>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</si>
  <si>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</si>
  <si>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</si>
  <si>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</si>
  <si>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</si>
  <si>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</si>
  <si>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</si>
  <si>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</si>
  <si>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</si>
  <si>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</si>
  <si>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</si>
  <si>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</si>
  <si>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</si>
  <si>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</si>
  <si>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</si>
  <si>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</si>
  <si>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</si>
  <si>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</si>
  <si>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</si>
  <si>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</si>
  <si>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</si>
  <si>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</si>
  <si>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</si>
  <si>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</si>
  <si>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</si>
  <si>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</si>
  <si>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</si>
  <si>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</si>
  <si>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</si>
  <si>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</si>
  <si>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</si>
  <si>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</si>
  <si>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</si>
  <si>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</si>
  <si>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</si>
  <si>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</si>
  <si>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</si>
  <si>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</si>
  <si>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</si>
  <si>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</si>
  <si>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</si>
  <si>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</si>
  <si>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</si>
  <si>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</si>
  <si>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</si>
  <si>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</si>
  <si>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</si>
  <si>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</si>
  <si>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</si>
  <si>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</si>
  <si>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</si>
  <si>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</si>
  <si>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</si>
  <si>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</si>
  <si>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</si>
  <si>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</si>
  <si>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</si>
  <si>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</si>
  <si>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</si>
  <si>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</si>
  <si>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</si>
  <si>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</si>
  <si>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</si>
  <si>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</si>
  <si>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</si>
  <si>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</si>
  <si>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</si>
  <si>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</si>
  <si>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</si>
  <si>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</si>
  <si>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</si>
  <si>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</si>
  <si>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</si>
  <si>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</si>
  <si>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</si>
  <si>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</si>
  <si>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</si>
  <si>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</si>
  <si>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</si>
  <si>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</si>
  <si>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</si>
  <si>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</si>
  <si>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</si>
  <si>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</si>
  <si>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</si>
  <si>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</si>
  <si>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</si>
  <si>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</si>
  <si>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</si>
  <si>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</si>
  <si>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</si>
  <si>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</si>
  <si>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</si>
  <si>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</si>
  <si>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</si>
  <si>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</si>
  <si>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</si>
  <si>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</si>
  <si>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</si>
  <si>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</si>
  <si>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</si>
  <si>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</si>
  <si>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</si>
  <si>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</si>
  <si>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</si>
  <si>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</si>
  <si>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</si>
  <si>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</si>
  <si>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</si>
  <si>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</si>
  <si>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</si>
  <si>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</si>
  <si>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</si>
  <si>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</si>
  <si>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</si>
  <si>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</si>
  <si>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</si>
  <si>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</si>
  <si>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</si>
  <si>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</si>
  <si>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</si>
  <si>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</si>
  <si>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</si>
  <si>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</si>
  <si>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</si>
  <si>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</si>
  <si>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</si>
  <si>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</si>
  <si>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</si>
  <si>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</si>
  <si>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</si>
  <si>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</si>
  <si>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</si>
  <si>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</si>
  <si>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</si>
  <si>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</si>
  <si>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</si>
  <si>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</si>
  <si>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</si>
  <si>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</si>
  <si>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</si>
  <si>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</si>
  <si>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</si>
  <si>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</si>
  <si>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</si>
  <si>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</si>
  <si>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</si>
  <si>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</si>
  <si>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</si>
  <si>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</si>
  <si>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</si>
  <si>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</si>
  <si>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</si>
  <si>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</si>
  <si>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</si>
  <si>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</si>
  <si>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</si>
  <si>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</si>
  <si>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</si>
  <si>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</si>
  <si>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</si>
  <si>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</si>
  <si>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</si>
  <si>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</si>
  <si>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</si>
  <si>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</si>
  <si>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</si>
  <si>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</si>
  <si>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</si>
  <si>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</si>
  <si>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</si>
  <si>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</si>
  <si>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</si>
  <si>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</si>
  <si>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</si>
  <si>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</si>
  <si>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</si>
  <si>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</si>
  <si>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</si>
  <si>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</si>
  <si>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</si>
  <si>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</si>
  <si>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</si>
  <si>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</si>
  <si>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</si>
  <si>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</si>
  <si>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</si>
  <si>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</si>
  <si>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</si>
  <si>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</si>
  <si>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</si>
  <si>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</si>
  <si>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</si>
  <si>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</si>
  <si>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</si>
  <si>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</si>
  <si>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</si>
  <si>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</si>
  <si>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</si>
  <si>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</si>
  <si>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</si>
  <si>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</si>
  <si>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</si>
  <si>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</si>
  <si>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</si>
  <si>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</si>
  <si>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</si>
  <si>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</si>
  <si>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</si>
  <si>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</si>
  <si>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</si>
  <si>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</si>
  <si>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</si>
  <si>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</si>
  <si>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</si>
  <si>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</si>
  <si>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</si>
  <si>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</si>
  <si>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</si>
  <si>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</si>
  <si>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</si>
  <si>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</si>
  <si>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</si>
  <si>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</si>
  <si>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</si>
  <si>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</si>
  <si>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</si>
  <si>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</si>
  <si>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</si>
  <si>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</si>
  <si>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</si>
  <si>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</si>
  <si>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</si>
  <si>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</si>
  <si>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</si>
  <si>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</si>
  <si>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</si>
  <si>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</si>
  <si>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</si>
  <si>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</si>
  <si>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</si>
  <si>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</si>
  <si>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</si>
  <si>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</si>
  <si>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</si>
  <si>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</si>
  <si>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</si>
  <si>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</si>
  <si>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</si>
  <si>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</si>
  <si>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</si>
  <si>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</si>
  <si>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</si>
  <si>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</si>
  <si>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</si>
  <si>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</si>
  <si>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</si>
  <si>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</si>
  <si>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</si>
  <si>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</si>
  <si>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</si>
  <si>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</si>
  <si>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</si>
  <si>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</si>
  <si>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</si>
  <si>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</si>
  <si>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</si>
  <si>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</si>
  <si>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</si>
  <si>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</si>
  <si>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</si>
  <si>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</si>
  <si>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</si>
  <si>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</si>
  <si>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</si>
  <si>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</si>
  <si>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</si>
  <si>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</si>
  <si>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</si>
  <si>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</si>
  <si>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</si>
  <si>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</si>
  <si>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</si>
  <si>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</si>
  <si>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</si>
  <si>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</si>
  <si>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</si>
  <si>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</si>
  <si>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</si>
  <si>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</si>
  <si>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</si>
  <si>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</si>
  <si>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</si>
  <si>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</si>
  <si>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</si>
  <si>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</si>
  <si>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</si>
  <si>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</si>
  <si>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</si>
  <si>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</si>
  <si>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</si>
  <si>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</si>
  <si>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</si>
  <si>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</si>
  <si>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</si>
  <si>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</si>
  <si>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</si>
  <si>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</si>
  <si>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</si>
  <si>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</si>
  <si>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</si>
  <si>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</si>
  <si>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</si>
  <si>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</si>
  <si>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</si>
  <si>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</si>
  <si>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</si>
  <si>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</si>
  <si>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</si>
  <si>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</si>
  <si>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</si>
  <si>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</si>
  <si>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</si>
  <si>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</si>
  <si>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</si>
  <si>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</si>
  <si>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</si>
  <si>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</si>
  <si>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</si>
  <si>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</si>
  <si>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</si>
  <si>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</si>
  <si>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</si>
  <si>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</si>
  <si>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</si>
  <si>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</si>
  <si>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</si>
  <si>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</si>
  <si>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</si>
  <si>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</si>
  <si>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</si>
  <si>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</si>
  <si>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</si>
  <si>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</si>
  <si>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</si>
  <si>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</si>
  <si>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</si>
  <si>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</si>
  <si>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</si>
  <si>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</si>
  <si>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</si>
  <si>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</si>
  <si>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</si>
  <si>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</si>
  <si>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</si>
  <si>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</si>
  <si>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</si>
  <si>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</si>
  <si>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</si>
  <si>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</si>
  <si>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</si>
  <si>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</si>
  <si>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</si>
  <si>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</si>
  <si>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</si>
  <si>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</si>
  <si>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</si>
  <si>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</si>
  <si>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</si>
  <si>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</si>
  <si>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</si>
  <si>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</si>
  <si>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</si>
  <si>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</si>
  <si>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</si>
  <si>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</si>
  <si>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</si>
  <si>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</si>
  <si>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</si>
  <si>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</si>
  <si>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</si>
  <si>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</si>
  <si>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</si>
  <si>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</si>
  <si>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</si>
  <si>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</si>
  <si>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</si>
  <si>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</si>
  <si>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</si>
  <si>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</si>
  <si>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</si>
  <si>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</si>
  <si>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</si>
  <si>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</si>
  <si>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</si>
  <si>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</si>
  <si>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</si>
  <si>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</si>
  <si>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</si>
  <si>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</si>
  <si>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</si>
  <si>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</si>
  <si>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</si>
  <si>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</si>
  <si>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</si>
  <si>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</si>
  <si>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</si>
  <si>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</si>
  <si>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</si>
  <si>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</si>
  <si>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</si>
  <si>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</si>
  <si>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</si>
  <si>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</si>
  <si>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</si>
  <si>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</si>
  <si>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</si>
  <si>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</si>
  <si>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</si>
  <si>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</si>
  <si>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</si>
  <si>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</si>
  <si>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</si>
  <si>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</si>
  <si>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</si>
  <si>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</si>
  <si>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</si>
  <si>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</si>
  <si>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</si>
  <si>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</si>
  <si>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</si>
  <si>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</si>
  <si>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</si>
  <si>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</si>
  <si>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</si>
  <si>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</si>
  <si>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</si>
  <si>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</si>
  <si>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</si>
  <si>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</si>
  <si>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</si>
  <si>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</si>
  <si>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</si>
  <si>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</si>
  <si>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</si>
  <si>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</si>
  <si>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</si>
  <si>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</si>
  <si>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</si>
  <si>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</si>
  <si>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</si>
  <si>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</si>
  <si>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</si>
  <si>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</si>
  <si>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</si>
  <si>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</si>
  <si>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</si>
  <si>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</si>
  <si>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</si>
  <si>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</si>
  <si>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</si>
  <si>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</si>
  <si>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</si>
  <si>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</si>
  <si>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</si>
  <si>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</si>
  <si>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</si>
  <si>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</si>
  <si>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</si>
  <si>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</si>
  <si>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</si>
  <si>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</si>
  <si>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</si>
  <si>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</si>
  <si>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</si>
  <si>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</si>
  <si>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</si>
  <si>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</si>
  <si>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</si>
  <si>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</si>
  <si>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</si>
  <si>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</si>
  <si>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</si>
  <si>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</si>
  <si>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</si>
  <si>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</si>
  <si>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</si>
  <si>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</si>
  <si>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</si>
  <si>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</si>
  <si>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</si>
  <si>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</si>
  <si>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</si>
  <si>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</si>
  <si>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</si>
  <si>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</si>
  <si>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</si>
  <si>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</si>
  <si>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</si>
  <si>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</si>
  <si>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</si>
  <si>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</si>
  <si>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</si>
  <si>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</si>
  <si>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</si>
  <si>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</si>
  <si>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</si>
  <si>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</si>
  <si>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</si>
  <si>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</si>
  <si>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</si>
  <si>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</si>
  <si>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</si>
  <si>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</si>
  <si>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</si>
  <si>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</si>
  <si>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</si>
  <si>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</si>
  <si>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</si>
  <si>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</si>
  <si>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</si>
  <si>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</si>
  <si>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</si>
  <si>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</si>
  <si>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</si>
  <si>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</si>
  <si>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</si>
  <si>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</si>
  <si>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</si>
  <si>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</si>
  <si>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</si>
  <si>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</si>
  <si>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</si>
  <si>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</si>
  <si>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</si>
  <si>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</si>
  <si>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</si>
  <si>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</si>
  <si>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</si>
  <si>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</si>
  <si>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</si>
  <si>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</si>
  <si>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</si>
  <si>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</si>
  <si>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</si>
  <si>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</si>
  <si>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</si>
  <si>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</si>
  <si>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</si>
  <si>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</si>
  <si>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</si>
  <si>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</si>
  <si>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</si>
  <si>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</si>
  <si>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</si>
  <si>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</si>
  <si>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</si>
  <si>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</si>
  <si>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</si>
  <si>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</si>
  <si>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</si>
  <si>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</si>
  <si>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</si>
  <si>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</si>
  <si>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</si>
  <si>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</si>
  <si>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</si>
  <si>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</si>
  <si>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</si>
  <si>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</si>
  <si>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</si>
  <si>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</si>
  <si>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</si>
  <si>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</si>
  <si>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</si>
  <si>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</si>
  <si>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</si>
  <si>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</si>
  <si>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</si>
  <si>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</si>
  <si>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</si>
  <si>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</si>
  <si>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</si>
  <si>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</si>
  <si>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</si>
  <si>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</si>
  <si>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</si>
  <si>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</si>
  <si>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</si>
  <si>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</si>
  <si>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</si>
  <si>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</si>
  <si>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</si>
  <si>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</si>
  <si>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</si>
  <si>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</si>
  <si>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</si>
  <si>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</si>
  <si>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</si>
  <si>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</si>
  <si>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</si>
  <si>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</si>
  <si>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</si>
  <si>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</si>
  <si>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</si>
  <si>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</si>
  <si>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</si>
  <si>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</si>
  <si>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</si>
  <si>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</si>
  <si>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</si>
  <si>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</si>
  <si>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</si>
  <si>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</si>
  <si>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</si>
  <si>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</si>
  <si>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</si>
  <si>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</si>
  <si>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</si>
  <si>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</si>
  <si>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</si>
  <si>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</si>
  <si>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</si>
  <si>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</si>
  <si>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</si>
  <si>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</si>
  <si>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</si>
  <si>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</si>
  <si>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</si>
  <si>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</si>
  <si>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</si>
  <si>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</si>
  <si>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</si>
  <si>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</si>
  <si>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</si>
  <si>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</si>
  <si>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</si>
  <si>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</si>
  <si>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</si>
  <si>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</si>
  <si>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</si>
  <si>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</si>
  <si>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</si>
  <si>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</si>
  <si>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</si>
  <si>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</si>
  <si>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</si>
  <si>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</si>
  <si>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</si>
  <si>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</si>
  <si>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</si>
  <si>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</si>
  <si>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</si>
  <si>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</si>
  <si>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</si>
  <si>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</si>
  <si>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</si>
  <si>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</si>
  <si>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</si>
  <si>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</si>
  <si>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</si>
  <si>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</si>
  <si>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</si>
  <si>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</si>
  <si>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</si>
  <si>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</si>
  <si>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</si>
  <si>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</si>
  <si>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</si>
  <si>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</si>
  <si>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</si>
  <si>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</si>
  <si>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</si>
  <si>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</si>
  <si>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</si>
  <si>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</si>
  <si>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</si>
  <si>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</si>
  <si>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</si>
  <si>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</si>
  <si>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</si>
  <si>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</si>
  <si>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</si>
  <si>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</si>
  <si>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</si>
  <si>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</si>
  <si>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</si>
  <si>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</si>
  <si>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</si>
  <si>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</si>
  <si>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</si>
  <si>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</si>
  <si>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</si>
  <si>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</si>
  <si>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</si>
  <si>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</si>
  <si>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</si>
  <si>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</si>
  <si>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</si>
  <si>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</si>
  <si>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</si>
  <si>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</si>
  <si>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</si>
  <si>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</si>
  <si>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</si>
  <si>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</si>
  <si>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</si>
  <si>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</si>
  <si>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</si>
  <si>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</si>
  <si>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</si>
  <si>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</si>
  <si>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</si>
  <si>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</si>
  <si>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</si>
  <si>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</si>
  <si>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</si>
  <si>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</si>
  <si>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</si>
  <si>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</si>
  <si>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</si>
  <si>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</si>
  <si>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</si>
  <si>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</si>
  <si>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</si>
  <si>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</si>
  <si>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</si>
  <si>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</si>
  <si>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</si>
  <si>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</si>
  <si>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</si>
  <si>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</si>
  <si>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</si>
  <si>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</si>
  <si>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</si>
  <si>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</si>
  <si>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</si>
  <si>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</si>
  <si>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</si>
  <si>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</si>
  <si>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</si>
  <si>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</si>
  <si>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</si>
  <si>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</si>
  <si>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</si>
  <si>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</si>
  <si>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</si>
  <si>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</si>
  <si>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</si>
  <si>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</si>
  <si>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</si>
  <si>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</si>
  <si>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</si>
  <si>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</si>
  <si>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</si>
  <si>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</si>
  <si>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</si>
  <si>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</si>
  <si>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</si>
  <si>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</si>
  <si>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</si>
  <si>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</si>
  <si>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</si>
  <si>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</si>
  <si>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</si>
  <si>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</si>
  <si>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</si>
  <si>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</si>
  <si>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</si>
  <si>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</si>
  <si>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</si>
  <si>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</si>
  <si>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</si>
  <si>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</si>
  <si>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</si>
  <si>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</si>
  <si>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</si>
  <si>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</si>
  <si>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</si>
  <si>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</si>
  <si>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</si>
  <si>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</si>
  <si>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</si>
  <si>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</si>
  <si>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</si>
  <si>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</si>
  <si>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</si>
  <si>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</si>
  <si>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</si>
  <si>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</si>
  <si>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</si>
  <si>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</si>
  <si>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</si>
  <si>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</si>
  <si>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</si>
  <si>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</si>
  <si>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</si>
  <si>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</si>
  <si>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</si>
  <si>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</si>
  <si>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</si>
  <si>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</si>
  <si>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</si>
  <si>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</si>
  <si>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</si>
  <si>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</si>
  <si>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</si>
  <si>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</si>
  <si>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</si>
  <si>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</si>
  <si>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</si>
  <si>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</si>
  <si>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</si>
  <si>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</si>
  <si>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</si>
  <si>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</si>
  <si>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</si>
  <si>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</si>
  <si>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</si>
  <si>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</si>
  <si>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</si>
  <si>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</si>
  <si>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</si>
  <si>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</si>
  <si>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</si>
  <si>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</si>
  <si>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</si>
  <si>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</si>
  <si>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</si>
  <si>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</si>
  <si>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</si>
  <si>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</si>
  <si>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</si>
  <si>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</si>
  <si>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</si>
  <si>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</si>
  <si>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</si>
  <si>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</si>
  <si>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</si>
  <si>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</si>
  <si>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</si>
  <si>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</si>
  <si>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</si>
  <si>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</si>
  <si>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</si>
  <si>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</si>
  <si>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</si>
  <si>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</si>
  <si>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</si>
  <si>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</si>
  <si>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</si>
  <si>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</si>
  <si>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</si>
  <si>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</si>
  <si>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</si>
  <si>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</si>
  <si>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</si>
  <si>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</si>
  <si>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</si>
  <si>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</si>
  <si>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</si>
  <si>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</si>
  <si>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</si>
  <si>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</si>
  <si>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</si>
  <si>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</si>
  <si>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</si>
  <si>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</si>
  <si>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</si>
  <si>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</si>
  <si>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</si>
  <si>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</si>
  <si>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</si>
  <si>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</si>
  <si>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</si>
  <si>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</si>
  <si>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</si>
  <si>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</si>
  <si>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</si>
  <si>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</si>
  <si>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</si>
  <si>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</si>
  <si>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</si>
  <si>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</si>
  <si>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</si>
  <si>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市区</t>
  </si>
  <si>
    <t>七通一平</t>
  </si>
  <si>
    <t>四环路外</t>
  </si>
  <si>
    <t>居住用地（指一类居住用地）</t>
  </si>
  <si>
    <t>Ⅳ-01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</si>
</sst>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30</xdr:row>
      <xdr:rowOff>47625</xdr:rowOff>
    </xdr:from>
    <xdr:to>
      <xdr:col>24</xdr:col>
      <xdr:colOff>741526</xdr:colOff>
      <xdr:row>40</xdr:row>
      <xdr:rowOff>37856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7067550"/>
          <a:ext cx="11390476" cy="1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25" zoomScale="90" zoomScaleNormal="90" zoomScaleSheetLayoutView="89" workbookViewId="0">
      <selection activeCell="C66" sqref="C6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1" t="s">
        <v>1793</v>
      </c>
      <c r="J2" s="717"/>
      <c r="AE2" s="712"/>
      <c r="AF2" s="712"/>
    </row>
    <row r="3" spans="1:36" ht="24">
      <c r="A3" s="668" t="s">
        <v>912</v>
      </c>
      <c r="B3" s="1398">
        <f>C18</f>
        <v>0</v>
      </c>
      <c r="C3" s="713" t="s">
        <v>913</v>
      </c>
      <c r="D3" s="714" t="s">
        <v>252</v>
      </c>
      <c r="E3" s="718" t="s">
        <v>1801</v>
      </c>
      <c r="F3" s="1459" t="s">
        <v>1795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>
        <f>C22</f>
        <v>0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2845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>
        <f>(300+680)/2</f>
        <v>490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42077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0.98340000000000005</v>
      </c>
      <c r="D10" s="1480" t="s">
        <v>935</v>
      </c>
      <c r="E10" s="1481">
        <v>0.04</v>
      </c>
      <c r="F10" s="1521" t="s">
        <v>1633</v>
      </c>
      <c r="G10" s="1522">
        <f>IF(F10="剩余土地使用年限",主表!B15,主表!B16)</f>
        <v>64.489999999999995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>
        <f>IF(E2="工业",1,IF(G3&gt;10,D14,IF(D11="郊区",D13,D12)))</f>
        <v>0.94699999999999995</v>
      </c>
      <c r="D11" s="1487" t="s">
        <v>1798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>
        <f>IF(E12=G12,F12,IF(G3&lt;=10,ROUND(F12+(H12-F12)*(G3-E12)/(G12-E12),4),"——"))</f>
        <v>0.94699999999999995</v>
      </c>
      <c r="E12" s="1478">
        <f>ROUNDDOWN(G3,1)</f>
        <v>2.5</v>
      </c>
      <c r="F12" s="1479">
        <f>IF(G3&lt;=10,SUMPRODUCT(('2002容积率修正'!A3:A102=E12)*('2002容积率修正'!B2:D2=E2)*('2002容积率修正'!B3:D102)),"——")</f>
        <v>0.94699999999999995</v>
      </c>
      <c r="G12" s="1477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>
        <f>IF(E12=G12,F12,IF(G3&lt;=10,ROUND(F12+(H12-F12)*(G3-E12)/(G12-E12),4),"——"))</f>
        <v>0.94699999999999995</v>
      </c>
      <c r="E13" s="1478">
        <f>ROUNDDOWN(G3,1)</f>
        <v>2.5</v>
      </c>
      <c r="F13" s="1479">
        <f>IF(G3&lt;=10,SUMPRODUCT(('2002容积率修正'!A3:A102=E13)*('2002容积率修正'!E2:G2=E2)*('2002容积率修正'!E3:G102)),"——")</f>
        <v>0.80500000000000005</v>
      </c>
      <c r="G13" s="1477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1.1040000000000001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>
        <v>1</v>
      </c>
      <c r="D16" s="1525" t="s">
        <v>1336</v>
      </c>
      <c r="E16" s="1482" t="s">
        <v>925</v>
      </c>
      <c r="F16" s="1483" t="s">
        <v>1799</v>
      </c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0</v>
      </c>
      <c r="D18" s="630">
        <f>H1</f>
        <v>0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0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>
        <f>ROUND(IF(D22="四环路内",C20*0.4,C20*0.6),0)</f>
        <v>0</v>
      </c>
      <c r="D22" s="776" t="s">
        <v>1800</v>
      </c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53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1.1040000000000001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1.2999999999999999E-2</v>
      </c>
      <c r="E60" s="253">
        <f>SUM(D60:D67)</f>
        <v>0.104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1797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1797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 t="s">
        <v>1797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四类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0.98819999999999997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4.7500000000000001E-2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64.489999999999995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42077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2015-3-1</v>
      </c>
      <c r="D56" s="1533">
        <f>EDATE(C56,-3)</f>
        <v>41974</v>
      </c>
      <c r="E56" s="1533">
        <f t="shared" ref="E56:O56" si="15">EDATE(D56,-3)</f>
        <v>41883</v>
      </c>
      <c r="F56" s="1533">
        <f t="shared" si="15"/>
        <v>41791</v>
      </c>
      <c r="G56" s="1533">
        <f t="shared" si="15"/>
        <v>41699</v>
      </c>
      <c r="H56" s="1533">
        <f t="shared" si="15"/>
        <v>41609</v>
      </c>
      <c r="I56" s="1533">
        <f t="shared" si="15"/>
        <v>41518</v>
      </c>
      <c r="J56" s="1533">
        <f t="shared" si="15"/>
        <v>41426</v>
      </c>
      <c r="K56" s="1533">
        <f t="shared" si="15"/>
        <v>41334</v>
      </c>
      <c r="L56" s="1533">
        <f t="shared" si="15"/>
        <v>41244</v>
      </c>
      <c r="M56" s="1533">
        <f t="shared" si="15"/>
        <v>41153</v>
      </c>
      <c r="N56" s="1533">
        <f t="shared" si="15"/>
        <v>41061</v>
      </c>
      <c r="O56" s="1533">
        <f t="shared" si="15"/>
        <v>40969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2015-1</v>
      </c>
      <c r="D58" s="1532" t="str">
        <f t="shared" ref="D58:O58" si="16">YEAR(D56)&amp;"-"&amp;ROUNDUP(MONTH(D56)/3,0)</f>
        <v>2014-4</v>
      </c>
      <c r="E58" s="1532" t="str">
        <f t="shared" si="16"/>
        <v>2014-3</v>
      </c>
      <c r="F58" s="1532" t="str">
        <f t="shared" si="16"/>
        <v>2014-2</v>
      </c>
      <c r="G58" s="1532" t="str">
        <f t="shared" si="16"/>
        <v>2014-1</v>
      </c>
      <c r="H58" s="1532" t="str">
        <f t="shared" si="16"/>
        <v>2013-4</v>
      </c>
      <c r="I58" s="1532" t="str">
        <f t="shared" si="16"/>
        <v>2013-3</v>
      </c>
      <c r="J58" s="1532" t="str">
        <f t="shared" si="16"/>
        <v>2013-2</v>
      </c>
      <c r="K58" s="1532" t="str">
        <f t="shared" si="16"/>
        <v>2013-1</v>
      </c>
      <c r="L58" s="1532" t="str">
        <f t="shared" si="16"/>
        <v>2012-4</v>
      </c>
      <c r="M58" s="1532" t="str">
        <f t="shared" si="16"/>
        <v>2012-3</v>
      </c>
      <c r="N58" s="1532" t="str">
        <f t="shared" si="16"/>
        <v>2012-2</v>
      </c>
      <c r="O58" s="1532" t="str">
        <f t="shared" si="16"/>
        <v>2012-1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42077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27</v>
      </c>
      <c r="K1" s="1138">
        <f ca="1">MATCH(E1,C4:C8,1)+IF(SUMIF(C4:C8,E1,D4:D8)=0,3,2)</f>
        <v>3</v>
      </c>
      <c r="L1" s="1138">
        <f>IF(C1&gt;M14,0,MATCH(C1,M$14:M$52,-1))+IF(SUMIF(M14:M52,C1,N14:N52)=0,14,13)</f>
        <v>18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42077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27</v>
      </c>
      <c r="K2" s="1138">
        <f ca="1">MATCH(E2,C4:C8,1)+IF(SUMIF(C4:C8,E2,D4:D8)=0,3,2)</f>
        <v>3</v>
      </c>
      <c r="L2" s="1138">
        <f>IF(C2&gt;M14,0,MATCH(C2,M$14:M$52,-1))+IF(SUMIF(M14:M52,C2,N14:N52)=0,14,13)</f>
        <v>18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5.7500000000000002E-2</v>
      </c>
      <c r="H3" s="1019" t="s">
        <v>1507</v>
      </c>
      <c r="I3" s="1020">
        <f ca="1">SUMIF(F4:F8,E3,H4:H8)/100</f>
        <v>3.7499999999999999E-2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5.35</v>
      </c>
      <c r="E4" s="1004">
        <f ca="1">INDIRECT("d"&amp;$J$2)</f>
        <v>5.35</v>
      </c>
      <c r="F4" s="1005">
        <v>0.5</v>
      </c>
      <c r="G4" s="1006">
        <f ca="1">INDIRECT("p"&amp;$L$1)</f>
        <v>2.2999999999999998</v>
      </c>
      <c r="H4" s="1006">
        <f ca="1">INDIRECT("p"&amp;$L$2)</f>
        <v>2.2999999999999998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5.35</v>
      </c>
      <c r="E5" s="978">
        <f ca="1">INDIRECT("e"&amp;$J$2)</f>
        <v>5.35</v>
      </c>
      <c r="F5" s="977">
        <v>1</v>
      </c>
      <c r="G5" s="1007">
        <f ca="1">INDIRECT("q"&amp;$L$1)</f>
        <v>2.5</v>
      </c>
      <c r="H5" s="1007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5.75</v>
      </c>
      <c r="E6" s="978">
        <f ca="1">INDIRECT("f"&amp;$J$2)</f>
        <v>5.75</v>
      </c>
      <c r="F6" s="977">
        <v>2</v>
      </c>
      <c r="G6" s="1007">
        <f ca="1">INDIRECT("r"&amp;$L$1)</f>
        <v>3.1</v>
      </c>
      <c r="H6" s="1007">
        <f ca="1">INDIRECT("r"&amp;$L$2)</f>
        <v>3.1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5.75</v>
      </c>
      <c r="E7" s="978">
        <f ca="1">INDIRECT("g"&amp;$J$2)</f>
        <v>5.75</v>
      </c>
      <c r="F7" s="977">
        <v>3</v>
      </c>
      <c r="G7" s="1007">
        <f ca="1">INDIRECT("s"&amp;$L$1)</f>
        <v>3.75</v>
      </c>
      <c r="H7" s="1007">
        <f ca="1">INDIRECT("s"&amp;$L$2)</f>
        <v>3.75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5.9</v>
      </c>
      <c r="E8" s="978">
        <f ca="1">INDIRECT("h"&amp;$J$2)</f>
        <v>5.9</v>
      </c>
      <c r="F8" s="977">
        <v>5</v>
      </c>
      <c r="G8" s="1007">
        <f ca="1">INDIRECT("t"&amp;$L$1)</f>
        <v>4.5</v>
      </c>
      <c r="H8" s="1007">
        <f ca="1">INDIRECT("t"&amp;$L$2)</f>
        <v>4.5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4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53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42077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76" t="s">
        <v>1355</v>
      </c>
      <c r="E4" s="1777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78" t="s">
        <v>1359</v>
      </c>
      <c r="B5" s="1779">
        <f ca="1">主表!F5</f>
        <v>15796</v>
      </c>
      <c r="C5" s="1780" t="s">
        <v>1360</v>
      </c>
      <c r="D5" s="1777" t="s">
        <v>1361</v>
      </c>
      <c r="E5" s="1781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77" t="s">
        <v>1366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15796</v>
      </c>
      <c r="C14" s="1299" t="s">
        <v>1371</v>
      </c>
      <c r="D14" s="1777" t="s">
        <v>1370</v>
      </c>
      <c r="E14" s="1781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9">
        <f ca="1">主表!F24</f>
        <v>15796</v>
      </c>
      <c r="C15" s="1785"/>
      <c r="D15" s="1783" t="s">
        <v>1373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1374</v>
      </c>
      <c r="B16" s="1779">
        <f ca="1">主表!F25</f>
        <v>0</v>
      </c>
      <c r="C16" s="1785"/>
      <c r="D16" s="1783" t="s">
        <v>1375</v>
      </c>
      <c r="E16" s="1784"/>
      <c r="F16" s="1784"/>
      <c r="G16" s="1786"/>
      <c r="H16" s="1301" t="str">
        <f ca="1">NUMBERSTRING(INT(B16*10000),2)&amp;"元整"</f>
        <v>零元整</v>
      </c>
      <c r="I16" s="1302"/>
      <c r="X16" s="221"/>
      <c r="AG16" s="189"/>
    </row>
    <row r="17" spans="1:33" ht="14.4">
      <c r="A17" s="1292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42077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42077</v>
      </c>
      <c r="C4" s="1164"/>
      <c r="D4" s="1171" t="s">
        <v>1275</v>
      </c>
      <c r="E4" s="1172" t="s">
        <v>1568</v>
      </c>
      <c r="F4" s="1173">
        <f ca="1">F5+F8+F9+F10</f>
        <v>15796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15796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21062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5266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250</v>
      </c>
      <c r="C10" s="1164"/>
      <c r="D10" s="1198">
        <v>4</v>
      </c>
      <c r="E10" s="1199" t="s">
        <v>1228</v>
      </c>
      <c r="F10" s="1200">
        <f ca="1"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1802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v>65617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64.489999999999995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6.2E-2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0.99399999999999999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15796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4" zoomScale="80" zoomScaleNormal="80" zoomScaleSheetLayoutView="89" workbookViewId="0">
      <selection activeCell="E77" sqref="E7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Ⅳ-01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21062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5266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16310</v>
      </c>
      <c r="N4" s="438">
        <f>SUMPRODUCT(('2014因素修正幅度'!B49:B75=I2)*('2014因素修正幅度'!C3:F3=E2)*('2014因素修正幅度'!C49:F75))</f>
        <v>9.7000000000000003E-2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19572</v>
      </c>
      <c r="D5" s="1540">
        <f>ROUND(C6+C16,0)</f>
        <v>16310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16310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4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1.0378000000000001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42077</v>
      </c>
      <c r="I19" s="1507">
        <f>ROUND(SUMPRODUCT((地价!A5:A38=YEAR(H19)&amp;"-"&amp;ROUNDUP(MONTH(H19)/3,0))*(地价!B3:F3=E2)*(地价!B5:F38)),0)</f>
        <v>439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0.99409999999999998</v>
      </c>
      <c r="D20" s="1467" t="s">
        <v>934</v>
      </c>
      <c r="E20" s="1468">
        <f ca="1">INDIRECT("'存贷款利率'!e"&amp;存贷款利率!$K$4)/100</f>
        <v>5.3499999999999999E-2</v>
      </c>
      <c r="F20" s="1465" t="s">
        <v>935</v>
      </c>
      <c r="G20" s="1469">
        <f ca="1">SUMIF(P18:S18,E2,P20:S20)</f>
        <v>6.2E-2</v>
      </c>
      <c r="H20" s="1470" t="s">
        <v>1633</v>
      </c>
      <c r="I20" s="1022">
        <f>IF(H20="剩余土地使用年限",主表!B15,主表!B16)</f>
        <v>64.489999999999995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6.7000000000000004E-2</v>
      </c>
      <c r="Q20" s="608">
        <f ca="1">ROUND($E$20*(1+Q19),3)</f>
        <v>6.4000000000000001E-2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1.0430999999999999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21062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5266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12286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3072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7021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1755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4915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1229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4388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1097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4388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1097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6.2E-2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1.0430999999999999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4.3099999999999999E-2</v>
      </c>
      <c r="F70" s="937">
        <f>IF(E2="住宅/居住",SUMIF(L1:L12,G2,N1:N12),"——")</f>
        <v>9.7000000000000003E-2</v>
      </c>
      <c r="G70" s="491">
        <v>6.8600000000000006E-3</v>
      </c>
      <c r="H70" s="494">
        <f t="shared" ref="H70:H78" si="15">IFERROR($F$70*I70/2,"——")</f>
        <v>6.7900000000000009E-3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1797</v>
      </c>
      <c r="D71" s="490">
        <f t="shared" si="14"/>
        <v>1.47E-2</v>
      </c>
      <c r="E71" s="263"/>
      <c r="F71" s="938"/>
      <c r="G71" s="491">
        <v>1.47E-2</v>
      </c>
      <c r="H71" s="494">
        <f t="shared" si="15"/>
        <v>1.455E-2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15</v>
      </c>
      <c r="D72" s="490">
        <f t="shared" si="14"/>
        <v>0</v>
      </c>
      <c r="E72" s="263"/>
      <c r="F72" s="938"/>
      <c r="G72" s="491">
        <v>3.9199999999999999E-3</v>
      </c>
      <c r="H72" s="494">
        <f t="shared" si="15"/>
        <v>3.8800000000000002E-3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1.9599999999999999E-3</v>
      </c>
      <c r="E73" s="263"/>
      <c r="F73" s="938"/>
      <c r="G73" s="491">
        <v>1.9599999999999999E-3</v>
      </c>
      <c r="H73" s="494">
        <f t="shared" si="15"/>
        <v>1.9400000000000001E-3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3.8800000000000002E-3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5.8799999999999998E-3</v>
      </c>
      <c r="E75" s="263"/>
      <c r="F75" s="938"/>
      <c r="G75" s="491">
        <v>5.8799999999999998E-3</v>
      </c>
      <c r="H75" s="494">
        <f t="shared" si="15"/>
        <v>5.8199999999999997E-3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2.4250000000000001E-3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7.2750000000000002E-3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1.9599999999999999E-3</v>
      </c>
      <c r="H78" s="494">
        <f t="shared" si="15"/>
        <v>1.9400000000000001E-3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16310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2026-04-13T07:08:37Z</dcterms:modified>
</cp:coreProperties>
</file>