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450" yWindow="120" windowWidth="16335" windowHeight="1317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sheetId="68"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 sheetId="81" r:id="rId47"/>
    <sheet name="租赁情况" sheetId="82"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5">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7" i="80" l="1"/>
  <c r="E42" i="80" s="1"/>
  <c r="E60" i="37" l="1"/>
  <c r="F60" i="37" s="1"/>
  <c r="D60" i="37"/>
  <c r="G92" i="37" l="1"/>
  <c r="H92" i="37" s="1"/>
  <c r="E92" i="37"/>
  <c r="D92" i="37" s="1"/>
  <c r="C92" i="37" s="1"/>
  <c r="N26" i="1"/>
  <c r="L26" i="1"/>
  <c r="D27" i="9" l="1"/>
  <c r="C33" i="37"/>
  <c r="N2" i="80"/>
  <c r="M2" i="80"/>
  <c r="L2" i="80"/>
  <c r="L41" i="37"/>
  <c r="G19" i="6"/>
  <c r="G36" i="80" l="1"/>
  <c r="F36" i="80"/>
  <c r="J49" i="15"/>
  <c r="D42" i="43"/>
  <c r="D8" i="82" l="1"/>
  <c r="O4" i="82"/>
  <c r="O6" i="82"/>
  <c r="O7" i="82"/>
  <c r="O3" i="82"/>
  <c r="O8" i="82" s="1"/>
  <c r="N7" i="82"/>
  <c r="N6" i="82"/>
  <c r="N4" i="82"/>
  <c r="J8" i="82"/>
  <c r="C5" i="37"/>
  <c r="J7" i="82"/>
  <c r="I7" i="82"/>
  <c r="G7" i="82"/>
  <c r="I6" i="82"/>
  <c r="G6" i="82"/>
  <c r="G5" i="82"/>
  <c r="G4" i="82"/>
  <c r="I3" i="82"/>
  <c r="G3" i="82"/>
  <c r="K13" i="3"/>
  <c r="D33" i="43"/>
  <c r="E35" i="80"/>
  <c r="U23" i="1" s="1"/>
  <c r="E36" i="80"/>
  <c r="M20" i="1"/>
  <c r="I13" i="3" l="1"/>
  <c r="F19" i="6"/>
  <c r="C30" i="37" s="1"/>
  <c r="U21" i="1"/>
  <c r="V23" i="1" s="1"/>
  <c r="E38" i="80"/>
  <c r="E44" i="80"/>
  <c r="I7" i="6" s="1"/>
  <c r="I30" i="37"/>
  <c r="G30" i="37"/>
  <c r="E30" i="37"/>
  <c r="I41" i="37"/>
  <c r="G41" i="37"/>
  <c r="E41" i="37"/>
  <c r="I7" i="37"/>
  <c r="G7" i="37"/>
  <c r="E7" i="37"/>
  <c r="I5" i="37"/>
  <c r="G5" i="37"/>
  <c r="E5" i="37"/>
  <c r="AH6" i="1" l="1"/>
  <c r="L38" i="37"/>
  <c r="N38" i="37" s="1"/>
  <c r="O38" i="37" s="1"/>
  <c r="E10" i="37"/>
  <c r="C10" i="37"/>
  <c r="F104" i="37"/>
  <c r="E104" i="37"/>
  <c r="D104" i="37"/>
  <c r="C104" i="37"/>
  <c r="G102" i="37"/>
  <c r="F102" i="37"/>
  <c r="E102" i="37"/>
  <c r="D102" i="37"/>
  <c r="C102" i="37"/>
  <c r="N7" i="81" l="1"/>
  <c r="N6" i="1"/>
  <c r="B35" i="1"/>
  <c r="Y6" i="1" l="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J26" i="37" s="1"/>
  <c r="D79" i="37"/>
  <c r="E79" i="37" s="1"/>
  <c r="D75" i="37"/>
  <c r="E75" i="37" s="1"/>
  <c r="D73" i="37"/>
  <c r="E73" i="37" s="1"/>
  <c r="D71" i="37"/>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H26" i="37"/>
  <c r="AB26" i="37"/>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E103" i="37"/>
  <c r="F103" i="37" s="1"/>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c r="J14" i="40"/>
  <c r="W14" i="40"/>
  <c r="F14" i="40"/>
  <c r="AA14" i="40"/>
  <c r="J14" i="37"/>
  <c r="AC14" i="37" s="1"/>
  <c r="J27" i="37"/>
  <c r="AC27" i="37"/>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S32" i="37"/>
  <c r="W30" i="37"/>
  <c r="U32" i="37"/>
  <c r="AC35" i="37"/>
  <c r="W39" i="37"/>
  <c r="S30" i="37"/>
  <c r="S37" i="37"/>
  <c r="AC13" i="37"/>
  <c r="AA13" i="37"/>
  <c r="H10" i="37"/>
  <c r="AB10"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AB37" i="37"/>
  <c r="AC34" i="37"/>
  <c r="AB35"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F42" i="15"/>
  <c r="M9" i="15"/>
  <c r="B13" i="76"/>
  <c r="E11" i="76"/>
  <c r="L48" i="15"/>
  <c r="F26" i="15"/>
  <c r="J15" i="15"/>
  <c r="J15" i="67"/>
  <c r="E7" i="76"/>
  <c r="F6" i="15"/>
  <c r="F9" i="15"/>
  <c r="E10" i="76"/>
  <c r="D4" i="73"/>
  <c r="D6" i="73"/>
  <c r="M23" i="67"/>
  <c r="L47" i="67"/>
  <c r="M29" i="67"/>
  <c r="M24" i="67"/>
  <c r="M9" i="67"/>
  <c r="E9" i="76"/>
  <c r="B12" i="76"/>
  <c r="F7" i="15"/>
  <c r="B10" i="76"/>
  <c r="B7" i="76"/>
  <c r="F13" i="67"/>
  <c r="F16" i="67"/>
  <c r="M28" i="67"/>
  <c r="D7" i="73"/>
  <c r="F16" i="15"/>
  <c r="B8" i="76"/>
  <c r="F42" i="67"/>
  <c r="F38" i="15"/>
  <c r="F37" i="67"/>
  <c r="B11" i="76"/>
  <c r="AO13" i="1"/>
  <c r="M6" i="15"/>
  <c r="D5" i="73"/>
  <c r="F36" i="15"/>
  <c r="M29" i="15"/>
  <c r="M22" i="67"/>
  <c r="M26" i="67"/>
  <c r="L48" i="67"/>
  <c r="F43" i="67"/>
  <c r="F40" i="67"/>
  <c r="L47" i="15"/>
  <c r="F38" i="67"/>
  <c r="M8" i="67"/>
  <c r="F8" i="15"/>
  <c r="E2" i="69"/>
  <c r="F7" i="73"/>
  <c r="F5" i="73"/>
  <c r="F40" i="15"/>
  <c r="F9" i="67"/>
  <c r="M26" i="15"/>
  <c r="C76" i="67"/>
  <c r="M24" i="15"/>
  <c r="F20" i="31"/>
  <c r="M6" i="67"/>
  <c r="C76" i="15"/>
  <c r="E13" i="76"/>
  <c r="F6" i="67"/>
  <c r="M22" i="15"/>
  <c r="F7" i="67"/>
  <c r="F36" i="67"/>
  <c r="E12" i="76"/>
  <c r="F8" i="67"/>
  <c r="E8" i="76"/>
  <c r="F13" i="15"/>
  <c r="M8" i="15"/>
  <c r="F37" i="15"/>
  <c r="M28" i="15"/>
  <c r="F6" i="73"/>
  <c r="B9" i="76"/>
  <c r="F26" i="67"/>
  <c r="F4" i="73"/>
  <c r="F43" i="15"/>
  <c r="M23" i="15"/>
  <c r="E2" i="68"/>
  <c r="D3" i="73"/>
  <c r="AB15" i="37" l="1"/>
  <c r="U15" i="37"/>
  <c r="G6" i="1"/>
  <c r="I24" i="43"/>
  <c r="G44" i="43" s="1"/>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97" i="3"/>
  <c r="E140" i="3"/>
  <c r="E296" i="3"/>
  <c r="E205" i="3"/>
  <c r="AC29" i="37"/>
  <c r="F105" i="37"/>
  <c r="G105" i="37" s="1"/>
  <c r="J36" i="37"/>
  <c r="AC36" i="37" s="1"/>
  <c r="F36" i="37"/>
  <c r="H36" i="37"/>
  <c r="AB36" i="37" s="1"/>
  <c r="H33" i="37"/>
  <c r="H99" i="37"/>
  <c r="I99" i="37" s="1"/>
  <c r="J99" i="37" s="1"/>
  <c r="K99" i="37" s="1"/>
  <c r="L99" i="37" s="1"/>
  <c r="M99" i="37" s="1"/>
  <c r="J33" i="37"/>
  <c r="AC33" i="37" s="1"/>
  <c r="F33" i="37"/>
  <c r="AA33" i="37" s="1"/>
  <c r="AA31" i="37"/>
  <c r="AB31" i="37"/>
  <c r="W31" i="37"/>
  <c r="H23" i="37"/>
  <c r="F79" i="37"/>
  <c r="G79" i="37" s="1"/>
  <c r="F23" i="37"/>
  <c r="AA23" i="37" s="1"/>
  <c r="J23" i="37"/>
  <c r="J19" i="37"/>
  <c r="H19" i="37"/>
  <c r="AB19" i="37" s="1"/>
  <c r="F75" i="37"/>
  <c r="G75" i="37" s="1"/>
  <c r="F19" i="37"/>
  <c r="S19" i="37" s="1"/>
  <c r="H17" i="37"/>
  <c r="J17" i="37"/>
  <c r="W17" i="37" s="1"/>
  <c r="F17" i="37"/>
  <c r="F73" i="37"/>
  <c r="G73" i="37" s="1"/>
  <c r="AC15" i="37"/>
  <c r="U39" i="37"/>
  <c r="AA39" i="37"/>
  <c r="S15" i="37"/>
  <c r="S23" i="37"/>
  <c r="AA19" i="37"/>
  <c r="U19" i="37"/>
  <c r="AC17" i="37"/>
  <c r="AC26" i="37"/>
  <c r="W26" i="37"/>
  <c r="U34" i="37"/>
  <c r="S29" i="37"/>
  <c r="C28" i="67"/>
  <c r="E167" i="3"/>
  <c r="E212" i="3"/>
  <c r="E149" i="3"/>
  <c r="E148" i="3"/>
  <c r="E244" i="3"/>
  <c r="E536" i="3"/>
  <c r="E165" i="3"/>
  <c r="E539" i="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N370" i="46" l="1"/>
  <c r="G26" i="43"/>
  <c r="W33" i="37"/>
  <c r="W36" i="37"/>
  <c r="U36" i="37"/>
  <c r="AA36" i="37"/>
  <c r="S36" i="37"/>
  <c r="AB33" i="37"/>
  <c r="U33" i="37"/>
  <c r="W23" i="37"/>
  <c r="AC23" i="37"/>
  <c r="AB23" i="37"/>
  <c r="U23" i="37"/>
  <c r="AC19" i="37"/>
  <c r="W19" i="37"/>
  <c r="AA17" i="37"/>
  <c r="S17" i="37"/>
  <c r="U17" i="37"/>
  <c r="AB17" i="37"/>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1" i="43" l="1"/>
  <c r="Q8" i="82"/>
  <c r="L25" i="1"/>
  <c r="F35" i="6"/>
  <c r="C38" i="37"/>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M43" i="37" s="1"/>
  <c r="M45" i="37" s="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N25" i="1" l="1"/>
  <c r="N24" i="1" s="1"/>
  <c r="M24" i="1" s="1"/>
  <c r="M23" i="1" s="1"/>
  <c r="L24" i="1"/>
  <c r="B14" i="74"/>
  <c r="B1" i="74" s="1"/>
  <c r="D116" i="43"/>
  <c r="H38" i="37"/>
  <c r="F38" i="37"/>
  <c r="J38" i="37"/>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L27" i="1" l="1"/>
  <c r="N27" i="1" s="1"/>
  <c r="L28" i="1"/>
  <c r="N28" i="1" s="1"/>
  <c r="H21" i="6"/>
  <c r="H25" i="6"/>
  <c r="S38" i="37"/>
  <c r="AA38" i="37"/>
  <c r="R42" i="37" s="1"/>
  <c r="AC38" i="37"/>
  <c r="V42" i="37" s="1"/>
  <c r="I42" i="37" s="1"/>
  <c r="I46" i="37" s="1"/>
  <c r="J46" i="37" s="1"/>
  <c r="W38" i="37"/>
  <c r="AB38" i="37"/>
  <c r="T42" i="37" s="1"/>
  <c r="G42" i="37" s="1"/>
  <c r="U38" i="37"/>
  <c r="C25" i="1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I48" i="35"/>
  <c r="C48" i="33"/>
  <c r="C49" i="33"/>
  <c r="H58" i="21"/>
  <c r="E53" i="33"/>
  <c r="F53" i="33" s="1"/>
  <c r="E52" i="33"/>
  <c r="F52" i="33" s="1"/>
  <c r="C33" i="15"/>
  <c r="C33" i="67"/>
  <c r="J19" i="67"/>
  <c r="C34" i="68"/>
  <c r="E6" i="76"/>
  <c r="B6" i="76"/>
  <c r="C14" i="15"/>
  <c r="R43" i="37" l="1"/>
  <c r="E42" i="37"/>
  <c r="G47" i="37"/>
  <c r="H47" i="37" s="1"/>
  <c r="G46" i="37"/>
  <c r="H46" i="37"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42" i="37" l="1"/>
  <c r="C43" i="37"/>
  <c r="E46" i="37"/>
  <c r="F46" i="37" s="1"/>
  <c r="E47" i="37"/>
  <c r="F47" i="37" s="1"/>
  <c r="I47" i="37"/>
  <c r="J47" i="37" s="1"/>
  <c r="C21" i="12"/>
  <c r="C22" i="12" s="1"/>
  <c r="C30" i="12" s="1"/>
  <c r="C28" i="12" s="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7" i="12" l="1"/>
  <c r="C25" i="12" s="1"/>
  <c r="C32" i="12" s="1"/>
  <c r="B2" i="12" s="1"/>
  <c r="B3"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I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Q57" i="67" l="1"/>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C19" i="9"/>
  <c r="AO10" i="1"/>
  <c r="AO9" i="1"/>
  <c r="AO8" i="1"/>
  <c r="C102" i="9" l="1"/>
  <c r="C21" i="9"/>
  <c r="B3" i="37"/>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20" i="9"/>
  <c r="C103" i="9" l="1"/>
  <c r="G19" i="9"/>
  <c r="D28" i="9" s="1"/>
  <c r="D21" i="9"/>
  <c r="D102" i="9"/>
  <c r="D22" i="9"/>
  <c r="B6" i="70"/>
  <c r="B2" i="70" s="1"/>
  <c r="B3" i="70" s="1"/>
  <c r="G20" i="9"/>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32" i="9"/>
  <c r="D35" i="9" s="1"/>
  <c r="C35" i="9"/>
  <c r="C42" i="40"/>
  <c r="C43" i="40"/>
  <c r="E47" i="40"/>
  <c r="F47" i="40" s="1"/>
  <c r="E46" i="40"/>
  <c r="F46" i="40" s="1"/>
  <c r="I47" i="40"/>
  <c r="J47" i="40" s="1"/>
  <c r="C34" i="9" l="1"/>
  <c r="B58" i="40"/>
  <c r="F58" i="40" s="1"/>
  <c r="B54" i="40"/>
  <c r="F54" i="40" s="1"/>
  <c r="B53" i="40"/>
  <c r="F53" i="40" s="1"/>
  <c r="B59" i="40"/>
  <c r="F59" i="40" s="1"/>
  <c r="B52" i="40"/>
  <c r="F52" i="40" s="1"/>
  <c r="B56" i="40"/>
  <c r="F56" i="40" s="1"/>
  <c r="B60" i="40"/>
  <c r="F60" i="40" s="1"/>
  <c r="B57" i="40"/>
  <c r="F57" i="40" s="1"/>
  <c r="B51" i="40"/>
  <c r="F51" i="40" s="1"/>
  <c r="F61" i="40"/>
  <c r="B2" i="40" s="1"/>
  <c r="B3" i="40" s="1"/>
  <c r="D34" i="9"/>
  <c r="D118" i="9" l="1"/>
  <c r="D4" i="52" s="1"/>
  <c r="B47" i="72" s="1"/>
  <c r="F118" i="9"/>
  <c r="F4" i="52" s="1"/>
  <c r="B51" i="72" s="1"/>
  <c r="H118" i="9"/>
  <c r="D14" i="74" s="1"/>
  <c r="E35" i="6" s="1"/>
  <c r="G35" i="6" s="1"/>
  <c r="G34" i="6" s="1"/>
  <c r="F14" i="74" l="1"/>
  <c r="E14" i="74"/>
  <c r="B5" i="74"/>
  <c r="D5" i="74" s="1"/>
  <c r="F119" i="9"/>
  <c r="F5" i="52" s="1"/>
  <c r="B53" i="72" s="1"/>
  <c r="G118" i="9"/>
  <c r="G4" i="52" s="1"/>
  <c r="B52" i="72" s="1"/>
  <c r="D119" i="9"/>
  <c r="D5" i="52" s="1"/>
  <c r="B49" i="72" s="1"/>
  <c r="C104" i="9"/>
  <c r="I118" i="9"/>
  <c r="H101" i="9"/>
  <c r="H4" i="52"/>
  <c r="H119" i="9"/>
  <c r="H5" i="52" s="1"/>
  <c r="C105" i="9" l="1"/>
  <c r="I4" i="52"/>
  <c r="H102" i="9"/>
  <c r="E118" i="9"/>
  <c r="E4" i="52" s="1"/>
  <c r="B48" i="72" s="1"/>
  <c r="D5" i="53"/>
  <c r="H107" i="9"/>
  <c r="M48" i="9"/>
  <c r="D45" i="9"/>
  <c r="D53" i="9" l="1"/>
  <c r="D55" i="9"/>
  <c r="M53" i="9" s="1"/>
  <c r="C85" i="9"/>
  <c r="D52" i="9"/>
  <c r="C78" i="9"/>
  <c r="C73" i="9" s="1"/>
  <c r="C93" i="9"/>
  <c r="C86" i="9" s="1"/>
  <c r="C72" i="9"/>
  <c r="C64" i="9"/>
  <c r="C63" i="9" s="1"/>
  <c r="C67" i="9" s="1"/>
  <c r="M49" i="9"/>
  <c r="D13" i="53"/>
  <c r="H108" i="9"/>
  <c r="D122" i="9"/>
  <c r="G14" i="74" s="1"/>
  <c r="B6" i="74" s="1"/>
  <c r="D6" i="74" s="1"/>
  <c r="B20" i="72"/>
  <c r="D6" i="53"/>
  <c r="B22" i="72" s="1"/>
  <c r="C5" i="74"/>
  <c r="D7" i="53"/>
  <c r="B21" i="72" s="1"/>
  <c r="C79" i="9" l="1"/>
  <c r="D8" i="52"/>
  <c r="D123" i="9"/>
  <c r="D9" i="52" s="1"/>
  <c r="B30" i="72"/>
  <c r="D14" i="53"/>
  <c r="B32" i="72" s="1"/>
  <c r="D59" i="9"/>
  <c r="M55" i="9" s="1"/>
  <c r="C68" i="9"/>
  <c r="D54" i="9" s="1"/>
  <c r="D15" i="53"/>
  <c r="B31" i="72" s="1"/>
  <c r="C6" i="74"/>
  <c r="L65" i="9"/>
  <c r="M65" i="9" s="1"/>
  <c r="L66" i="9"/>
  <c r="M66" i="9" s="1"/>
  <c r="L64" i="9"/>
  <c r="M64" i="9" s="1"/>
  <c r="L67" i="9"/>
  <c r="M67" i="9" s="1"/>
  <c r="L68" i="9"/>
  <c r="M68" i="9" s="1"/>
  <c r="L63" i="9"/>
  <c r="M63" i="9" s="1"/>
  <c r="C95" i="9"/>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StevenChan</author>
  </authors>
  <commentList>
    <comment ref="D7" authorId="0">
      <text>
        <r>
          <rPr>
            <sz val="9"/>
            <rFont val="宋体"/>
            <family val="3"/>
            <charset val="134"/>
          </rPr>
          <t>其中53.1平米为消防面积减按5.25元/天/平米（含税含物业费）计算，787.3平米按10.5/天/平方米（含税含物业费）计算</t>
        </r>
      </text>
    </comment>
    <comment ref="E7" authorId="0">
      <text>
        <r>
          <rPr>
            <sz val="9"/>
            <rFont val="宋体"/>
            <family val="3"/>
            <charset val="134"/>
          </rPr>
          <t>其中53.1平米为消防面积减按5.25元/天/平米（含税含物业费）计算，787.3平米按10.5/天/平方米（含税含物业费）计算</t>
        </r>
      </text>
    </comment>
    <comment ref="G7" authorId="0">
      <text>
        <r>
          <rPr>
            <sz val="9"/>
            <rFont val="宋体"/>
            <family val="3"/>
            <charset val="134"/>
          </rPr>
          <t>53.1</t>
        </r>
        <r>
          <rPr>
            <sz val="9"/>
            <rFont val="宋体"/>
            <family val="3"/>
            <charset val="134"/>
          </rPr>
          <t>平米消防面积不含税5元/天/平米（含物业费）</t>
        </r>
      </text>
    </comment>
    <comment ref="H7" authorId="0">
      <text>
        <r>
          <rPr>
            <sz val="9"/>
            <rFont val="宋体"/>
            <family val="3"/>
            <charset val="134"/>
          </rPr>
          <t xml:space="preserve">53.1平米消防面积含税5.25元/天/平米（含物业费）
</t>
        </r>
      </text>
    </comment>
    <comment ref="I7" authorId="0">
      <text>
        <r>
          <rPr>
            <sz val="9"/>
            <rFont val="宋体"/>
            <family val="3"/>
            <charset val="134"/>
          </rPr>
          <t xml:space="preserve">总面积840.1平米计算（包含53.1平米消防面积）
</t>
        </r>
      </text>
    </comment>
    <comment ref="J7" authorId="0">
      <text>
        <r>
          <rPr>
            <sz val="9"/>
            <rFont val="宋体"/>
            <family val="3"/>
            <charset val="134"/>
          </rPr>
          <t>总面积840.1平米计算（包含53.1平米消防面积）</t>
        </r>
      </text>
    </comment>
    <comment ref="L7" authorId="0">
      <text>
        <r>
          <rPr>
            <sz val="9"/>
            <rFont val="宋体"/>
            <family val="3"/>
            <charset val="134"/>
          </rPr>
          <t>787.3</t>
        </r>
        <r>
          <rPr>
            <sz val="9"/>
            <rFont val="宋体"/>
            <family val="3"/>
            <charset val="134"/>
          </rPr>
          <t>平米物业管理费为1元/天/平米，53.1平米消防面积物业管理费为0.5元/天/平米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<sst xmlns="http://schemas.openxmlformats.org/spreadsheetml/2006/main" count="8352" uniqueCount="3708">
  <si>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</si>
  <si>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</si>
  <si>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</si>
  <si>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</si>
  <si>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</si>
  <si>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</si>
  <si>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</si>
  <si>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</si>
  <si>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</si>
  <si>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</si>
  <si>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</si>
  <si>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</si>
  <si>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</si>
  <si>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</si>
  <si>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</si>
  <si>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</si>
  <si>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</si>
  <si>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</si>
  <si>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</si>
  <si>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</si>
  <si>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</si>
  <si>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</si>
  <si>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</si>
  <si>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</si>
  <si>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</si>
  <si>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</si>
  <si>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</si>
  <si>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</si>
  <si>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</si>
  <si>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</si>
  <si>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</si>
  <si>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</si>
  <si>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</si>
  <si>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</si>
  <si>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</si>
  <si>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</si>
  <si>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</si>
  <si>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</si>
  <si>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</si>
  <si>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</si>
  <si>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</si>
  <si>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</si>
  <si>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</si>
  <si>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</si>
  <si>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</si>
  <si>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</si>
  <si>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</si>
  <si>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</si>
  <si>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</si>
  <si>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</si>
  <si>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</si>
  <si>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</si>
  <si>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</si>
  <si>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</si>
  <si>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</si>
  <si>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</si>
  <si>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</si>
  <si>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</si>
  <si>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</si>
  <si>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</si>
  <si>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</si>
  <si>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</si>
  <si>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</si>
  <si>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</si>
  <si>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</si>
  <si>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</si>
  <si>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</si>
  <si>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</si>
  <si>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</si>
  <si>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</si>
  <si>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</si>
  <si>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</si>
  <si>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</si>
  <si>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</si>
  <si>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</si>
  <si>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</si>
  <si>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</si>
  <si>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</si>
  <si>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</si>
  <si>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</si>
  <si>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</si>
  <si>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</si>
  <si>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</si>
  <si>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</si>
  <si>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</si>
  <si>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</si>
  <si>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</si>
  <si>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</si>
  <si>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</si>
  <si>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</si>
  <si>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</si>
  <si>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</si>
  <si>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</si>
  <si>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</si>
  <si>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</si>
  <si>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</si>
  <si>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</si>
  <si>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</si>
  <si>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</si>
  <si>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</si>
  <si>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</si>
  <si>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</si>
  <si>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</si>
  <si>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</si>
  <si>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</si>
  <si>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</si>
  <si>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</si>
  <si>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</si>
  <si>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</si>
  <si>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</si>
  <si>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</si>
  <si>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</si>
  <si>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</si>
  <si>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</si>
  <si>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</si>
  <si>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</si>
  <si>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</si>
  <si>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</si>
  <si>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</si>
  <si>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</si>
  <si>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</si>
  <si>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</si>
  <si>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</si>
  <si>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</si>
  <si>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</si>
  <si>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</si>
  <si>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</si>
  <si>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</si>
  <si>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</si>
  <si>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</si>
  <si>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</si>
  <si>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</si>
  <si>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</si>
  <si>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</si>
  <si>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</si>
  <si>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</si>
  <si>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</si>
  <si>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</si>
  <si>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</si>
  <si>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</si>
  <si>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</si>
  <si>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</si>
  <si>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</si>
  <si>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</si>
  <si>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</si>
  <si>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</si>
  <si>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</si>
  <si>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</si>
  <si>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</si>
  <si>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</si>
  <si>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</si>
  <si>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</si>
  <si>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</si>
  <si>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</si>
  <si>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</si>
  <si>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</si>
  <si>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</si>
  <si>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</si>
  <si>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</si>
  <si>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</si>
  <si>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</si>
  <si>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</si>
  <si>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</si>
  <si>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</si>
  <si>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</si>
  <si>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</si>
  <si>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</si>
  <si>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</si>
  <si>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</si>
  <si>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</si>
  <si>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</si>
  <si>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</si>
  <si>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</si>
  <si>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</si>
  <si>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</si>
  <si>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</si>
  <si>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</si>
  <si>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</si>
  <si>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</si>
  <si>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</si>
  <si>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</si>
  <si>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</si>
  <si>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</si>
  <si>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</si>
  <si>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</si>
  <si>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</si>
  <si>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</si>
  <si>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</si>
  <si>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</si>
  <si>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</si>
  <si>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</si>
  <si>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</si>
  <si>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</si>
  <si>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</si>
  <si>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</si>
  <si>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</si>
  <si>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</si>
  <si>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</si>
  <si>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</si>
  <si>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</si>
  <si>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</si>
  <si>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</si>
  <si>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</si>
  <si>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</si>
  <si>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</si>
  <si>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</si>
  <si>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</si>
  <si>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</si>
  <si>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</si>
  <si>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</si>
  <si>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</si>
  <si>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</si>
  <si>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</si>
  <si>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</si>
  <si>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</si>
  <si>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</si>
  <si>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</si>
  <si>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</si>
  <si>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</si>
  <si>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</si>
  <si>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</si>
  <si>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</si>
  <si>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</si>
  <si>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</si>
  <si>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</si>
  <si>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</si>
  <si>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</si>
  <si>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</si>
  <si>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</si>
  <si>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</si>
  <si>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</si>
  <si>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</si>
  <si>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</si>
  <si>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</si>
  <si>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</si>
  <si>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</si>
  <si>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</si>
  <si>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</si>
  <si>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</si>
  <si>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</si>
  <si>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</si>
  <si>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</si>
  <si>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</si>
  <si>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</si>
  <si>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</si>
  <si>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</si>
  <si>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</si>
  <si>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</si>
  <si>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</si>
  <si>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</si>
  <si>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</si>
  <si>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</si>
  <si>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</si>
  <si>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</si>
  <si>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</si>
  <si>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</si>
  <si>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</si>
  <si>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</si>
  <si>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</si>
  <si>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</si>
  <si>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</si>
  <si>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</si>
  <si>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</si>
  <si>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</si>
  <si>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</si>
  <si>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</si>
  <si>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</si>
  <si>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</si>
  <si>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</si>
  <si>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</si>
  <si>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</si>
  <si>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</si>
  <si>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</si>
  <si>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</si>
  <si>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</si>
  <si>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</si>
  <si>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</si>
  <si>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</si>
  <si>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</si>
  <si>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</si>
  <si>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</si>
  <si>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</si>
  <si>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</si>
  <si>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</si>
  <si>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</si>
  <si>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</si>
  <si>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</si>
  <si>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</si>
  <si>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</si>
  <si>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</si>
  <si>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</si>
  <si>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</si>
  <si>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</si>
  <si>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</si>
  <si>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</si>
  <si>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</si>
  <si>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</si>
  <si>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</si>
  <si>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</si>
  <si>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</si>
  <si>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</si>
  <si>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</si>
  <si>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</si>
  <si>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</si>
  <si>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</si>
  <si>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</si>
  <si>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</si>
  <si>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</si>
  <si>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</si>
  <si>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</si>
  <si>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</si>
  <si>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</si>
  <si>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</si>
  <si>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</si>
  <si>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</si>
  <si>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</si>
  <si>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</si>
  <si>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</si>
  <si>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</si>
  <si>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</si>
  <si>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</si>
  <si>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</si>
  <si>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</si>
  <si>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</si>
  <si>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</si>
  <si>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</si>
  <si>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</si>
  <si>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</si>
  <si>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</si>
  <si>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</si>
  <si>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</si>
  <si>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</si>
  <si>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</si>
  <si>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</si>
  <si>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</si>
  <si>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</si>
  <si>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</si>
  <si>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</si>
  <si>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</si>
  <si>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</si>
  <si>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</si>
  <si>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</si>
  <si>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</si>
  <si>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</si>
  <si>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</si>
  <si>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</si>
  <si>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</si>
  <si>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</si>
  <si>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</si>
  <si>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</si>
  <si>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</si>
  <si>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</si>
  <si>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</si>
  <si>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</si>
  <si>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</si>
  <si>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</si>
  <si>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</si>
  <si>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</si>
  <si>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</si>
  <si>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</si>
  <si>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</si>
  <si>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</si>
  <si>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</si>
  <si>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</si>
  <si>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</si>
  <si>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</si>
  <si>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</si>
  <si>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</si>
  <si>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</si>
  <si>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</si>
  <si>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</si>
  <si>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</si>
  <si>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</si>
  <si>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</si>
  <si>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</si>
  <si>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</si>
  <si>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</si>
  <si>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</si>
  <si>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</si>
  <si>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</si>
  <si>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</si>
  <si>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</si>
  <si>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</si>
  <si>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</si>
  <si>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</si>
  <si>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</si>
  <si>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</si>
  <si>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</si>
  <si>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</si>
  <si>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</si>
  <si>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</si>
  <si>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</si>
  <si>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</si>
  <si>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</si>
  <si>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</si>
  <si>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</si>
  <si>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</si>
  <si>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</si>
  <si>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</si>
  <si>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</si>
  <si>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</si>
  <si>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</si>
  <si>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</si>
  <si>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</si>
  <si>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</si>
  <si>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</si>
  <si>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</si>
  <si>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</si>
  <si>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</si>
  <si>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</si>
  <si>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</si>
  <si>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</si>
  <si>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</si>
  <si>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</si>
  <si>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</si>
  <si>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</si>
  <si>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</si>
  <si>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</si>
  <si>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</si>
  <si>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</si>
  <si>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</si>
  <si>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</si>
  <si>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</si>
  <si>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</si>
  <si>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</si>
  <si>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</si>
  <si>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</si>
  <si>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</si>
  <si>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</si>
  <si>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</si>
  <si>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</si>
  <si>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</si>
  <si>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</si>
  <si>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</si>
  <si>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</si>
  <si>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</si>
  <si>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</si>
  <si>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</si>
  <si>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</si>
  <si>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</si>
  <si>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</si>
  <si>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</si>
  <si>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</si>
  <si>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</si>
  <si>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</si>
  <si>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</si>
  <si>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</si>
  <si>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</si>
  <si>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</si>
  <si>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</si>
  <si>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</si>
  <si>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</si>
  <si>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</si>
  <si>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</si>
  <si>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</si>
  <si>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</si>
  <si>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</si>
  <si>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</si>
  <si>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</si>
  <si>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</si>
  <si>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</si>
  <si>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</si>
  <si>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</si>
  <si>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</si>
  <si>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</si>
  <si>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</si>
  <si>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</si>
  <si>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</si>
  <si>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</si>
  <si>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</si>
  <si>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</si>
  <si>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</si>
  <si>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</si>
  <si>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</si>
  <si>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</si>
  <si>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</si>
  <si>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</si>
  <si>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</si>
  <si>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</si>
  <si>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</si>
  <si>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</si>
  <si>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</si>
  <si>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</si>
  <si>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</si>
  <si>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</si>
  <si>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</si>
  <si>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</si>
  <si>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</si>
  <si>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</si>
  <si>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</si>
  <si>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</si>
  <si>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</si>
  <si>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</si>
  <si>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</si>
  <si>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</si>
  <si>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</si>
  <si>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</si>
  <si>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</si>
  <si>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</si>
  <si>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</si>
  <si>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</si>
  <si>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</si>
  <si>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</si>
  <si>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</si>
  <si>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</si>
  <si>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</si>
  <si>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</si>
  <si>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</si>
  <si>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</si>
  <si>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</si>
  <si>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</si>
  <si>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</si>
  <si>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</si>
  <si>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</si>
  <si>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</si>
  <si>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</si>
  <si>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</si>
  <si>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</si>
  <si>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</si>
  <si>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</si>
  <si>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</si>
  <si>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</si>
  <si>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</si>
  <si>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</si>
  <si>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</si>
  <si>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</si>
  <si>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</si>
  <si>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</si>
  <si>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</si>
  <si>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</si>
  <si>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</si>
  <si>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</si>
  <si>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</si>
  <si>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</si>
  <si>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</si>
  <si>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</si>
  <si>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</si>
  <si>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</si>
  <si>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</si>
  <si>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</si>
  <si>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</si>
  <si>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</si>
  <si>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</si>
  <si>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</si>
  <si>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</si>
  <si>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</si>
  <si>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</si>
  <si>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</si>
  <si>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</si>
  <si>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</si>
  <si>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</si>
  <si>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</si>
  <si>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</si>
  <si>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</si>
  <si>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</si>
  <si>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</si>
  <si>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</si>
  <si>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</si>
  <si>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</si>
  <si>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</si>
  <si>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</si>
  <si>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</si>
  <si>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</si>
  <si>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</si>
  <si>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</si>
  <si>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</si>
  <si>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</si>
  <si>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</si>
  <si>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</si>
  <si>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</si>
  <si>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</si>
  <si>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</si>
  <si>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</si>
  <si>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</si>
  <si>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</si>
  <si>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</si>
  <si>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</si>
  <si>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</si>
  <si>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</si>
  <si>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</si>
  <si>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</si>
  <si>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</si>
  <si>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</si>
  <si>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</si>
  <si>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</si>
  <si>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</si>
  <si>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</si>
  <si>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</si>
  <si>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</si>
  <si>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</si>
  <si>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</si>
  <si>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</si>
  <si>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</si>
  <si>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</si>
  <si>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</si>
  <si>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</si>
  <si>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</si>
  <si>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</si>
  <si>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</si>
  <si>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</si>
  <si>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</si>
  <si>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</si>
  <si>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</si>
  <si>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</si>
  <si>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</si>
  <si>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</si>
  <si>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</si>
  <si>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</si>
  <si>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</si>
  <si>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</si>
  <si>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</si>
  <si>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</si>
  <si>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</si>
  <si>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</si>
  <si>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</si>
  <si>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</si>
  <si>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</si>
  <si>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</si>
  <si>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</si>
  <si>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</si>
  <si>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</si>
  <si>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</si>
  <si>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</si>
  <si>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</si>
  <si>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</si>
  <si>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</si>
  <si>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</si>
  <si>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</si>
  <si>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</si>
  <si>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</si>
  <si>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</si>
  <si>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</si>
  <si>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</si>
  <si>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</si>
  <si>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</si>
  <si>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</si>
  <si>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</si>
  <si>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</si>
  <si>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</si>
  <si>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</si>
  <si>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</si>
  <si>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</si>
  <si>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</si>
  <si>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</si>
  <si>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</si>
  <si>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</si>
  <si>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</si>
  <si>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</si>
  <si>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</si>
  <si>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</si>
  <si>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</si>
  <si>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</si>
  <si>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</si>
  <si>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</si>
  <si>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</si>
  <si>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</si>
  <si>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</si>
  <si>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</si>
  <si>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</si>
  <si>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</si>
  <si>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</si>
  <si>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</si>
  <si>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</si>
  <si>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</si>
  <si>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</si>
  <si>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</si>
  <si>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</si>
  <si>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</si>
  <si>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</si>
  <si>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</si>
  <si>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</si>
  <si>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</si>
  <si>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</si>
  <si>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</si>
  <si>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</si>
  <si>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</si>
  <si>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</si>
  <si>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</si>
  <si>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</si>
  <si>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</si>
  <si>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</si>
  <si>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</si>
  <si>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</si>
  <si>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</si>
  <si>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</si>
  <si>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</si>
  <si>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</si>
  <si>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</si>
  <si>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</si>
  <si>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</si>
  <si>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</si>
  <si>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</si>
  <si>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</si>
  <si>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</si>
  <si>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</si>
  <si>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</si>
  <si>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</si>
  <si>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</si>
  <si>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</si>
  <si>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</si>
  <si>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</si>
  <si>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</si>
  <si>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</si>
  <si>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</si>
  <si>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</si>
  <si>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</si>
  <si>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</si>
  <si>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</si>
  <si>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</si>
  <si>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</si>
  <si>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</si>
  <si>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</si>
  <si>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</si>
  <si>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</si>
  <si>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</si>
  <si>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</si>
  <si>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</si>
  <si>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</si>
  <si>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</si>
  <si>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</si>
  <si>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</si>
  <si>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</si>
  <si>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</si>
  <si>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</si>
  <si>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</si>
  <si>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</si>
  <si>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</si>
  <si>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</si>
  <si>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</si>
  <si>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</si>
  <si>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</si>
  <si>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</si>
  <si>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</si>
  <si>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</si>
  <si>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</si>
  <si>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</si>
  <si>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</si>
  <si>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</si>
  <si>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</si>
  <si>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</si>
  <si>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</si>
  <si>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</si>
  <si>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</si>
  <si>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</si>
  <si>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</si>
  <si>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</si>
  <si>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</si>
  <si>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</si>
  <si>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</si>
  <si>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</si>
  <si>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</si>
  <si>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</si>
  <si>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</si>
  <si>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</si>
  <si>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</si>
  <si>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</si>
  <si>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</si>
  <si>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</si>
  <si>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</si>
  <si>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</si>
  <si>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</si>
  <si>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</si>
  <si>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</si>
  <si>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</si>
  <si>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</si>
  <si>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</si>
  <si>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</si>
  <si>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</si>
  <si>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</si>
  <si>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</si>
  <si>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</si>
  <si>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</si>
  <si>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</si>
  <si>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</si>
  <si>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</si>
  <si>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</si>
  <si>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</si>
  <si>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</si>
  <si>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</si>
  <si>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</si>
  <si>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</si>
  <si>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</si>
  <si>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</si>
  <si>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</si>
  <si>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</si>
  <si>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</si>
  <si>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</si>
  <si>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</si>
  <si>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</si>
  <si>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</si>
  <si>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</si>
  <si>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</si>
  <si>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</si>
  <si>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</si>
  <si>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</si>
  <si>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</si>
  <si>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</si>
  <si>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</si>
  <si>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</si>
  <si>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</si>
  <si>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</si>
  <si>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</si>
  <si>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</si>
  <si>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</si>
  <si>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</si>
  <si>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</si>
  <si>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</si>
  <si>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</si>
  <si>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</si>
  <si>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</si>
  <si>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</si>
  <si>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</si>
  <si>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</si>
  <si>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</si>
  <si>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</si>
  <si>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</si>
  <si>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</si>
  <si>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</si>
  <si>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</si>
  <si>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</si>
  <si>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</si>
  <si>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</si>
  <si>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</si>
  <si>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</si>
  <si>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</si>
  <si>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</si>
  <si>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</si>
  <si>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</si>
  <si>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</si>
  <si>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</si>
  <si>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</si>
  <si>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</si>
  <si>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</si>
  <si>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</si>
  <si>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</si>
  <si>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</si>
  <si>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</si>
  <si>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</si>
  <si>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</si>
  <si>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</si>
  <si>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</si>
  <si>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</si>
  <si>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</si>
  <si>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</si>
  <si>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</si>
  <si>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</si>
  <si>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</si>
  <si>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</si>
  <si>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</si>
  <si>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</si>
  <si>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</si>
  <si>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</si>
  <si>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</si>
  <si>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</si>
  <si>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</si>
  <si>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</si>
  <si>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</si>
  <si>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</si>
  <si>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</si>
  <si>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</si>
  <si>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</si>
  <si>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</si>
  <si>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</si>
  <si>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</si>
  <si>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</si>
  <si>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</si>
  <si>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</si>
  <si>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</si>
  <si>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</si>
  <si>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</si>
  <si>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</si>
  <si>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</si>
  <si>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</si>
  <si>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</si>
  <si>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</si>
  <si>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</si>
  <si>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</si>
  <si>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</si>
  <si>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</si>
  <si>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</si>
  <si>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</si>
  <si>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</si>
  <si>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</si>
  <si>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</si>
  <si>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</si>
  <si>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</si>
  <si>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</si>
  <si>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</si>
  <si>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</si>
  <si>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</si>
  <si>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</si>
  <si>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</si>
  <si>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</si>
  <si>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</si>
  <si>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</si>
  <si>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</si>
  <si>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</si>
  <si>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</si>
  <si>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</si>
  <si>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</si>
  <si>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</si>
  <si>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</si>
  <si>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</si>
  <si>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</si>
  <si>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</si>
  <si>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</si>
  <si>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</si>
  <si>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</si>
  <si>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</si>
  <si>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</si>
  <si>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</si>
  <si>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</si>
  <si>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</si>
  <si>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</si>
  <si>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</si>
  <si>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</si>
  <si>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</si>
  <si>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</si>
  <si>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</si>
  <si>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</si>
  <si>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</si>
  <si>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</si>
  <si>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</si>
  <si>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</si>
  <si>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</si>
  <si>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</si>
  <si>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</si>
  <si>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</si>
  <si>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</si>
  <si>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</si>
  <si>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</si>
  <si>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</si>
  <si>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</si>
  <si>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</si>
  <si>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</si>
  <si>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</si>
  <si>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</si>
  <si>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</si>
  <si>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</si>
  <si>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</si>
  <si>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</si>
  <si>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</si>
  <si>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</si>
  <si>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</si>
  <si>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</si>
  <si>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</si>
  <si>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</si>
  <si>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</si>
  <si>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</si>
  <si>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</si>
  <si>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</si>
  <si>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</si>
  <si>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</si>
  <si>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</si>
  <si>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</si>
  <si>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</si>
  <si>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</si>
  <si>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</si>
  <si>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</si>
  <si>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</si>
  <si>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</si>
  <si>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</si>
  <si>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</si>
  <si>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</si>
  <si>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</si>
  <si>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</si>
  <si>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</si>
  <si>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</si>
  <si>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</si>
  <si>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</si>
  <si>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</si>
  <si>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</si>
  <si>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</si>
  <si>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</si>
  <si>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</si>
  <si>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</si>
  <si>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</si>
  <si>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</si>
  <si>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</si>
  <si>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</si>
  <si>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</si>
  <si>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</si>
  <si>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</si>
  <si>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</si>
  <si>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</si>
  <si>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</si>
  <si>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</si>
  <si>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</si>
  <si>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</si>
  <si>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</si>
  <si>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</si>
  <si>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</si>
  <si>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</si>
  <si>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</si>
  <si>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</si>
  <si>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</si>
  <si>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</si>
  <si>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</si>
  <si>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</si>
  <si>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</si>
  <si>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</si>
  <si>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</si>
  <si>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</si>
  <si>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</si>
  <si>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</si>
  <si>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</si>
  <si>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</si>
  <si>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</si>
  <si>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</si>
  <si>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</si>
  <si>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</si>
  <si>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</si>
  <si>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</si>
  <si>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</si>
  <si>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</si>
  <si>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</si>
  <si>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</si>
  <si>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</si>
  <si>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</si>
  <si>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</si>
  <si>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</si>
  <si>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</si>
  <si>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</si>
  <si>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</si>
  <si>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</si>
  <si>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</si>
  <si>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</si>
  <si>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</si>
  <si>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</si>
  <si>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</si>
  <si>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</si>
  <si>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</si>
  <si>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</si>
  <si>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</si>
  <si>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</si>
  <si>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</si>
  <si>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</si>
  <si>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</si>
  <si>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</si>
  <si>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</si>
  <si>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</si>
  <si>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</si>
  <si>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</si>
  <si>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</si>
  <si>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</si>
  <si>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</si>
  <si>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</si>
  <si>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</si>
  <si>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</si>
  <si>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</si>
  <si>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</si>
  <si>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</si>
  <si>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</si>
  <si>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</si>
  <si>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</si>
  <si>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</si>
  <si>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</si>
  <si>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</si>
  <si>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</si>
  <si>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</si>
  <si>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</si>
  <si>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</si>
  <si>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</si>
  <si>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</si>
  <si>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</si>
  <si>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</si>
  <si>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</si>
  <si>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</si>
  <si>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</si>
  <si>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</si>
  <si>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</si>
  <si>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</si>
  <si>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</si>
  <si>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</si>
  <si>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</si>
  <si>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</si>
  <si>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</si>
  <si>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</si>
  <si>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</si>
  <si>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</si>
  <si>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</si>
  <si>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</si>
  <si>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</si>
  <si>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</si>
  <si>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</si>
  <si>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</si>
  <si>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</si>
  <si>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</si>
  <si>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</si>
  <si>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</si>
  <si>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</si>
  <si>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</si>
  <si>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</si>
  <si>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</si>
  <si>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</si>
  <si>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</si>
  <si>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</si>
  <si>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</si>
  <si>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</si>
  <si>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</si>
  <si>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</si>
  <si>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</si>
  <si>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</si>
  <si>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</si>
  <si>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</si>
  <si>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</si>
  <si>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</si>
  <si>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</si>
  <si>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</si>
  <si>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</si>
  <si>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</si>
  <si>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</si>
  <si>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</si>
  <si>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</si>
  <si>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</si>
  <si>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</si>
  <si>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</si>
  <si>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</si>
  <si>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</si>
  <si>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</si>
  <si>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</si>
  <si>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</si>
  <si>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</si>
  <si>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</si>
  <si>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</si>
  <si>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</si>
  <si>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</si>
  <si>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</si>
  <si>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</si>
  <si>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</si>
  <si>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</si>
  <si>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</si>
  <si>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</si>
  <si>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</si>
  <si>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</si>
  <si>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</si>
  <si>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</si>
  <si>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</si>
  <si>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</si>
  <si>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</si>
  <si>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</si>
  <si>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</si>
  <si>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</si>
  <si>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</si>
  <si>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</si>
  <si>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</si>
  <si>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</si>
  <si>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</si>
  <si>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</si>
  <si>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</si>
  <si>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</si>
  <si>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</si>
  <si>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</si>
  <si>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</si>
  <si>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</si>
  <si>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</si>
  <si>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</si>
  <si>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</si>
  <si>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</si>
  <si>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</si>
  <si>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</si>
  <si>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</si>
  <si>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</si>
  <si>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</si>
  <si>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</si>
  <si>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</si>
  <si>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</si>
  <si>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</si>
  <si>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</si>
  <si>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</si>
  <si>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</si>
  <si>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</si>
  <si>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</si>
  <si>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</si>
  <si>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</si>
  <si>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</si>
  <si>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</si>
  <si>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</si>
  <si>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</si>
  <si>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</si>
  <si>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</si>
  <si>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</si>
  <si>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</si>
  <si>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</si>
  <si>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</si>
  <si>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</si>
  <si>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</si>
  <si>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</si>
  <si>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</si>
  <si>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</si>
  <si>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</si>
  <si>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</si>
  <si>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</si>
  <si>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</si>
  <si>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</si>
  <si>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</si>
  <si>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</si>
  <si>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</si>
  <si>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</si>
  <si>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</si>
  <si>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</si>
  <si>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</si>
  <si>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</si>
  <si>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</si>
  <si>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</si>
  <si>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</si>
  <si>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</si>
  <si>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</si>
  <si>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</si>
  <si>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</si>
  <si>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</si>
  <si>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</si>
  <si>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</si>
  <si>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</si>
  <si>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</si>
  <si>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</si>
  <si>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</si>
  <si>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</si>
  <si>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</si>
  <si>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</si>
  <si>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</si>
  <si>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</si>
  <si>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</si>
  <si>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</si>
  <si>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</si>
  <si>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</si>
  <si>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</si>
  <si>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</si>
  <si>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</si>
  <si>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</si>
  <si>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</si>
  <si>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</si>
  <si>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</si>
  <si>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</si>
  <si>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</si>
  <si>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</si>
  <si>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</si>
  <si>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</si>
  <si>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</si>
  <si>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</si>
  <si>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</si>
  <si>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</si>
  <si>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</si>
  <si>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</si>
  <si>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</si>
  <si>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</si>
  <si>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</si>
  <si>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</si>
  <si>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</si>
  <si>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</si>
  <si>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</si>
  <si>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</si>
  <si>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</si>
  <si>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</si>
  <si>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</si>
  <si>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</si>
  <si>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</si>
  <si>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</si>
  <si>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</si>
  <si>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</si>
  <si>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</si>
  <si>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</si>
  <si>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</si>
  <si>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</si>
  <si>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</si>
  <si>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</si>
  <si>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</si>
  <si>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</si>
  <si>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</si>
  <si>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</si>
  <si>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</si>
  <si>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</si>
  <si>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</si>
  <si>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</si>
  <si>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</si>
  <si>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</si>
  <si>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</si>
  <si>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</si>
  <si>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</si>
  <si>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</si>
  <si>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</si>
  <si>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</si>
  <si>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</si>
  <si>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</si>
  <si>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</si>
  <si>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</si>
  <si>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</si>
  <si>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</si>
  <si>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</si>
  <si>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</si>
  <si>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</si>
  <si>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</si>
  <si>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</si>
  <si>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</si>
  <si>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</si>
  <si>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</si>
  <si>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</si>
  <si>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</si>
  <si>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</si>
  <si>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</si>
  <si>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</si>
  <si>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</si>
  <si>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</si>
  <si>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</si>
  <si>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</si>
  <si>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</si>
  <si>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</si>
  <si>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</si>
  <si>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</si>
  <si>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</si>
  <si>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</si>
  <si>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</si>
  <si>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</si>
  <si>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</si>
  <si>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</si>
  <si>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</si>
  <si>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</si>
  <si>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</si>
  <si>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</si>
  <si>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</si>
  <si>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</si>
  <si>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</si>
  <si>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</si>
  <si>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</si>
  <si>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</si>
  <si>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</si>
  <si>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</si>
  <si>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</si>
  <si>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</si>
  <si>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</si>
  <si>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</si>
  <si>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</si>
  <si>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</si>
  <si>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</si>
  <si>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</si>
  <si>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</si>
  <si>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</si>
  <si>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</si>
  <si>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</si>
  <si>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</si>
  <si>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</si>
  <si>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</si>
  <si>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</si>
  <si>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</si>
  <si>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</si>
  <si>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</si>
  <si>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</si>
  <si>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</si>
  <si>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</si>
  <si>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</si>
  <si>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</si>
  <si>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</si>
  <si>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</si>
  <si>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</si>
  <si>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</si>
  <si>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</si>
  <si>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</si>
  <si>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</si>
  <si>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</si>
  <si>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</si>
  <si>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</si>
  <si>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</si>
  <si>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</si>
  <si>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</si>
  <si>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</si>
  <si>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</si>
  <si>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</si>
  <si>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</si>
  <si>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</si>
  <si>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</si>
  <si>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</si>
  <si>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</si>
  <si>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</si>
  <si>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</si>
  <si>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</si>
  <si>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</si>
  <si>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</si>
  <si>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</si>
  <si>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</si>
  <si>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</si>
  <si>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</si>
  <si>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</si>
  <si>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</si>
  <si>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</si>
  <si>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</si>
  <si>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</si>
  <si>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</si>
  <si>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</si>
  <si>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</si>
  <si>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</si>
  <si>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</si>
  <si>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</si>
  <si>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</si>
  <si>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</si>
  <si>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</si>
  <si>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</si>
  <si>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</si>
  <si>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</si>
  <si>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</si>
  <si>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</si>
  <si>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</si>
  <si>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</si>
  <si>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</si>
  <si>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</si>
  <si>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</si>
  <si>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</si>
  <si>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</si>
  <si>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</si>
  <si>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</si>
  <si>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</si>
  <si>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</si>
  <si>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</si>
  <si>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</si>
  <si>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</si>
  <si>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</si>
  <si>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</si>
  <si>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</si>
  <si>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</si>
  <si>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</si>
  <si>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</si>
  <si>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</si>
  <si>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</si>
  <si>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</si>
  <si>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</si>
  <si>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</si>
  <si>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</si>
  <si>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</si>
  <si>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</si>
  <si>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</si>
  <si>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</si>
  <si>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</si>
  <si>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</si>
  <si>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</si>
  <si>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</si>
  <si>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</si>
  <si>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</si>
  <si>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</si>
  <si>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</si>
  <si>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</si>
  <si>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</si>
  <si>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</si>
  <si>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</si>
  <si>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</si>
  <si>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</si>
  <si>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</si>
  <si>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</si>
  <si>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</si>
  <si>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</si>
  <si>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</si>
  <si>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</si>
  <si>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</si>
  <si>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</si>
  <si>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</si>
  <si>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</si>
  <si>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</si>
  <si>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</si>
  <si>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</si>
  <si>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</si>
  <si>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</si>
  <si>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</si>
  <si>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</si>
  <si>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</si>
  <si>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</si>
  <si>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</si>
  <si>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</si>
  <si>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</si>
  <si>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</si>
  <si>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</si>
  <si>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</si>
  <si>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</si>
  <si>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</si>
  <si>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</si>
  <si>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</si>
  <si>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</si>
  <si>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</si>
  <si>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</si>
  <si>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</si>
  <si>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</si>
  <si>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</si>
  <si>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</si>
  <si>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</si>
  <si>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</si>
  <si>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</si>
  <si>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</si>
  <si>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</si>
  <si>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</si>
  <si>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</si>
  <si>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</si>
  <si>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</si>
  <si>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</si>
  <si>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</si>
  <si>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</si>
  <si>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</si>
  <si>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</si>
  <si>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</si>
  <si>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</si>
  <si>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</si>
  <si>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</si>
  <si>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</si>
  <si>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</si>
  <si>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</si>
  <si>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</si>
  <si>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</si>
  <si>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</si>
  <si>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</si>
  <si>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</si>
  <si>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</si>
  <si>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</si>
  <si>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</si>
  <si>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</si>
  <si>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</si>
  <si>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</si>
  <si>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</si>
  <si>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</si>
  <si>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</si>
  <si>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</si>
  <si>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</si>
  <si>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</si>
  <si>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</si>
  <si>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</si>
  <si>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</si>
  <si>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</si>
  <si>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</si>
  <si>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</si>
  <si>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</si>
  <si>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</si>
  <si>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</si>
  <si>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</si>
  <si>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</si>
  <si>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</si>
  <si>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</si>
  <si>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</si>
  <si>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</si>
  <si>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</si>
  <si>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</si>
  <si>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</si>
  <si>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</si>
  <si>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</si>
  <si>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</si>
  <si>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</si>
  <si>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</si>
  <si>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</si>
  <si>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</si>
  <si>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</si>
  <si>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</si>
  <si>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</si>
  <si>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</si>
  <si>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</si>
  <si>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</si>
  <si>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</si>
  <si>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</si>
  <si>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</si>
  <si>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</si>
  <si>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</si>
  <si>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</si>
  <si>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</si>
  <si>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</si>
  <si>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</si>
  <si>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</si>
  <si>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</si>
  <si>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</si>
  <si>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</si>
  <si>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</si>
  <si>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</si>
  <si>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</si>
  <si>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</si>
  <si>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</si>
  <si>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</si>
  <si>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</si>
  <si>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</si>
  <si>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</si>
  <si>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</si>
  <si>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</si>
  <si>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</si>
  <si>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</si>
  <si>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</si>
  <si>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</si>
  <si>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</si>
  <si>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</si>
  <si>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</si>
  <si>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</si>
  <si>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</si>
  <si>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</si>
  <si>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</si>
  <si>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</si>
  <si>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</si>
  <si>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</si>
  <si>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</si>
  <si>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</si>
  <si>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</si>
  <si>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</si>
  <si>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</si>
  <si>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</si>
  <si>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</si>
  <si>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</si>
  <si>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</si>
  <si>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</si>
  <si>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</si>
  <si>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</si>
  <si>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</si>
  <si>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</si>
  <si>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</si>
  <si>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</si>
  <si>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</si>
  <si>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</si>
  <si>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</si>
  <si>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</si>
  <si>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</si>
  <si>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</si>
  <si>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</si>
  <si>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</si>
  <si>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</si>
  <si>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</si>
  <si>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</si>
  <si>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</si>
  <si>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</si>
  <si>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</si>
  <si>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</si>
  <si>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</si>
  <si>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</si>
  <si>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</si>
  <si>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</si>
  <si>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</si>
  <si>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</si>
  <si>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</si>
  <si>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</si>
  <si>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</si>
  <si>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</si>
  <si>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</si>
  <si>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</si>
  <si>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</si>
  <si>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</si>
  <si>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</si>
  <si>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</si>
  <si>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</si>
  <si>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</si>
  <si>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</si>
  <si>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</si>
  <si>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</si>
  <si>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</si>
  <si>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</si>
  <si>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</si>
  <si>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</si>
  <si>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</si>
  <si>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</si>
  <si>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</si>
  <si>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</si>
  <si>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</si>
  <si>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</si>
  <si>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</si>
  <si>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</si>
  <si>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</si>
  <si>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</si>
  <si>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</si>
  <si>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</si>
  <si>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</si>
  <si>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</si>
  <si>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</si>
  <si>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</si>
  <si>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</si>
  <si>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</si>
  <si>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</si>
  <si>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</si>
  <si>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</si>
  <si>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</si>
  <si>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</si>
  <si>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</si>
  <si>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</si>
  <si>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</si>
  <si>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</si>
  <si>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</si>
  <si>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</si>
  <si>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</si>
  <si>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</si>
  <si>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</si>
  <si>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</si>
  <si>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</si>
  <si>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</si>
  <si>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</si>
  <si>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</si>
  <si>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</si>
  <si>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</si>
  <si>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</si>
  <si>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</si>
  <si>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</si>
  <si>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</si>
  <si>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</si>
  <si>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</si>
  <si>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</si>
  <si>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</si>
  <si>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</si>
  <si>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</si>
  <si>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</si>
  <si>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</si>
  <si>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</si>
  <si>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</si>
  <si>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</si>
  <si>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</si>
  <si>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</si>
  <si>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</si>
  <si>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</si>
  <si>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</si>
  <si>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</si>
  <si>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</si>
  <si>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</si>
  <si>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</si>
  <si>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</si>
  <si>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</si>
  <si>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</si>
  <si>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</si>
  <si>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</si>
  <si>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</si>
  <si>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</si>
  <si>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</si>
  <si>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</si>
  <si>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</si>
  <si>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</si>
  <si>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</si>
  <si>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</si>
  <si>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</si>
  <si>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</si>
  <si>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</si>
  <si>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</si>
  <si>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</si>
  <si>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</si>
  <si>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</si>
  <si>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</si>
  <si>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</si>
  <si>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</si>
  <si>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</si>
  <si>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</si>
  <si>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</si>
  <si>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</si>
  <si>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</si>
  <si>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</si>
  <si>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</si>
  <si>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</si>
  <si>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</si>
  <si>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</si>
  <si>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</si>
  <si>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</si>
  <si>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</si>
  <si>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</si>
  <si>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</si>
  <si>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</si>
  <si>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</si>
  <si>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</si>
  <si>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</si>
  <si>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</si>
  <si>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</si>
  <si>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</si>
  <si>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</si>
  <si>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</si>
  <si>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</si>
  <si>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</si>
  <si>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</si>
  <si>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</si>
  <si>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</si>
  <si>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</si>
  <si>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</si>
  <si>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</si>
  <si>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</si>
  <si>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</si>
  <si>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</si>
  <si>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</si>
  <si>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</si>
  <si>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</si>
  <si>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</si>
  <si>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</si>
  <si>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</si>
  <si>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</si>
  <si>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</si>
  <si>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</si>
  <si>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</si>
  <si>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</si>
  <si>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</si>
  <si>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</si>
  <si>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</si>
  <si>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</si>
  <si>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</si>
  <si>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</si>
  <si>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</si>
  <si>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</si>
  <si>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</si>
  <si>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</si>
  <si>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</si>
  <si>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</si>
  <si>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</si>
  <si>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</si>
  <si>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</si>
  <si>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</si>
  <si>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</si>
  <si>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</si>
  <si>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</si>
  <si>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</si>
  <si>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</si>
  <si>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</si>
  <si>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</si>
  <si>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</si>
  <si>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</si>
  <si>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</si>
  <si>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</si>
  <si>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</si>
  <si>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</si>
  <si>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</si>
  <si>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</si>
  <si>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</si>
  <si>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</si>
  <si>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</si>
  <si>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</si>
  <si>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</si>
  <si>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</si>
  <si>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</si>
  <si>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</si>
  <si>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</si>
  <si>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</si>
  <si>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</si>
  <si>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</si>
  <si>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</si>
  <si>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</si>
  <si>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</si>
  <si>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</si>
  <si>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</si>
  <si>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</si>
  <si>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</si>
  <si>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</si>
  <si>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</si>
  <si>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</si>
  <si>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</si>
  <si>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</si>
  <si>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</si>
  <si>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</si>
  <si>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</si>
  <si>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</si>
  <si>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</si>
  <si>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</si>
  <si>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</si>
  <si>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</si>
  <si>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</si>
  <si>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</si>
  <si>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</si>
  <si>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</si>
  <si>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</si>
  <si>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</si>
  <si>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</si>
  <si>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</si>
  <si>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</si>
  <si>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</si>
  <si>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</si>
  <si>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</si>
  <si>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</si>
  <si>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</si>
  <si>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</si>
  <si>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</si>
  <si>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</si>
  <si>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</si>
  <si>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</si>
  <si>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</si>
  <si>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</si>
  <si>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</si>
  <si>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</si>
  <si>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</si>
  <si>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</si>
  <si>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</si>
  <si>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</si>
  <si>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</si>
  <si>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</si>
  <si>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</si>
  <si>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</si>
  <si>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</si>
  <si>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</si>
  <si>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</si>
  <si>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</si>
  <si>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</si>
  <si>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</si>
  <si>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</si>
  <si>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</si>
  <si>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</si>
  <si>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</si>
  <si>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</si>
  <si>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</si>
  <si>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</si>
  <si>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</si>
  <si>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</si>
  <si>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</si>
  <si>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</si>
  <si>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</si>
  <si>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</si>
  <si>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</si>
  <si>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</si>
  <si>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</si>
  <si>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</si>
  <si>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</si>
  <si>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</si>
  <si>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</si>
  <si>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</si>
  <si>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</si>
  <si>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</si>
  <si>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</si>
  <si>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</si>
  <si>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</si>
  <si>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</si>
  <si>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</si>
  <si>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</si>
  <si>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</si>
  <si>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</si>
  <si>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</si>
  <si>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</si>
  <si>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</si>
  <si>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</si>
  <si>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</si>
  <si>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</si>
  <si>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</si>
  <si>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</si>
  <si>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</si>
  <si>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</si>
  <si>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</si>
  <si>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</si>
  <si>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</si>
  <si>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</si>
  <si>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</si>
  <si>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</si>
  <si>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</si>
  <si>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</si>
  <si>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</si>
  <si>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</si>
  <si>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</si>
  <si>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</si>
  <si>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</si>
  <si>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</si>
  <si>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</si>
  <si>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</si>
  <si>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</si>
  <si>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</si>
  <si>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</si>
  <si>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</si>
  <si>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</si>
  <si>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</si>
  <si>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</si>
  <si>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</si>
  <si>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</si>
  <si>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</si>
  <si>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</si>
  <si>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</si>
  <si>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</si>
  <si>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</si>
  <si>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</si>
  <si>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</si>
  <si>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</si>
  <si>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</si>
  <si>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</si>
  <si>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</si>
  <si>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</si>
  <si>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</si>
  <si>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</si>
  <si>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</si>
  <si>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</si>
  <si>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</si>
  <si>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</si>
  <si>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</si>
  <si>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</si>
  <si>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</si>
  <si>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</si>
  <si>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</si>
  <si>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</si>
  <si>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</si>
  <si>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</si>
  <si>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</si>
  <si>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</si>
  <si>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</si>
  <si>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</si>
  <si>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</si>
  <si>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</si>
  <si>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</si>
  <si>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</si>
  <si>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</si>
  <si>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</si>
  <si>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</si>
  <si>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</si>
  <si>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</si>
  <si>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</si>
  <si>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</si>
  <si>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</si>
  <si>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</si>
  <si>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</si>
  <si>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</si>
  <si>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</si>
  <si>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</si>
  <si>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</si>
  <si>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</si>
  <si>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</si>
  <si>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</si>
  <si>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</si>
  <si>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</si>
  <si>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</si>
  <si>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</si>
  <si>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</si>
  <si>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</si>
  <si>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</si>
  <si>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</si>
  <si>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</si>
  <si>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</si>
  <si>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</si>
  <si>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</si>
  <si>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</si>
  <si>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</si>
  <si>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</si>
  <si>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</si>
  <si>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</si>
  <si>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</si>
  <si>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</si>
  <si>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</si>
  <si>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</si>
  <si>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</si>
  <si>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</si>
  <si>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</si>
  <si>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</si>
  <si>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</si>
  <si>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</si>
  <si>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</si>
  <si>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</si>
  <si>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</si>
  <si>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</si>
  <si>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</si>
  <si>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</si>
  <si>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</si>
  <si>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</si>
  <si>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</si>
  <si>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</si>
  <si>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</si>
  <si>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</si>
  <si>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</si>
  <si>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</si>
  <si>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</si>
  <si>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</si>
  <si>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</si>
  <si>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</si>
  <si>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</si>
  <si>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</si>
  <si>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</si>
  <si>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</si>
  <si>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</si>
  <si>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</si>
  <si>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</si>
  <si>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</si>
  <si>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</si>
  <si>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</si>
  <si>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</si>
  <si>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</si>
  <si>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</si>
  <si>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</si>
  <si>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</si>
  <si>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</si>
  <si>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</si>
  <si>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</si>
  <si>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</si>
  <si>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</si>
  <si>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</si>
  <si>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</si>
  <si>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</si>
  <si>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</si>
  <si>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</si>
  <si>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</si>
  <si>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</si>
  <si>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</si>
  <si>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</si>
  <si>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</si>
  <si>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</si>
  <si>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</si>
  <si>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</si>
  <si>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</si>
  <si>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</si>
  <si>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</si>
  <si>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</si>
  <si>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</si>
  <si>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</si>
  <si>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</si>
  <si>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</si>
  <si>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</si>
  <si>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</si>
  <si>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</si>
  <si>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</si>
  <si>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</si>
  <si>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</si>
  <si>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</si>
  <si>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</si>
  <si>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</si>
  <si>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</si>
  <si>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</si>
  <si>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</si>
  <si>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</si>
  <si>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</si>
  <si>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</si>
  <si>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</si>
  <si>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</si>
  <si>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</si>
  <si>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</si>
  <si>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</si>
  <si>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</si>
  <si>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</si>
  <si>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</si>
  <si>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</si>
  <si>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</si>
  <si>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</si>
  <si>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</si>
  <si>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</si>
  <si>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</si>
  <si>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</si>
  <si>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</si>
  <si>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</si>
  <si>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</si>
  <si>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</si>
  <si>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</si>
  <si>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</si>
  <si>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</si>
  <si>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</si>
  <si>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</si>
  <si>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</si>
  <si>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</si>
  <si>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</si>
  <si>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</si>
  <si>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</si>
  <si>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</si>
  <si>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</si>
  <si>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</si>
  <si>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</si>
  <si>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</si>
  <si>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</si>
  <si>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</si>
  <si>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</si>
  <si>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</si>
  <si>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</si>
  <si>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</si>
  <si>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</si>
  <si>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</si>
  <si>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</si>
  <si>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</si>
  <si>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</si>
  <si>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</si>
  <si>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</si>
  <si>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</si>
  <si>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</si>
  <si>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</si>
  <si>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</si>
  <si>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</si>
  <si>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</si>
  <si>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</si>
  <si>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</si>
  <si>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</si>
  <si>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</si>
  <si>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</si>
  <si>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</si>
  <si>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</si>
  <si>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</si>
  <si>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</si>
  <si>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</si>
  <si>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</si>
  <si>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</si>
  <si>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</si>
  <si>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</si>
  <si>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</si>
  <si>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</si>
  <si>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</si>
  <si>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</si>
  <si>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</si>
  <si>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</si>
  <si>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</si>
  <si>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</si>
  <si>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</si>
  <si>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</si>
  <si>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</si>
  <si>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</si>
  <si>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</si>
  <si>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</si>
  <si>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</si>
  <si>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</si>
  <si>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</si>
  <si>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</si>
  <si>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</si>
  <si>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</si>
  <si>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</si>
  <si>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</si>
  <si>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</si>
  <si>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</si>
  <si>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</si>
  <si>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</si>
  <si>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</si>
  <si>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</si>
  <si>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</si>
  <si>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</si>
  <si>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</si>
  <si>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</si>
  <si>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</si>
  <si>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</si>
  <si>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</si>
  <si>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</si>
  <si>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</si>
  <si>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</si>
  <si>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</si>
  <si>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</si>
  <si>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</si>
  <si>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</si>
  <si>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</si>
  <si>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</si>
  <si>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</si>
  <si>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</si>
  <si>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</si>
  <si>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</si>
  <si>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</si>
  <si>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</si>
  <si>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</si>
  <si>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</si>
  <si>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</si>
  <si>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</si>
  <si>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</si>
  <si>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</si>
  <si>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</si>
  <si>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</si>
  <si>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</si>
  <si>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</si>
  <si>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</si>
  <si>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</si>
  <si>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</si>
  <si>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</si>
  <si>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</si>
  <si>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</si>
  <si>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</si>
  <si>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</si>
  <si>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</si>
  <si>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</si>
  <si>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</si>
  <si>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</si>
  <si>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</si>
  <si>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</si>
  <si>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</si>
  <si>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</si>
  <si>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</si>
  <si>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</si>
  <si>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</si>
  <si>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</si>
  <si>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</si>
  <si>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</si>
  <si>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</si>
  <si>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</si>
  <si>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</si>
  <si>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</si>
  <si>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</si>
  <si>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</si>
  <si>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</si>
  <si>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</si>
  <si>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</si>
  <si>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</si>
  <si>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</si>
  <si>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</si>
  <si>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</si>
  <si>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</si>
  <si>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</si>
  <si>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</si>
  <si>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</si>
  <si>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</si>
  <si>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</si>
  <si>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</si>
  <si>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</si>
  <si>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</si>
  <si>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</si>
  <si>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</si>
  <si>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</si>
  <si>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</si>
  <si>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</si>
  <si>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</si>
  <si>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</si>
  <si>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</si>
  <si>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</si>
  <si>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</si>
  <si>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</si>
  <si>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</si>
  <si>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</si>
  <si>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</si>
  <si>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</si>
  <si>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</si>
  <si>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</si>
  <si>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</si>
  <si>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</si>
  <si>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</si>
  <si>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</si>
  <si>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</si>
  <si>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</si>
  <si>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</si>
  <si>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</si>
  <si>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</si>
  <si>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</si>
  <si>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</si>
  <si>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</si>
  <si>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</si>
  <si>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</si>
  <si>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</si>
  <si>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</si>
  <si>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</si>
  <si>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</si>
  <si>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</si>
  <si>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</si>
  <si>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</si>
  <si>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</si>
  <si>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</si>
  <si>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</si>
  <si>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</si>
  <si>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</si>
  <si>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</si>
  <si>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</si>
  <si>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</si>
  <si>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</si>
  <si>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</si>
  <si>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</si>
  <si>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</si>
  <si>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</si>
  <si>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</si>
  <si>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</si>
  <si>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</si>
  <si>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</si>
  <si>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</si>
  <si>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</si>
  <si>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</si>
  <si>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</si>
  <si>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</si>
  <si>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</si>
  <si>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</si>
  <si>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</si>
  <si>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</si>
  <si>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</si>
  <si>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</si>
  <si>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</si>
  <si>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</si>
  <si>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</si>
  <si>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</si>
  <si>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</si>
  <si>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</si>
  <si>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</si>
  <si>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</si>
  <si>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</si>
  <si>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</si>
  <si>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</si>
  <si>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</si>
  <si>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</si>
  <si>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</si>
  <si>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</si>
  <si>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</si>
  <si>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</si>
  <si>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</si>
  <si>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</si>
  <si>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</si>
  <si>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</si>
  <si>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</si>
  <si>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</si>
  <si>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</si>
  <si>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</si>
  <si>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</si>
  <si>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</si>
  <si>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</si>
  <si>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</si>
  <si>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</si>
  <si>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</si>
  <si>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</si>
  <si>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</si>
  <si>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</si>
  <si>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</si>
  <si>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</si>
  <si>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</si>
  <si>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</si>
  <si>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</si>
  <si>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</si>
  <si>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</si>
  <si>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</si>
  <si>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</si>
  <si>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</si>
  <si>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</si>
  <si>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</si>
  <si>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</si>
  <si>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</si>
  <si>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</si>
  <si>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</si>
  <si>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</si>
  <si>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</si>
  <si>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</si>
  <si>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</si>
  <si>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</si>
  <si>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</si>
  <si>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</si>
  <si>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</si>
  <si>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</si>
  <si>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</si>
  <si>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</si>
  <si>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</si>
  <si>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</si>
  <si>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</si>
  <si>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</si>
  <si>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</si>
  <si>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</si>
  <si>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</si>
  <si>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</si>
  <si>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</si>
  <si>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</si>
  <si>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</si>
  <si>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</si>
  <si>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</si>
  <si>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</si>
  <si>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</si>
  <si>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</si>
  <si>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</si>
  <si>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</si>
  <si>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</si>
  <si>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</si>
  <si>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</si>
  <si>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</si>
  <si>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</si>
  <si>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</si>
  <si>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</si>
  <si>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</si>
  <si>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</si>
  <si>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</si>
  <si>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</si>
  <si>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</si>
  <si>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</si>
  <si>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</si>
  <si>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</si>
  <si>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</si>
  <si>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</si>
  <si>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</si>
  <si>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</si>
  <si>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</si>
  <si>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</si>
  <si>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</si>
  <si>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</si>
  <si>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</si>
  <si>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</si>
  <si>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</si>
  <si>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</si>
  <si>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</si>
  <si>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</si>
  <si>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</si>
  <si>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</si>
  <si>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</si>
  <si>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</si>
  <si>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</si>
  <si>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</si>
  <si>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</si>
  <si>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</si>
  <si>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</si>
  <si>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</si>
  <si>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</si>
  <si>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</si>
  <si>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</si>
  <si>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</si>
  <si>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</si>
  <si>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</si>
  <si>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</si>
  <si>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</si>
  <si>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</si>
  <si>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</si>
  <si>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</si>
  <si>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</si>
  <si>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</si>
  <si>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</si>
  <si>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</si>
  <si>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</si>
  <si>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</si>
  <si>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</si>
  <si>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</si>
  <si>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</si>
  <si>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</si>
  <si>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</si>
  <si>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</si>
  <si>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</si>
  <si>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</si>
  <si>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</si>
  <si>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</si>
  <si>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</si>
  <si>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</si>
  <si>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</si>
  <si>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</si>
  <si>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</si>
  <si>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</si>
  <si>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</si>
  <si>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</si>
  <si>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</si>
  <si>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</si>
  <si>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</si>
  <si>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</si>
  <si>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</si>
  <si>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</si>
  <si>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</si>
  <si>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</si>
  <si>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</si>
  <si>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</si>
  <si>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</si>
  <si>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</si>
  <si>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</si>
  <si>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</si>
  <si>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</si>
  <si>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</si>
  <si>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</si>
  <si>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</si>
  <si>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</si>
  <si>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</si>
  <si>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</si>
  <si>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</si>
  <si>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</si>
  <si>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</si>
  <si>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</si>
  <si>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</si>
  <si>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</si>
  <si>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</si>
  <si>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</si>
  <si>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</si>
  <si>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</si>
  <si>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</si>
  <si>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</si>
  <si>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</si>
  <si>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</si>
  <si>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</si>
  <si>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</si>
  <si>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</si>
  <si>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</si>
  <si>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</si>
  <si>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</si>
  <si>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</si>
  <si>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</si>
  <si>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</si>
  <si>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</si>
  <si>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</si>
  <si>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</si>
  <si>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</si>
  <si>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</si>
  <si>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</si>
  <si>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</si>
  <si>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</si>
  <si>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</si>
  <si>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</si>
  <si>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</si>
  <si>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</si>
  <si>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</si>
  <si>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</si>
  <si>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</si>
  <si>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</si>
  <si>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</si>
  <si>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</si>
  <si>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</si>
  <si>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</si>
  <si>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</si>
  <si>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</si>
  <si>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</si>
  <si>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</si>
  <si>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</si>
  <si>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</si>
  <si>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</si>
  <si>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</si>
  <si>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</si>
  <si>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</si>
  <si>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</si>
  <si>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</si>
  <si>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</si>
  <si>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</si>
  <si>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</si>
  <si>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</si>
  <si>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</si>
  <si>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</si>
  <si>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</si>
  <si>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</si>
  <si>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</si>
  <si>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</si>
  <si>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</si>
  <si>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</si>
  <si>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</si>
  <si>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</si>
  <si>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</si>
  <si>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</si>
  <si>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</si>
  <si>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</si>
  <si>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</si>
  <si>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</si>
  <si>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</si>
  <si>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</si>
  <si>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</si>
  <si>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</si>
  <si>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</si>
  <si>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</si>
  <si>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</si>
  <si>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</si>
  <si>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</si>
  <si>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</si>
  <si>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</si>
  <si>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</si>
  <si>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</si>
  <si>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</si>
  <si>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</si>
  <si>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</si>
  <si>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</si>
  <si>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</si>
  <si>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</si>
  <si>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</si>
  <si>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</si>
  <si>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</si>
  <si>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</si>
  <si>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</si>
  <si>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</si>
  <si>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</si>
  <si>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</si>
  <si>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</si>
  <si>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</si>
  <si>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</si>
  <si>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</si>
  <si>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</si>
  <si>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</si>
  <si>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</si>
  <si>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</si>
  <si>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</si>
  <si>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</si>
  <si>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</si>
  <si>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</si>
  <si>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</si>
  <si>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</si>
  <si>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</si>
  <si>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</si>
  <si>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</si>
  <si>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</si>
  <si>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</si>
  <si>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</si>
  <si>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</si>
  <si>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</si>
  <si>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</si>
  <si>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</si>
  <si>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</si>
  <si>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</si>
  <si>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</si>
  <si>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</si>
  <si>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</si>
  <si>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</si>
  <si>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</si>
  <si>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</si>
  <si>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</si>
  <si>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</si>
  <si>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</si>
  <si>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</si>
  <si>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</si>
  <si>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</si>
  <si>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</si>
  <si>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</si>
  <si>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</si>
  <si>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</si>
  <si>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</si>
  <si>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</si>
  <si>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</si>
  <si>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</si>
  <si>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</si>
  <si>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</si>
  <si>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</si>
  <si>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</si>
  <si>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</si>
  <si>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</si>
  <si>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</si>
  <si>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</si>
  <si>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</si>
  <si>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</si>
  <si>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</si>
  <si>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</si>
  <si>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</si>
  <si>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</si>
  <si>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</si>
  <si>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</si>
  <si>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</si>
  <si>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</si>
  <si>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</si>
  <si>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</si>
  <si>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</si>
  <si>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</si>
  <si>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</si>
  <si>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</si>
  <si>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</si>
  <si>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</si>
  <si>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</si>
  <si>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</si>
  <si>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</si>
  <si>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</si>
  <si>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</si>
  <si>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</si>
  <si>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</si>
  <si>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</si>
  <si>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</si>
  <si>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</si>
  <si>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</si>
  <si>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</si>
  <si>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</si>
  <si>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</si>
  <si>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</si>
  <si>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</si>
  <si>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</si>
  <si>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</si>
  <si>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</si>
  <si>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</si>
  <si>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</si>
  <si>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</si>
  <si>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</si>
  <si>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</si>
  <si>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</si>
  <si>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</si>
  <si>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</si>
  <si>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</si>
  <si>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</si>
  <si>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</si>
  <si>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</si>
  <si>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</si>
  <si>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</si>
  <si>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</si>
  <si>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</si>
  <si>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</si>
  <si>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</si>
  <si>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</si>
  <si>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</si>
  <si>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</si>
  <si>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</si>
  <si>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</si>
  <si>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</si>
  <si>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</si>
  <si>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</si>
  <si>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</si>
  <si>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</si>
  <si>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</si>
  <si>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</si>
  <si>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</si>
  <si>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</si>
  <si>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</si>
  <si>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</si>
  <si>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</si>
  <si>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</si>
  <si>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</si>
  <si>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</si>
  <si>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</si>
  <si>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</si>
  <si>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</si>
  <si>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</si>
  <si>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</si>
  <si>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</si>
  <si>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</si>
  <si>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</si>
  <si>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</si>
  <si>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</si>
  <si>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</si>
  <si>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</si>
  <si>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</si>
  <si>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</si>
  <si>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</si>
  <si>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</si>
  <si>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</si>
  <si>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</si>
  <si>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</si>
  <si>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</si>
  <si>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</si>
  <si>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</si>
  <si>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</si>
  <si>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</si>
  <si>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</si>
  <si>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</si>
  <si>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</si>
  <si>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</si>
  <si>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</si>
  <si>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</si>
  <si>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</si>
  <si>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</si>
  <si>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</si>
  <si>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</si>
  <si>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</si>
  <si>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</si>
  <si>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</si>
  <si>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</si>
  <si>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</si>
  <si>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</si>
  <si>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</si>
  <si>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</si>
  <si>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</si>
  <si>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</si>
  <si>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</si>
  <si>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</si>
  <si>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</si>
  <si>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</si>
  <si>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</si>
  <si>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</si>
  <si>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</si>
  <si>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</si>
  <si>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</si>
  <si>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</si>
  <si>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</si>
  <si>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</si>
  <si>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</si>
  <si>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</si>
  <si>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</si>
  <si>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</si>
  <si>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</si>
  <si>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</si>
  <si>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</si>
  <si>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</si>
  <si>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</si>
  <si>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</si>
  <si>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</si>
  <si>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</si>
  <si>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</si>
  <si>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</si>
  <si>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</si>
  <si>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</si>
  <si>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</si>
  <si>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</si>
  <si>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</si>
  <si>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</si>
  <si>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</si>
  <si>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</si>
  <si>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</si>
  <si>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</si>
  <si>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</si>
  <si>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</si>
  <si>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</si>
  <si>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</si>
  <si>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</si>
  <si>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</si>
  <si>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</si>
  <si>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</si>
  <si>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</si>
  <si>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</si>
  <si>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</si>
  <si>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</si>
  <si>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</si>
  <si>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</si>
  <si>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</si>
  <si>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</si>
  <si>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</si>
  <si>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</si>
  <si>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</si>
  <si>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</si>
  <si>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</si>
  <si>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</si>
  <si>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</si>
  <si>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</si>
  <si>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</si>
  <si>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</si>
  <si>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</si>
  <si>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</si>
  <si>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</si>
  <si>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</si>
  <si>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</si>
  <si>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</si>
  <si>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</si>
  <si>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</si>
  <si>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</si>
  <si>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</si>
  <si>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</si>
  <si>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</si>
  <si>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</si>
  <si>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</si>
  <si>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</si>
  <si>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</si>
  <si>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</si>
  <si>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</si>
  <si>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</si>
  <si>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</si>
  <si>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</si>
  <si>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</si>
  <si>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</si>
  <si>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</si>
  <si>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</si>
  <si>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</si>
  <si>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</si>
  <si>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</si>
  <si>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</si>
  <si>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</si>
  <si>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</si>
  <si>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</si>
  <si>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</si>
  <si>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</si>
  <si>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</si>
  <si>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</si>
  <si>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</si>
  <si>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</si>
  <si>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</si>
  <si>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</si>
  <si>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</si>
  <si>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</si>
  <si>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</si>
  <si>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</si>
  <si>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</si>
  <si>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</si>
  <si>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</si>
  <si>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</si>
  <si>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</si>
  <si>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</si>
  <si>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</si>
  <si>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</si>
  <si>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</si>
  <si>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</si>
  <si>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</si>
  <si>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</si>
  <si>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</si>
  <si>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</si>
  <si>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</si>
  <si>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</si>
  <si>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</si>
  <si>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</si>
  <si>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</si>
  <si>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</si>
  <si>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</si>
  <si>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</si>
  <si>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</si>
  <si>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</si>
  <si>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</si>
  <si>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</si>
  <si>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</si>
  <si>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</si>
  <si>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</si>
  <si>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</si>
  <si>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</si>
  <si>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</si>
  <si>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</si>
  <si>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</si>
  <si>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</si>
  <si>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</si>
  <si>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</si>
  <si>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</si>
  <si>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</si>
  <si>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</si>
  <si>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</si>
  <si>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</si>
  <si>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</si>
  <si>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</si>
  <si>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</si>
  <si>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</si>
  <si>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</si>
  <si>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</si>
  <si>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</si>
  <si>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</si>
  <si>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</si>
  <si>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</si>
  <si>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</si>
  <si>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</si>
  <si>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</si>
  <si>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</si>
  <si>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</si>
  <si>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</si>
  <si>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</si>
  <si>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</si>
  <si>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</si>
  <si>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</si>
  <si>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</si>
  <si>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</si>
  <si>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</si>
  <si>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</si>
  <si>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</si>
  <si>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</si>
  <si>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</si>
  <si>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</si>
  <si>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</si>
  <si>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</si>
  <si>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</si>
  <si>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</si>
  <si>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</si>
  <si>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</si>
  <si>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</si>
  <si>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</si>
  <si>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</si>
  <si>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</si>
  <si>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</si>
  <si>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</si>
  <si>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</si>
  <si>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</si>
  <si>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</si>
  <si>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</si>
  <si>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</si>
  <si>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</si>
  <si>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</si>
  <si>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</si>
  <si>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</si>
  <si>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</si>
  <si>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</si>
  <si>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</si>
  <si>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</si>
  <si>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</si>
  <si>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</si>
  <si>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</si>
  <si>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</si>
  <si>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</si>
  <si>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</si>
  <si>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</si>
  <si>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</si>
  <si>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</si>
  <si>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</si>
  <si>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</si>
  <si>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</si>
  <si>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</si>
  <si>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</si>
  <si>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</si>
  <si>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</si>
  <si>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</si>
  <si>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</si>
  <si>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</si>
  <si>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</si>
  <si>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</si>
  <si>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</si>
  <si>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</si>
  <si>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</si>
  <si>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</si>
  <si>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</si>
  <si>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</si>
  <si>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</si>
  <si>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</si>
  <si>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</si>
  <si>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</si>
  <si>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</si>
  <si>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</si>
  <si>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</si>
  <si>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</si>
  <si>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</si>
  <si>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</si>
  <si>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</si>
  <si>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</si>
  <si>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</si>
  <si>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</si>
  <si>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</si>
  <si>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</si>
  <si>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</si>
  <si>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</si>
  <si>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</si>
  <si>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</si>
  <si>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</si>
  <si>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</si>
  <si>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</si>
  <si>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</si>
  <si>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</si>
  <si>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</si>
  <si>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</si>
  <si>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</si>
  <si>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</si>
  <si>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</si>
  <si>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</si>
  <si>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</si>
  <si>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</si>
  <si>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</si>
  <si>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</si>
  <si>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</si>
  <si>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</si>
  <si>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</si>
  <si>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</si>
  <si>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</si>
  <si>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</si>
  <si>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</si>
  <si>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</si>
  <si>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</si>
  <si>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</si>
  <si>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</si>
  <si>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</si>
  <si>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</si>
  <si>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</si>
  <si>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</si>
  <si>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</si>
  <si>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</si>
  <si>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</si>
  <si>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</si>
  <si>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</si>
  <si>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</si>
  <si>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</si>
  <si>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</si>
  <si>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</si>
  <si>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</si>
  <si>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</si>
  <si>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</si>
  <si>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</si>
  <si>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</si>
  <si>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</si>
  <si>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</si>
  <si>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</si>
  <si>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</si>
  <si>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</si>
  <si>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</si>
  <si>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</si>
  <si>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</si>
  <si>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</si>
  <si>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</si>
  <si>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</si>
  <si>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</si>
  <si>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</si>
  <si>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</si>
  <si>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</si>
  <si>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</si>
  <si>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</si>
  <si>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</si>
  <si>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</si>
  <si>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</si>
  <si>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</si>
  <si>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</si>
  <si>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</si>
  <si>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</si>
  <si>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</si>
  <si>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</si>
  <si>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</si>
  <si>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</si>
  <si>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</si>
  <si>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</si>
  <si>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</si>
  <si>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</si>
  <si>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</si>
  <si>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</si>
  <si>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</si>
  <si>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</si>
  <si>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</si>
  <si>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</si>
  <si>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</si>
  <si>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</si>
  <si>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</si>
  <si>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</si>
  <si>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</si>
  <si>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</si>
  <si>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</si>
  <si>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</si>
  <si>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</si>
  <si>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</si>
  <si>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</si>
  <si>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</si>
  <si>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</si>
  <si>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</si>
  <si>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</si>
  <si>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</si>
  <si>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</si>
  <si>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</si>
  <si>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</si>
  <si>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</si>
  <si>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</si>
  <si>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</si>
  <si>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</si>
  <si>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</si>
  <si>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</si>
  <si>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</si>
  <si>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</si>
  <si>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</si>
  <si>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</si>
  <si>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</si>
  <si>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</si>
  <si>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</si>
  <si>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</si>
  <si>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</si>
  <si>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</si>
  <si>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</si>
  <si>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</si>
  <si>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</si>
  <si>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</si>
  <si>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</si>
  <si>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</si>
  <si>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</si>
  <si>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</si>
  <si>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</si>
  <si>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</si>
  <si>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</si>
  <si>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</si>
  <si>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</si>
  <si>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</si>
  <si>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</si>
  <si>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</si>
  <si>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</si>
  <si>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</si>
  <si>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</si>
  <si>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</si>
  <si>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</si>
  <si>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</si>
  <si>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</si>
  <si>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</si>
  <si>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</si>
  <si>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</si>
  <si>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</si>
  <si>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</si>
  <si>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</si>
  <si>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</si>
  <si>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</si>
  <si>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</si>
  <si>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</si>
  <si>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</si>
  <si>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</si>
  <si>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</si>
  <si>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</si>
  <si>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</si>
  <si>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</si>
  <si>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</si>
  <si>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</si>
  <si>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</si>
  <si>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</si>
  <si>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</si>
  <si>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</si>
  <si>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</si>
  <si>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</si>
  <si>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</si>
  <si>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</si>
  <si>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</si>
  <si>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</si>
  <si>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</si>
  <si>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</si>
  <si>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</si>
  <si>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</si>
  <si>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</si>
  <si>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</si>
  <si>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</si>
  <si>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</si>
  <si>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</si>
  <si>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</si>
  <si>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</si>
  <si>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</si>
  <si>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</si>
  <si>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</si>
  <si>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</si>
  <si>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</si>
  <si>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</si>
  <si>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</si>
  <si>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</si>
  <si>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</si>
  <si>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</si>
  <si>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</si>
  <si>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</si>
  <si>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</si>
  <si>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</si>
  <si>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</si>
  <si>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</si>
  <si>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</si>
  <si>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</si>
  <si>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</si>
  <si>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</si>
  <si>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</si>
  <si>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</si>
  <si>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</si>
  <si>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</si>
  <si>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</si>
  <si>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</si>
  <si>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</si>
  <si>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</si>
  <si>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</si>
  <si>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</si>
  <si>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</si>
  <si>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</si>
  <si>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</si>
  <si>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</si>
  <si>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</si>
  <si>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</si>
  <si>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</si>
  <si>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</si>
  <si>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</si>
  <si>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</si>
  <si>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</si>
  <si>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</si>
  <si>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</si>
  <si>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</si>
  <si>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</si>
  <si>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</si>
  <si>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</si>
  <si>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</si>
  <si>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</si>
  <si>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</si>
  <si>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</si>
  <si>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</si>
  <si>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</si>
  <si>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</si>
  <si>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</si>
  <si>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</si>
  <si>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</si>
  <si>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</si>
  <si>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</si>
  <si>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</si>
  <si>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</si>
  <si>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</si>
  <si>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</si>
  <si>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</si>
  <si>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</si>
  <si>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</si>
  <si>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</si>
  <si>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</si>
  <si>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</si>
  <si>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</si>
  <si>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</si>
  <si>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</si>
  <si>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</si>
  <si>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</si>
  <si>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</si>
  <si>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</si>
  <si>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</si>
  <si>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</si>
  <si>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</si>
  <si>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</si>
  <si>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</si>
  <si>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</si>
  <si>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</si>
  <si>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</si>
  <si>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</si>
  <si>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</si>
  <si>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</si>
  <si>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</si>
  <si>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</si>
  <si>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</si>
  <si>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</si>
  <si>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</si>
  <si>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</si>
  <si>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</si>
  <si>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</si>
  <si>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</si>
  <si>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</si>
  <si>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</si>
  <si>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</si>
  <si>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</si>
  <si>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</si>
  <si>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</si>
  <si>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</si>
  <si>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</si>
  <si>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</si>
  <si>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</si>
  <si>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</si>
  <si>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</si>
  <si>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</si>
  <si>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</si>
  <si>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</si>
  <si>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</si>
  <si>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</si>
  <si>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</si>
  <si>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</si>
  <si>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</si>
  <si>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</si>
  <si>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</si>
  <si>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</si>
  <si>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</si>
  <si>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</si>
  <si>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</si>
  <si>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</si>
  <si>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</si>
  <si>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</si>
  <si>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</si>
  <si>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</si>
  <si>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</si>
  <si>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</si>
  <si>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</si>
  <si>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</si>
  <si>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</si>
  <si>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</si>
  <si>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</si>
  <si>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</si>
  <si>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</si>
  <si>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</si>
  <si>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</si>
  <si>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</si>
  <si>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</si>
  <si>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</si>
  <si>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</si>
  <si>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</si>
  <si>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</si>
  <si>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</si>
  <si>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</si>
  <si>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</si>
  <si>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</si>
  <si>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</si>
  <si>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</si>
  <si>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</si>
  <si>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</si>
  <si>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</si>
  <si>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</si>
  <si>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</si>
  <si>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</si>
  <si>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</si>
  <si>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</si>
  <si>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</si>
  <si>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</si>
  <si>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</si>
  <si>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</si>
  <si>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</si>
  <si>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</si>
  <si>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</si>
  <si>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</si>
  <si>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</si>
  <si>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</si>
  <si>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</si>
  <si>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</si>
  <si>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</si>
  <si>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</si>
  <si>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</si>
  <si>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</si>
  <si>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</si>
  <si>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</si>
  <si>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</si>
  <si>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</si>
  <si>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崔锴</t>
  </si>
  <si>
    <t>郑燚</t>
  </si>
  <si>
    <t>房地产抵押价值</t>
  </si>
  <si>
    <t>北京市</t>
  </si>
  <si>
    <t>企业</t>
  </si>
  <si>
    <t>Ⅳ-电子城西</t>
  </si>
  <si>
    <t>是</t>
  </si>
  <si>
    <t>地上</t>
  </si>
  <si>
    <t>办公楼</t>
  </si>
  <si>
    <t>建成</t>
  </si>
  <si>
    <t>直线</t>
  </si>
  <si>
    <t>面积</t>
  </si>
  <si>
    <t>租金</t>
  </si>
  <si>
    <t>地上面积</t>
  </si>
  <si>
    <t>总面积</t>
  </si>
  <si>
    <t>收益法</t>
  </si>
  <si>
    <t>比较法-工业</t>
  </si>
  <si>
    <t>现房</t>
  </si>
  <si>
    <t>总价</t>
  </si>
  <si>
    <t>自定义</t>
  </si>
  <si>
    <t>押一</t>
  </si>
  <si>
    <t>钢混</t>
  </si>
  <si>
    <t>非生产用房</t>
  </si>
  <si>
    <t>否</t>
  </si>
  <si>
    <t>M4科研用地</t>
  </si>
  <si>
    <t>与级别开发程度不一致</t>
  </si>
  <si>
    <t>通路</t>
  </si>
  <si>
    <t>通电</t>
  </si>
  <si>
    <t>通讯</t>
  </si>
  <si>
    <t>通上水</t>
  </si>
  <si>
    <t>通下水</t>
  </si>
  <si>
    <t>平整</t>
  </si>
  <si>
    <t>不临65条商业街</t>
  </si>
  <si>
    <t>自定义容积率</t>
  </si>
  <si>
    <t>较好</t>
  </si>
  <si>
    <t>一般</t>
  </si>
  <si>
    <t>好</t>
  </si>
  <si>
    <t>未包含在土地购买价格中</t>
  </si>
  <si>
    <t>全部缴纳</t>
  </si>
  <si>
    <t>已包含在土地取得成本中</t>
  </si>
  <si>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</si>
  <si>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</si>
  <si>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</si>
  <si>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</si>
  <si>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</si>
  <si>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</si>
  <si>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</si>
  <si>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</si>
  <si>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</si>
  <si>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</si>
  <si>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</si>
  <si>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</si>
  <si>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</si>
  <si>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</si>
  <si>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</si>
  <si>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</si>
  <si>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</si>
  <si>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</si>
  <si>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</si>
  <si>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</si>
  <si>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</si>
  <si>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</si>
  <si>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</si>
  <si>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</si>
  <si>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</si>
  <si>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</si>
  <si>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</si>
  <si>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</si>
  <si>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</si>
  <si>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</si>
  <si>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</si>
  <si>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</si>
  <si>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</si>
  <si>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</si>
  <si>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</si>
  <si>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</si>
  <si>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</si>
  <si>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</si>
  <si>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</si>
  <si>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</si>
  <si>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</si>
  <si>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</si>
  <si>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</si>
  <si>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</si>
  <si>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</si>
  <si>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</si>
  <si>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</si>
  <si>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</si>
  <si>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</si>
  <si>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</si>
  <si>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</si>
  <si>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</si>
  <si>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</si>
  <si>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</si>
  <si>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</si>
  <si>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</si>
  <si>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</si>
  <si>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</si>
  <si>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</si>
  <si>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</si>
  <si>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</si>
  <si>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</si>
  <si>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</si>
  <si>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</si>
  <si>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</si>
  <si>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</si>
  <si>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</si>
  <si>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</si>
  <si>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</si>
  <si>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</si>
  <si>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</si>
  <si>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</si>
  <si>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</si>
  <si>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</si>
  <si>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</si>
  <si>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</si>
  <si>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</si>
  <si>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</si>
  <si>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</si>
  <si>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</si>
  <si>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</si>
  <si>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</si>
  <si>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</si>
  <si>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</si>
  <si>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</si>
  <si>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</si>
  <si>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</si>
  <si>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</si>
  <si>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</si>
  <si>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</si>
  <si>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</si>
  <si>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</si>
  <si>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</si>
  <si>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电子城国际电子总部8-10#</t>
    <phoneticPr fontId="134" type="noConversion"/>
  </si>
  <si>
    <t>40-50</t>
  </si>
  <si>
    <t>30-40</t>
  </si>
  <si>
    <t>20-30</t>
  </si>
  <si>
    <t>10-20</t>
  </si>
  <si>
    <t>标准写字楼</t>
  </si>
  <si>
    <t>商务楼</t>
  </si>
  <si>
    <t>精装修</t>
  </si>
  <si>
    <t>普通装修</t>
  </si>
  <si>
    <t>简单装修</t>
  </si>
  <si>
    <t>毛坯</t>
  </si>
  <si>
    <t>专业物业</t>
  </si>
  <si>
    <t>普通物业</t>
  </si>
  <si>
    <t>六通</t>
  </si>
  <si>
    <t>地下占比</t>
    <phoneticPr fontId="31" type="noConversion"/>
  </si>
  <si>
    <t>正常</t>
  </si>
  <si>
    <t>科研办公</t>
    <phoneticPr fontId="31" type="noConversion"/>
  </si>
  <si>
    <t>项目模式</t>
  </si>
  <si>
    <t>售价</t>
  </si>
  <si>
    <t>七通</t>
  </si>
  <si>
    <t>40-50</t>
    <phoneticPr fontId="31" type="noConversion"/>
  </si>
  <si>
    <t>40-50</t>
    <phoneticPr fontId="31" type="noConversion"/>
  </si>
  <si>
    <r>
      <t>2021</t>
    </r>
    <r>
      <rPr>
        <sz val="11"/>
        <color indexed="8"/>
        <rFont val="宋体"/>
        <family val="3"/>
        <charset val="134"/>
      </rPr>
      <t>年</t>
    </r>
    <r>
      <rPr>
        <sz val="11"/>
        <color indexed="8"/>
        <rFont val="Arial"/>
        <family val="2"/>
      </rPr>
      <t>12</t>
    </r>
    <r>
      <rPr>
        <sz val="11"/>
        <color indexed="8"/>
        <rFont val="宋体"/>
        <family val="3"/>
        <charset val="134"/>
      </rPr>
      <t>月</t>
    </r>
    <phoneticPr fontId="31" type="noConversion"/>
  </si>
  <si>
    <r>
      <t>2020</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</si>
  <si>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t>序号</t>
    <phoneticPr fontId="134" type="noConversion"/>
  </si>
  <si>
    <t>不动产权利人</t>
    <phoneticPr fontId="134" type="noConversion"/>
  </si>
  <si>
    <t>建筑面积</t>
  </si>
  <si>
    <t>建筑面积</t>
    <phoneticPr fontId="134" type="noConversion"/>
  </si>
  <si>
    <t>坐落</t>
    <phoneticPr fontId="134" type="noConversion"/>
  </si>
  <si>
    <t>朝阳区望京东路4号院1号楼1层103</t>
    <phoneticPr fontId="134" type="noConversion"/>
  </si>
  <si>
    <t>规划用途</t>
    <phoneticPr fontId="134" type="noConversion"/>
  </si>
  <si>
    <t>研发中心</t>
  </si>
  <si>
    <t>研发中心</t>
    <phoneticPr fontId="134" type="noConversion"/>
  </si>
  <si>
    <t>所在楼层</t>
    <phoneticPr fontId="134" type="noConversion"/>
  </si>
  <si>
    <t>总层数</t>
    <phoneticPr fontId="134" type="noConversion"/>
  </si>
  <si>
    <t>京（2016）朝阳区不动产权第0036496号</t>
    <phoneticPr fontId="134" type="noConversion"/>
  </si>
  <si>
    <t>朝阳区望京东路4号院1号楼1层104</t>
  </si>
  <si>
    <t>京（2016）朝阳区不动产权第0036495号</t>
    <phoneticPr fontId="134" type="noConversion"/>
  </si>
  <si>
    <t>朝阳区望京东路4号院1号楼1层105</t>
  </si>
  <si>
    <t>京（2016）朝阳区不动产权第0036505号</t>
    <phoneticPr fontId="134" type="noConversion"/>
  </si>
  <si>
    <t>朝阳区望京东路4号院1号楼1层106</t>
  </si>
  <si>
    <t>朝阳区望京东路4号院1号楼-1层-106</t>
    <phoneticPr fontId="134" type="noConversion"/>
  </si>
  <si>
    <t>地下车库</t>
    <phoneticPr fontId="134" type="noConversion"/>
  </si>
  <si>
    <t>B1</t>
    <phoneticPr fontId="134" type="noConversion"/>
  </si>
  <si>
    <t>京（2016）朝阳区不动产权第0036203号</t>
    <phoneticPr fontId="134" type="noConversion"/>
  </si>
  <si>
    <t>朝阳区望京东路4号院1号楼1层107</t>
    <phoneticPr fontId="134" type="noConversion"/>
  </si>
  <si>
    <t>8（-02）</t>
    <phoneticPr fontId="134" type="noConversion"/>
  </si>
  <si>
    <t>京（2016）朝阳区不动产权第0036205号</t>
    <phoneticPr fontId="134" type="noConversion"/>
  </si>
  <si>
    <t>朝阳区望京东路4号院1号楼2层202</t>
    <phoneticPr fontId="134" type="noConversion"/>
  </si>
  <si>
    <t>京（2016）朝阳区不动产权第0036214号</t>
    <phoneticPr fontId="134" type="noConversion"/>
  </si>
  <si>
    <t>不动产权证号</t>
    <phoneticPr fontId="134" type="noConversion"/>
  </si>
  <si>
    <t>朝阳区望京东路4号院1号楼2层203</t>
  </si>
  <si>
    <t>朝阳区望京东路4号院1号楼2层204</t>
  </si>
  <si>
    <t>京（2016）朝阳区不动产权第0036212号</t>
    <phoneticPr fontId="134" type="noConversion"/>
  </si>
  <si>
    <t>朝阳区望京东路4号院1号楼2层205</t>
  </si>
  <si>
    <t>京（2016）朝阳区不动产权第0036209号</t>
    <phoneticPr fontId="134" type="noConversion"/>
  </si>
  <si>
    <t>朝阳区望京东路4号院1号楼3层302</t>
    <phoneticPr fontId="134" type="noConversion"/>
  </si>
  <si>
    <t>京（2016）朝阳区不动产权第0036503号</t>
    <phoneticPr fontId="134" type="noConversion"/>
  </si>
  <si>
    <t>朝阳区望京东路4号院1号楼3层303</t>
  </si>
  <si>
    <t>朝阳区望京东路4号院1号楼3层304</t>
  </si>
  <si>
    <t>京（2016）朝阳区不动产权第0036502号</t>
    <phoneticPr fontId="134" type="noConversion"/>
  </si>
  <si>
    <t>京（2016）朝阳区不动产权第0036501号</t>
    <phoneticPr fontId="134" type="noConversion"/>
  </si>
  <si>
    <t>朝阳区望京东路4号院1号楼4层402</t>
    <phoneticPr fontId="134" type="noConversion"/>
  </si>
  <si>
    <t>朝阳区望京东路4号院1号楼4层403</t>
  </si>
  <si>
    <t>朝阳区望京东路4号院1号楼4层404</t>
  </si>
  <si>
    <t>朝阳区望京东路4号院1号楼4层405</t>
  </si>
  <si>
    <t>京（2016）朝阳区不动产权第0036500号</t>
    <phoneticPr fontId="134" type="noConversion"/>
  </si>
  <si>
    <t>京（2016）朝阳区不动产权第0036499号</t>
    <phoneticPr fontId="134" type="noConversion"/>
  </si>
  <si>
    <t>京（2016）朝阳区不动产权第0036498号</t>
    <phoneticPr fontId="134" type="noConversion"/>
  </si>
  <si>
    <t>京（2016）朝阳区不动产权第0036497号</t>
    <phoneticPr fontId="134" type="noConversion"/>
  </si>
  <si>
    <t>朝阳区望京东路4号院1号楼5层502</t>
    <phoneticPr fontId="134" type="noConversion"/>
  </si>
  <si>
    <t>朝阳区望京东路4号院1号楼5层503</t>
  </si>
  <si>
    <t>朝阳区望京东路4号院1号楼5层504</t>
  </si>
  <si>
    <t>京（2016）朝阳区不动产权第0036208号</t>
    <phoneticPr fontId="134" type="noConversion"/>
  </si>
  <si>
    <t>京（2016）朝阳区不动产权第0036207号</t>
    <phoneticPr fontId="134" type="noConversion"/>
  </si>
  <si>
    <t>京（2016）朝阳区不动产权第0036507号</t>
    <phoneticPr fontId="134" type="noConversion"/>
  </si>
  <si>
    <t>朝阳区望京东路4号院1号楼6层602</t>
    <phoneticPr fontId="134" type="noConversion"/>
  </si>
  <si>
    <t>朝阳区望京东路4号院1号楼6层603</t>
  </si>
  <si>
    <t>朝阳区望京东路4号院1号楼6层604</t>
  </si>
  <si>
    <t>朝阳区望京东路4号院1号楼6层605</t>
  </si>
  <si>
    <t>京（2016）朝阳区不动产权第0036178号</t>
    <phoneticPr fontId="134" type="noConversion"/>
  </si>
  <si>
    <t>京（2016）朝阳区不动产权第0036179号</t>
  </si>
  <si>
    <t>京（2016）朝阳区不动产权第0036181号</t>
    <phoneticPr fontId="134" type="noConversion"/>
  </si>
  <si>
    <t>京（2016）朝阳区不动产权第0036184号</t>
    <phoneticPr fontId="134" type="noConversion"/>
  </si>
  <si>
    <t>京（2016）朝阳区不动产权第0036506号</t>
    <phoneticPr fontId="134" type="noConversion"/>
  </si>
  <si>
    <t>朝阳区望京东路4号院1号楼7层702</t>
    <phoneticPr fontId="134" type="noConversion"/>
  </si>
  <si>
    <t>京（2016）朝阳区不动产权第0036191号</t>
    <phoneticPr fontId="134" type="noConversion"/>
  </si>
  <si>
    <t>朝阳区望京东路4号院1号楼7层703</t>
  </si>
  <si>
    <t>朝阳区望京东路4号院1号楼7层704</t>
  </si>
  <si>
    <t>朝阳区望京东路4号院1号楼7层705</t>
  </si>
  <si>
    <t>京（2016）朝阳区不动产权第0036192号</t>
    <phoneticPr fontId="134" type="noConversion"/>
  </si>
  <si>
    <t>京（2016）朝阳区不动产权第0036195号</t>
    <phoneticPr fontId="134" type="noConversion"/>
  </si>
  <si>
    <t>朝阳区望京东路4号院1号楼8层802</t>
    <phoneticPr fontId="134" type="noConversion"/>
  </si>
  <si>
    <t>朝阳区望京东路4号院1号楼8层803</t>
  </si>
  <si>
    <t>朝阳区望京东路4号院1号楼8层804</t>
  </si>
  <si>
    <t>朝阳区望京东路4号院1号楼8层805</t>
  </si>
  <si>
    <t>京（2016）朝阳区不动产权第0036196号</t>
    <phoneticPr fontId="134" type="noConversion"/>
  </si>
  <si>
    <t>京（2016）朝阳区不动产权第0036197号</t>
    <phoneticPr fontId="134" type="noConversion"/>
  </si>
  <si>
    <t>京（2016）朝阳区不动产权第0036199号</t>
    <phoneticPr fontId="134" type="noConversion"/>
  </si>
  <si>
    <t>京（2016）朝阳区不动产权第0036200号</t>
    <phoneticPr fontId="134" type="noConversion"/>
  </si>
  <si>
    <t>京（2016）朝阳区不动产权第0036187号</t>
    <phoneticPr fontId="134" type="noConversion"/>
  </si>
  <si>
    <t>朝阳区望京东路4号院1号楼-1层-204</t>
    <phoneticPr fontId="134" type="noConversion"/>
  </si>
  <si>
    <t>B2</t>
    <phoneticPr fontId="134" type="noConversion"/>
  </si>
  <si>
    <t>京（2016）朝阳区不动产权第0036504号</t>
    <phoneticPr fontId="134" type="noConversion"/>
  </si>
  <si>
    <t>朝阳区望京东路4号院1号楼</t>
    <phoneticPr fontId="6" type="noConversion"/>
  </si>
  <si>
    <r>
      <t>1</t>
    </r>
    <r>
      <rPr>
        <sz val="10"/>
        <color indexed="8"/>
        <rFont val="宋体"/>
        <family val="3"/>
        <charset val="134"/>
      </rPr>
      <t>号楼</t>
    </r>
    <phoneticPr fontId="3" type="noConversion"/>
  </si>
  <si>
    <t>其中：地下车库</t>
    <phoneticPr fontId="134" type="noConversion"/>
  </si>
  <si>
    <t>地下占比</t>
    <phoneticPr fontId="134" type="noConversion"/>
  </si>
  <si>
    <t>地下</t>
  </si>
  <si>
    <t>研发中心</t>
    <phoneticPr fontId="7" type="noConversion"/>
  </si>
  <si>
    <t>BC座</t>
    <phoneticPr fontId="134" type="noConversion"/>
  </si>
  <si>
    <t>A座</t>
    <phoneticPr fontId="134" type="noConversion"/>
  </si>
  <si>
    <t>总地上</t>
    <phoneticPr fontId="134" type="noConversion"/>
  </si>
  <si>
    <t>总土地</t>
    <phoneticPr fontId="134" type="noConversion"/>
  </si>
  <si>
    <t>地上容积率</t>
    <phoneticPr fontId="134" type="noConversion"/>
  </si>
  <si>
    <t>租户</t>
  </si>
  <si>
    <t>租赁部位（含楼层）</t>
  </si>
  <si>
    <t>计租面积</t>
  </si>
  <si>
    <t>合同期限</t>
  </si>
  <si>
    <t>（起始）日租金（元/天.平方米）</t>
  </si>
  <si>
    <t>年租金</t>
  </si>
  <si>
    <t>租金涨幅情况</t>
  </si>
  <si>
    <t>物业管理费等</t>
  </si>
  <si>
    <t>合同租金是否含物业费等</t>
  </si>
  <si>
    <t>品牌</t>
  </si>
  <si>
    <t>单位名称</t>
  </si>
  <si>
    <t>平方米</t>
  </si>
  <si>
    <t>起止年/月/日</t>
  </si>
  <si>
    <t>不含税</t>
  </si>
  <si>
    <t>含税</t>
  </si>
  <si>
    <t>元/天.平方米</t>
  </si>
  <si>
    <t>美团</t>
  </si>
  <si>
    <t>北京三快在线科技有限公司</t>
  </si>
  <si>
    <t>北京市朝阳区望京东路4号院B、C座，除B座6层和C座下沉广场上方1层的1500平方米</t>
  </si>
  <si>
    <t>租期前三年租金涨幅不变，之后租金按照每两年涨幅10%，在原基础上每两年涨幅10%</t>
  </si>
  <si>
    <t>北京市朝阳区望京东路4号院B座6层</t>
  </si>
  <si>
    <t>2020/5/6-2025/2/28</t>
  </si>
  <si>
    <t>租金按照每两年涨幅10%，在原基础上每两年涨幅10%</t>
  </si>
  <si>
    <t>2019/12/1-2022/11/30</t>
  </si>
  <si>
    <t>2022/12/1-2025/2/28</t>
  </si>
  <si>
    <t>映月湾</t>
  </si>
  <si>
    <t>北京市朝阳区望京东路4号院C座一层</t>
  </si>
  <si>
    <t>2022/3/15-2032/3/14</t>
  </si>
  <si>
    <t>租金按照每三年涨幅5%</t>
  </si>
  <si>
    <t>总价</t>
    <phoneticPr fontId="134" type="noConversion"/>
  </si>
  <si>
    <t>锐创国际</t>
    <phoneticPr fontId="134" type="noConversion"/>
  </si>
  <si>
    <t>望京科创大厦</t>
    <phoneticPr fontId="134" type="noConversion"/>
  </si>
  <si>
    <t>中轻大厦</t>
    <phoneticPr fontId="134" type="noConversion"/>
  </si>
  <si>
    <t>金辉大厦</t>
    <phoneticPr fontId="134" type="noConversion"/>
  </si>
  <si>
    <t>中航产融大厦</t>
    <phoneticPr fontId="134" type="noConversion"/>
  </si>
  <si>
    <t>8.8-12</t>
    <phoneticPr fontId="134" type="noConversion"/>
  </si>
  <si>
    <t>6.5-8.5</t>
    <phoneticPr fontId="134" type="noConversion"/>
  </si>
  <si>
    <t>君康人寿大厦</t>
    <phoneticPr fontId="134" type="noConversion"/>
  </si>
  <si>
    <t>11-12.5</t>
    <phoneticPr fontId="134" type="noConversion"/>
  </si>
  <si>
    <t>绿地中心</t>
    <phoneticPr fontId="134" type="noConversion"/>
  </si>
  <si>
    <t>7-8.5</t>
    <phoneticPr fontId="134" type="noConversion"/>
  </si>
  <si>
    <t>博泰嘉华大厦</t>
    <phoneticPr fontId="134" type="noConversion"/>
  </si>
  <si>
    <t>启明国际大厦</t>
    <phoneticPr fontId="134" type="noConversion"/>
  </si>
  <si>
    <t>众运大厦</t>
    <phoneticPr fontId="134" type="noConversion"/>
  </si>
  <si>
    <t>洛娃大厦</t>
    <phoneticPr fontId="134" type="noConversion"/>
  </si>
  <si>
    <t>5.5-6</t>
    <phoneticPr fontId="134" type="noConversion"/>
  </si>
  <si>
    <t>中辰大厦</t>
    <phoneticPr fontId="134" type="noConversion"/>
  </si>
  <si>
    <t>博雅国际</t>
    <phoneticPr fontId="134" type="noConversion"/>
  </si>
  <si>
    <t>叶青大厦</t>
    <phoneticPr fontId="134" type="noConversion"/>
  </si>
  <si>
    <t>华彩大厦</t>
    <phoneticPr fontId="134" type="noConversion"/>
  </si>
  <si>
    <t>6.5-7</t>
    <phoneticPr fontId="134" type="noConversion"/>
  </si>
  <si>
    <t>朝来高科技产业园</t>
    <phoneticPr fontId="134" type="noConversion"/>
  </si>
  <si>
    <t>北五环外</t>
    <phoneticPr fontId="134" type="noConversion"/>
  </si>
  <si>
    <t>4.5-6</t>
    <phoneticPr fontId="134" type="noConversion"/>
  </si>
  <si>
    <t>融新科技中心</t>
    <phoneticPr fontId="134" type="noConversion"/>
  </si>
  <si>
    <t>11.5-12.5</t>
    <phoneticPr fontId="134" type="noConversion"/>
  </si>
  <si>
    <t>融创动力产业园</t>
    <phoneticPr fontId="134" type="noConversion"/>
  </si>
  <si>
    <t>诚盈中心</t>
    <phoneticPr fontId="134" type="noConversion"/>
  </si>
  <si>
    <t>6-8.5</t>
    <phoneticPr fontId="134" type="noConversion"/>
  </si>
  <si>
    <t>东湖国际中心</t>
    <phoneticPr fontId="134" type="noConversion"/>
  </si>
  <si>
    <t>合计</t>
    <phoneticPr fontId="134" type="noConversion"/>
  </si>
  <si>
    <t>——</t>
    <phoneticPr fontId="134" type="noConversion"/>
  </si>
  <si>
    <t>京（2016）朝阳区不动产权第0036201号</t>
    <phoneticPr fontId="134" type="noConversion"/>
  </si>
  <si>
    <t>北京恒基伟业移动通讯技术有限公司</t>
    <phoneticPr fontId="134" type="noConversion"/>
  </si>
  <si>
    <t>有查封</t>
    <phoneticPr fontId="134" type="noConversion"/>
  </si>
  <si>
    <t>成新度</t>
  </si>
  <si>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</si>
  <si>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</si>
  <si>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</si>
  <si>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</si>
  <si>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</si>
  <si>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</si>
  <si>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北京三快在线科技有限公司</t>
    <phoneticPr fontId="134" type="noConversion"/>
  </si>
  <si>
    <t>2015/3/1-2025/2/28</t>
    <phoneticPr fontId="134" type="noConversion"/>
  </si>
  <si>
    <t>北京映月湾商贸有限公司</t>
    <phoneticPr fontId="134"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</si>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</sst>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theme="0"/>
      <name val="宋体"/>
      <family val="3"/>
      <charset val="134"/>
    </font>
    <font>
      <sz val="10"/>
      <color theme="0"/>
      <name val="宋体"/>
      <family val="3"/>
      <charset val="134"/>
    </font>
    <font>
      <sz val="10"/>
      <color rgb="FFFF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0" fontId="107" fillId="0" borderId="0" xfId="0" applyFont="1">
      <alignment vertical="center"/>
    </xf>
    <xf numFmtId="0" fontId="77" fillId="12" borderId="0" xfId="0" applyFont="1" applyFill="1" applyAlignment="1" applyProtection="1">
      <alignment vertical="center"/>
      <protection locked="0"/>
    </xf>
    <xf numFmtId="43" fontId="47" fillId="12" borderId="0" xfId="0" applyNumberFormat="1" applyFont="1" applyFill="1" applyAlignment="1" applyProtection="1">
      <alignment vertical="center"/>
      <protection locked="0"/>
    </xf>
    <xf numFmtId="0" fontId="270" fillId="22" borderId="176" xfId="0" applyFont="1" applyFill="1" applyBorder="1" applyAlignment="1">
      <alignment vertical="center"/>
    </xf>
    <xf numFmtId="0" fontId="0" fillId="0" borderId="176" xfId="0" applyBorder="1" applyAlignment="1">
      <alignment vertical="center"/>
    </xf>
    <xf numFmtId="0" fontId="19" fillId="23" borderId="176" xfId="0" applyFont="1" applyFill="1" applyBorder="1" applyAlignment="1">
      <alignment vertical="center"/>
    </xf>
    <xf numFmtId="31" fontId="19" fillId="23" borderId="176" xfId="0" applyNumberFormat="1" applyFont="1" applyFill="1" applyBorder="1" applyAlignment="1">
      <alignment vertical="center"/>
    </xf>
    <xf numFmtId="9" fontId="19" fillId="23" borderId="176" xfId="0" applyNumberFormat="1" applyFont="1" applyFill="1" applyBorder="1" applyAlignment="1">
      <alignment vertical="center"/>
    </xf>
    <xf numFmtId="0" fontId="271" fillId="24" borderId="176" xfId="0" applyFont="1" applyFill="1" applyBorder="1" applyAlignment="1">
      <alignment vertical="center"/>
    </xf>
    <xf numFmtId="31" fontId="271" fillId="24" borderId="176" xfId="0" applyNumberFormat="1" applyFont="1" applyFill="1" applyBorder="1" applyAlignment="1">
      <alignment vertical="center"/>
    </xf>
    <xf numFmtId="9" fontId="271" fillId="24" borderId="176" xfId="0" applyNumberFormat="1" applyFont="1" applyFill="1" applyBorder="1" applyAlignment="1">
      <alignment vertical="center"/>
    </xf>
    <xf numFmtId="0" fontId="129" fillId="5" borderId="176" xfId="0" applyFont="1" applyFill="1" applyBorder="1" applyAlignment="1">
      <alignment vertical="center"/>
    </xf>
    <xf numFmtId="0" fontId="129" fillId="9" borderId="176" xfId="0" applyFont="1" applyFill="1" applyBorder="1" applyAlignment="1">
      <alignment vertical="center"/>
    </xf>
    <xf numFmtId="31" fontId="129" fillId="9" borderId="176" xfId="0" applyNumberFormat="1" applyFont="1" applyFill="1" applyBorder="1" applyAlignment="1">
      <alignment vertical="center"/>
    </xf>
    <xf numFmtId="9" fontId="129" fillId="5" borderId="176" xfId="0" applyNumberFormat="1" applyFont="1" applyFill="1" applyBorder="1" applyAlignment="1">
      <alignment vertical="center"/>
    </xf>
    <xf numFmtId="0" fontId="269" fillId="5" borderId="176" xfId="0" applyFont="1" applyFill="1" applyBorder="1" applyAlignment="1">
      <alignment vertical="center"/>
    </xf>
    <xf numFmtId="0" fontId="271" fillId="9" borderId="176" xfId="0" applyFont="1" applyFill="1" applyBorder="1" applyAlignment="1">
      <alignment vertical="center"/>
    </xf>
    <xf numFmtId="31" fontId="271" fillId="9" borderId="176" xfId="0" applyNumberFormat="1" applyFont="1" applyFill="1" applyBorder="1" applyAlignment="1">
      <alignment vertical="center"/>
    </xf>
    <xf numFmtId="0" fontId="129" fillId="25" borderId="176" xfId="0" applyFont="1" applyFill="1" applyBorder="1" applyAlignment="1">
      <alignment vertical="center"/>
    </xf>
    <xf numFmtId="31" fontId="129" fillId="25" borderId="176" xfId="0" applyNumberFormat="1" applyFont="1" applyFill="1" applyBorder="1" applyAlignment="1">
      <alignment vertical="center"/>
    </xf>
    <xf numFmtId="9" fontId="129" fillId="25" borderId="176" xfId="0" applyNumberFormat="1" applyFont="1" applyFill="1" applyBorder="1" applyAlignment="1">
      <alignment vertical="center"/>
    </xf>
    <xf numFmtId="0" fontId="269" fillId="25" borderId="176" xfId="0" applyFont="1" applyFill="1" applyBorder="1" applyAlignment="1">
      <alignment vertical="center"/>
    </xf>
    <xf numFmtId="0" fontId="0" fillId="0" borderId="0" xfId="0" applyAlignment="1">
      <alignment vertical="center"/>
    </xf>
    <xf numFmtId="191" fontId="0" fillId="0" borderId="0" xfId="0" applyNumberFormat="1" applyAlignment="1">
      <alignment vertical="center"/>
    </xf>
    <xf numFmtId="0" fontId="95" fillId="0" borderId="0" xfId="0" applyFont="1" applyAlignment="1">
      <alignment vertical="center"/>
    </xf>
    <xf numFmtId="0" fontId="0" fillId="0" borderId="0" xfId="0" applyFill="1" applyAlignment="1">
      <alignment vertical="center"/>
    </xf>
    <xf numFmtId="191" fontId="0" fillId="0" borderId="0" xfId="0" applyNumberFormat="1" applyFill="1" applyAlignment="1">
      <alignment vertical="center"/>
    </xf>
    <xf numFmtId="0" fontId="95" fillId="0" borderId="0" xfId="0" applyFont="1" applyFill="1" applyAlignment="1">
      <alignment vertical="center"/>
    </xf>
    <xf numFmtId="49" fontId="51"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07" fillId="0" borderId="0" xfId="0" applyFont="1" applyAlignment="1">
      <alignment vertical="center" wrapText="1"/>
    </xf>
    <xf numFmtId="0" fontId="272" fillId="0" borderId="0" xfId="0" applyFont="1" applyAlignment="1">
      <alignment vertical="center" wrapText="1"/>
    </xf>
    <xf numFmtId="0" fontId="77"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9" fontId="107" fillId="0" borderId="0" xfId="17" applyFont="1" applyAlignment="1">
      <alignment vertical="center" wrapText="1"/>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1" xfId="0" applyFont="1" applyBorder="1" applyAlignment="1">
      <alignment horizontal="left" vertical="center" wrapText="1"/>
    </xf>
    <xf numFmtId="196" fontId="19" fillId="0" borderId="1" xfId="0" applyNumberFormat="1" applyFont="1" applyBorder="1" applyAlignment="1">
      <alignment horizontal="left" vertical="center" wrapText="1"/>
    </xf>
    <xf numFmtId="0" fontId="19" fillId="0" borderId="1" xfId="0" applyFont="1" applyBorder="1" applyAlignment="1">
      <alignment horizontal="left" vertical="center"/>
    </xf>
    <xf numFmtId="196" fontId="19" fillId="0" borderId="1" xfId="0" applyNumberFormat="1" applyFont="1" applyBorder="1" applyAlignment="1">
      <alignment horizontal="left" vertical="center"/>
    </xf>
    <xf numFmtId="196" fontId="19" fillId="5" borderId="1" xfId="0" applyNumberFormat="1" applyFont="1" applyFill="1" applyBorder="1" applyAlignment="1">
      <alignment horizontal="left" vertical="center"/>
    </xf>
    <xf numFmtId="0" fontId="107" fillId="0" borderId="0" xfId="0" applyFont="1" applyAlignment="1">
      <alignment horizontal="left" vertical="center"/>
    </xf>
    <xf numFmtId="196" fontId="107" fillId="0" borderId="0" xfId="0" applyNumberFormat="1" applyFont="1" applyAlignment="1">
      <alignment horizontal="left" vertical="center"/>
    </xf>
    <xf numFmtId="196" fontId="107" fillId="0" borderId="0" xfId="0" applyNumberFormat="1" applyFont="1">
      <alignment vertical="center"/>
    </xf>
    <xf numFmtId="0" fontId="107" fillId="0" borderId="0" xfId="0" applyFont="1" applyAlignment="1">
      <alignment horizontal="right" vertical="center"/>
    </xf>
    <xf numFmtId="0" fontId="107" fillId="0" borderId="0" xfId="0" applyFont="1" applyAlignment="1">
      <alignment horizontal="left" vertical="center" wrapText="1"/>
    </xf>
    <xf numFmtId="0" fontId="272" fillId="0" borderId="0" xfId="0" applyFont="1" applyAlignment="1">
      <alignment horizontal="left" vertical="center" wrapText="1"/>
    </xf>
    <xf numFmtId="176" fontId="49" fillId="6" borderId="0"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9" fontId="47" fillId="0" borderId="37" xfId="0" applyNumberFormat="1" applyFont="1" applyFill="1" applyBorder="1" applyAlignment="1" applyProtection="1">
      <alignment horizontal="center" vertical="center" wrapText="1"/>
      <protection locked="0"/>
    </xf>
    <xf numFmtId="183" fontId="47" fillId="0" borderId="70" xfId="0" applyNumberFormat="1" applyFont="1" applyFill="1" applyBorder="1" applyAlignment="1" applyProtection="1">
      <alignment horizontal="center" vertical="center" wrapText="1"/>
      <protection locked="0"/>
    </xf>
    <xf numFmtId="181" fontId="44" fillId="18" borderId="1" xfId="0" applyNumberFormat="1" applyFont="1" applyFill="1" applyBorder="1" applyAlignment="1" applyProtection="1">
      <alignment vertical="center"/>
      <protection locked="0"/>
    </xf>
    <xf numFmtId="177" fontId="47" fillId="18" borderId="1" xfId="1" applyNumberFormat="1" applyFont="1" applyFill="1" applyBorder="1" applyAlignment="1" applyProtection="1">
      <alignment horizontal="center" vertical="center"/>
      <protection locked="0"/>
    </xf>
    <xf numFmtId="177" fontId="44"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44" fillId="18" borderId="67" xfId="0" applyNumberFormat="1" applyFont="1" applyFill="1" applyBorder="1" applyAlignment="1" applyProtection="1">
      <alignment horizontal="center" vertical="center" wrapText="1"/>
    </xf>
    <xf numFmtId="0" fontId="44" fillId="18" borderId="34" xfId="0" applyNumberFormat="1" applyFont="1" applyFill="1" applyBorder="1" applyAlignment="1" applyProtection="1">
      <alignment horizontal="center" vertical="center" wrapText="1"/>
    </xf>
    <xf numFmtId="0" fontId="51" fillId="18" borderId="41" xfId="0" applyNumberFormat="1" applyFont="1" applyFill="1" applyBorder="1" applyAlignment="1" applyProtection="1">
      <alignment horizontal="center" vertical="center" wrapText="1"/>
      <protection locked="0"/>
    </xf>
    <xf numFmtId="0" fontId="58" fillId="18" borderId="11" xfId="0" applyNumberFormat="1" applyFont="1" applyFill="1" applyBorder="1" applyAlignment="1" applyProtection="1">
      <alignment horizontal="center" vertical="center" wrapText="1"/>
      <protection locked="0"/>
    </xf>
    <xf numFmtId="0" fontId="107" fillId="0" borderId="0" xfId="0" applyFont="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0" xfId="0" applyFont="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49" fontId="208"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0" borderId="13" xfId="0" applyFont="1" applyBorder="1" applyAlignment="1">
      <alignment horizontal="left" vertical="center" wrapText="1"/>
    </xf>
    <xf numFmtId="0" fontId="19" fillId="0" borderId="2" xfId="0" applyFont="1" applyBorder="1" applyAlignment="1">
      <alignment horizontal="left" vertical="center" wrapText="1"/>
    </xf>
    <xf numFmtId="0" fontId="19" fillId="0" borderId="5" xfId="0" applyFont="1" applyBorder="1" applyAlignment="1">
      <alignment horizontal="left" vertical="center" wrapText="1"/>
    </xf>
    <xf numFmtId="0" fontId="19" fillId="0" borderId="3" xfId="0" applyFont="1" applyBorder="1" applyAlignment="1">
      <alignment horizontal="left" vertical="center" wrapText="1"/>
    </xf>
    <xf numFmtId="196" fontId="19" fillId="0" borderId="5" xfId="0" applyNumberFormat="1" applyFont="1" applyBorder="1" applyAlignment="1">
      <alignment horizontal="left" vertical="center" wrapText="1"/>
    </xf>
    <xf numFmtId="196" fontId="19" fillId="0" borderId="3" xfId="0" applyNumberFormat="1" applyFont="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114300</xdr:rowOff>
    </xdr:from>
    <xdr:to>
      <xdr:col>8</xdr:col>
      <xdr:colOff>959681</xdr:colOff>
      <xdr:row>41</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33900"/>
          <a:ext cx="7284281" cy="5019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41.bin"/><Relationship Id="rId4"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北京市朝阳区望京东路4号院1号楼房地产抵押价值预评估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受贵公司委托，我公司对北京市朝阳区望京东路4号院1号楼房地产抵押价值进行了预评估。</v>
      </c>
    </row>
    <row r="7" spans="1:2" s="1200" customFormat="1">
      <c r="A7" s="1198" t="s">
        <v>566</v>
      </c>
      <c r="B7" s="1199" t="str">
        <f>'预评函-1'!A7</f>
        <v>估价对象为北京市朝阳区望京东路4号院1号楼房地产，为所有。根据《国有土地使用证》[]，估价对象（分摊）出让国有建设用地使用权面积为0平方米，建筑面积为55858.87平方米。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望京东路4号院1号楼房地产,属开发建设的，该项目尚在开发建设中。根据《国有土地使用证》[]，估价对象（分摊）出让国有建设用地使用权面积为0平方米，规划建筑面积为55858.87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2023年12月12日（评估专业人员实地查勘之日）</v>
      </c>
    </row>
    <row r="13" spans="1:2" s="1200" customFormat="1">
      <c r="A13" s="1198" t="s">
        <v>529</v>
      </c>
      <c r="B13" s="1199" t="str">
        <f>'预评函-1'!A18</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183644</v>
      </c>
    </row>
    <row r="21" spans="1:2" s="1200" customFormat="1">
      <c r="A21" s="1198" t="s">
        <v>537</v>
      </c>
      <c r="B21" s="1199">
        <f ca="1">'预评函-2'!D7</f>
        <v>32876</v>
      </c>
    </row>
    <row r="22" spans="1:2" s="1200" customFormat="1">
      <c r="A22" s="1198" t="s">
        <v>538</v>
      </c>
      <c r="B22" s="1199" t="str">
        <f ca="1">'预评函-2'!D6</f>
        <v>壹拾捌亿叁仟陆佰肆拾肆万元整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183644</v>
      </c>
    </row>
    <row r="31" spans="1:2" s="1200" customFormat="1">
      <c r="A31" s="1198" t="s">
        <v>576</v>
      </c>
      <c r="B31" s="1199">
        <f ca="1">'预评函-2'!D15</f>
        <v>32876</v>
      </c>
    </row>
    <row r="32" spans="1:2" s="1200" customFormat="1">
      <c r="A32" s="1198" t="s">
        <v>543</v>
      </c>
      <c r="B32" s="1199" t="str">
        <f ca="1">'预评函-2'!D14</f>
        <v>壹拾捌亿叁仟陆佰肆拾肆万元整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北京市朝阳区望京东路4号院1号楼房地产</v>
      </c>
    </row>
    <row r="42" spans="1:2" s="1200" customFormat="1">
      <c r="A42" s="1198" t="s">
        <v>590</v>
      </c>
      <c r="B42" s="1199" t="str">
        <f>'预评函-3'!B2</f>
        <v>建筑面积</v>
      </c>
    </row>
    <row r="43" spans="1:2" s="1200" customFormat="1">
      <c r="A43" s="1198" t="s">
        <v>591</v>
      </c>
      <c r="B43" s="1199">
        <f>'预评函-3'!B4</f>
        <v>55858.869999999981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3355</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3341</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3342</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3343</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3344</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3345</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3346</v>
      </c>
    </row>
    <row r="8" spans="1:23">
      <c r="A8" s="1543" t="s">
        <v>1026</v>
      </c>
      <c r="B8" s="1543" t="s">
        <v>1027</v>
      </c>
      <c r="C8" s="1544" t="s">
        <v>319</v>
      </c>
      <c r="F8" s="1545" t="s">
        <v>1028</v>
      </c>
      <c r="H8" s="1545" t="s">
        <v>2581</v>
      </c>
      <c r="I8" s="1545" t="s">
        <v>3347</v>
      </c>
    </row>
    <row r="9" spans="1:23">
      <c r="A9" s="1543" t="s">
        <v>1029</v>
      </c>
      <c r="B9" s="1543" t="s">
        <v>1030</v>
      </c>
      <c r="C9" s="1544" t="s">
        <v>320</v>
      </c>
      <c r="F9" s="1545" t="s">
        <v>1031</v>
      </c>
      <c r="H9" s="1545"/>
      <c r="I9" s="1548" t="s">
        <v>3348</v>
      </c>
    </row>
    <row r="10" spans="1:23">
      <c r="A10" s="1543" t="s">
        <v>1032</v>
      </c>
      <c r="B10" s="1543" t="s">
        <v>1033</v>
      </c>
      <c r="C10" s="1544" t="s">
        <v>321</v>
      </c>
      <c r="F10" s="1545" t="s">
        <v>2582</v>
      </c>
      <c r="I10" s="1548" t="s">
        <v>3349</v>
      </c>
    </row>
    <row r="11" spans="1:23">
      <c r="A11" s="1543" t="s">
        <v>1034</v>
      </c>
      <c r="B11" s="1543" t="s">
        <v>1035</v>
      </c>
      <c r="C11" s="1544" t="s">
        <v>322</v>
      </c>
      <c r="F11" s="1545" t="s">
        <v>13</v>
      </c>
      <c r="I11" s="1548" t="s">
        <v>3350</v>
      </c>
    </row>
    <row r="12" spans="1:23">
      <c r="A12" s="1543" t="s">
        <v>1036</v>
      </c>
      <c r="B12" s="1543" t="s">
        <v>1037</v>
      </c>
      <c r="C12" s="1544" t="s">
        <v>323</v>
      </c>
      <c r="I12" s="1548" t="s">
        <v>3351</v>
      </c>
    </row>
    <row r="13" spans="1:23">
      <c r="A13" s="1543" t="s">
        <v>1038</v>
      </c>
      <c r="B13" s="1543" t="s">
        <v>1039</v>
      </c>
      <c r="C13" s="1544" t="s">
        <v>324</v>
      </c>
      <c r="I13" s="1548" t="s">
        <v>3352</v>
      </c>
    </row>
    <row r="14" spans="1:23">
      <c r="A14" s="1543" t="s">
        <v>1040</v>
      </c>
      <c r="B14" s="1543" t="s">
        <v>1041</v>
      </c>
      <c r="C14" s="1545" t="s">
        <v>13</v>
      </c>
      <c r="I14" s="1548" t="s">
        <v>3353</v>
      </c>
    </row>
    <row r="15" spans="1:23">
      <c r="A15" s="1543" t="s">
        <v>1042</v>
      </c>
      <c r="B15" s="1543" t="s">
        <v>1043</v>
      </c>
      <c r="C15" s="1544"/>
      <c r="I15" s="1548" t="s">
        <v>3354</v>
      </c>
    </row>
    <row r="16" spans="1:23">
      <c r="A16" s="1543" t="s">
        <v>1044</v>
      </c>
      <c r="B16" s="1543" t="s">
        <v>312</v>
      </c>
      <c r="C16" s="1544"/>
    </row>
    <row r="17" spans="1:3">
      <c r="A17" s="1543" t="s">
        <v>1045</v>
      </c>
      <c r="B17" s="1543" t="s">
        <v>2293</v>
      </c>
      <c r="C17" s="1544"/>
    </row>
    <row r="18" spans="1:3">
      <c r="A18" s="1543" t="s">
        <v>1046</v>
      </c>
      <c r="B18" s="1543" t="s">
        <v>2437</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5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1551" t="s">
        <v>385</v>
      </c>
      <c r="C54" s="1548" t="s">
        <v>583</v>
      </c>
    </row>
    <row r="55" spans="1:4">
      <c r="A55" s="3559"/>
      <c r="B55" s="1551" t="s">
        <v>386</v>
      </c>
      <c r="C55" s="1548" t="s">
        <v>584</v>
      </c>
    </row>
    <row r="56" spans="1:4">
      <c r="A56" s="3559"/>
      <c r="B56" s="1551" t="s">
        <v>387</v>
      </c>
      <c r="C56" s="1548" t="s">
        <v>588</v>
      </c>
    </row>
    <row r="57" spans="1:4">
      <c r="A57" s="355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66" sqref="D6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60" t="s">
        <v>2584</v>
      </c>
      <c r="J2" s="3560"/>
      <c r="K2" s="3560"/>
      <c r="L2" s="3560"/>
      <c r="M2" s="3560"/>
      <c r="N2" s="3560"/>
      <c r="O2" s="3560"/>
      <c r="P2" s="3560"/>
      <c r="Q2" s="3560"/>
      <c r="R2" s="3560"/>
    </row>
    <row r="3" spans="1:18">
      <c r="A3" s="3016" t="s">
        <v>2505</v>
      </c>
      <c r="B3" s="3017">
        <f>项目基本情况!D3</f>
        <v>45272</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3.02</v>
      </c>
      <c r="D5" s="3021">
        <f>IF(ISERROR(ROUND(POWER(1+E5,A5-C5)*(POWER(1+E5,C5)-1)/(POWER(1+E5,A5)-1),3)),0,ROUND(POWER(1+E5,A5-C5)*(POWER(1+E5,C5)-1)/(POWER(1+E5,A5)-1),4))</f>
        <v>0.1411</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13.03</v>
      </c>
      <c r="D6" s="3021">
        <f>IF(ISERROR(ROUND(POWER(1+E6,A6-C6)*(POWER(1+E6,C6)-1)/(POWER(1+E6,A6)-1),3)),0,ROUND(POWER(1+E6,A6-C6)*(POWER(1+E6,C6)-1)/(POWER(1+E6,A6)-1),4))</f>
        <v>0.4657</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33.04</v>
      </c>
      <c r="D7" s="3021">
        <f>IF(ISERROR(ROUND(POWER(1+E7,A7-C7)*(POWER(1+E7,C7)-1)/(POWER(1+E7,A7)-1),3)),0,ROUND(POWER(1+E7,A7-C7)*(POWER(1+E7,C7)-1)/(POWER(1+E7,A7)-1),4))</f>
        <v>0.7762</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I46" sqref="I4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2168</v>
      </c>
      <c r="B1" s="3569" t="str">
        <f>IF(B10="北京市","北京市",C10)&amp;F10&amp;IF(结果表!G1="在建","出让国有建设用地使用权及在建建筑物",IF(结果表!G1="土地","出让国有建设用地使用权",))&amp;B9&amp;"预评估"</f>
        <v>北京市朝阳区望京东路4号院1号楼房地产抵押价值预评估</v>
      </c>
      <c r="C1" s="3570"/>
      <c r="D1" s="3570"/>
      <c r="E1" s="3570"/>
      <c r="F1" s="3570"/>
      <c r="G1" s="3570"/>
      <c r="H1" s="3570"/>
      <c r="I1" s="3571"/>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北京市朝阳区望京东路4号院1号楼房地产抵押价值</v>
      </c>
      <c r="T1" s="1742"/>
      <c r="U1" s="1742"/>
      <c r="V1" s="1742"/>
      <c r="W1" s="1742"/>
      <c r="X1" s="1742"/>
      <c r="Y1" s="1742"/>
      <c r="Z1" s="1742"/>
      <c r="AA1" s="1742"/>
      <c r="AB1" s="1742"/>
    </row>
    <row r="2" spans="1:30">
      <c r="A2" s="2364" t="s">
        <v>2169</v>
      </c>
      <c r="B2" s="2368"/>
      <c r="C2" s="2369"/>
      <c r="D2" s="2666"/>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北京市朝阳区望京东路4号院1号楼房地产</v>
      </c>
      <c r="T2" s="1742"/>
      <c r="U2" s="1742"/>
      <c r="V2" s="1742"/>
      <c r="W2" s="1742"/>
      <c r="X2" s="1742"/>
      <c r="Y2" s="1742"/>
      <c r="Z2" s="1742"/>
      <c r="AA2" s="1742"/>
      <c r="AB2" s="1742"/>
    </row>
    <row r="3" spans="1:30">
      <c r="A3" s="300" t="s">
        <v>2170</v>
      </c>
      <c r="B3" s="2370">
        <v>45272</v>
      </c>
      <c r="C3" s="2371" t="s">
        <v>2171</v>
      </c>
      <c r="D3" s="2370">
        <f>B3</f>
        <v>45272</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2172</v>
      </c>
      <c r="B4" s="2372" t="s">
        <v>3384</v>
      </c>
      <c r="C4" s="2373">
        <f ca="1">SUMIF(注册房地产估价师,B4,估价师及机构信息!B3:B24)</f>
        <v>1120100036</v>
      </c>
      <c r="D4" s="2372" t="s">
        <v>3385</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3383</v>
      </c>
      <c r="C8" s="2387"/>
      <c r="D8" s="3572" t="s">
        <v>2177</v>
      </c>
      <c r="E8" s="2388" t="s">
        <v>3386</v>
      </c>
      <c r="F8" s="2389"/>
      <c r="G8" s="2660"/>
      <c r="H8" s="2660"/>
      <c r="I8" s="2660"/>
      <c r="J8" s="2436"/>
      <c r="K8" s="2611"/>
      <c r="L8" s="2610"/>
      <c r="M8" s="2610"/>
      <c r="N8" s="2436"/>
      <c r="O8" s="2447"/>
      <c r="P8" s="2436"/>
      <c r="Q8" s="2436"/>
      <c r="R8" s="2436"/>
    </row>
    <row r="9" spans="1:30" ht="13.5" thickBot="1">
      <c r="A9" s="2390" t="s">
        <v>2178</v>
      </c>
      <c r="B9" s="2391" t="s">
        <v>3386</v>
      </c>
      <c r="C9" s="2392"/>
      <c r="D9" s="3573"/>
      <c r="E9" s="2391"/>
      <c r="F9" s="2393"/>
      <c r="G9" s="2662"/>
      <c r="H9" s="2662"/>
      <c r="I9" s="2662"/>
      <c r="J9" s="2436"/>
      <c r="K9" s="2613"/>
      <c r="L9" s="2610"/>
      <c r="M9" s="2610"/>
      <c r="N9" s="2436"/>
      <c r="O9" s="2447"/>
      <c r="P9" s="2436"/>
      <c r="Q9" s="2436"/>
      <c r="R9" s="2436"/>
    </row>
    <row r="10" spans="1:30" ht="13.5" thickTop="1">
      <c r="A10" s="2394" t="s">
        <v>2179</v>
      </c>
      <c r="B10" s="2395" t="s">
        <v>3387</v>
      </c>
      <c r="C10" s="2396"/>
      <c r="D10" s="2379"/>
      <c r="E10" s="2397" t="s">
        <v>2180</v>
      </c>
      <c r="F10" s="3485" t="s">
        <v>3621</v>
      </c>
      <c r="G10" s="2663"/>
      <c r="H10" s="2664"/>
      <c r="I10" s="2665"/>
      <c r="J10" s="2436"/>
      <c r="K10" s="2613"/>
      <c r="L10" s="2610"/>
      <c r="M10" s="2610"/>
      <c r="N10" s="2436"/>
      <c r="O10" s="2447"/>
      <c r="P10" s="2436"/>
      <c r="Q10" s="2436"/>
      <c r="R10" s="2436"/>
    </row>
    <row r="11" spans="1:30">
      <c r="A11" s="2398" t="s">
        <v>2181</v>
      </c>
      <c r="B11" s="2399" t="s">
        <v>3388</v>
      </c>
      <c r="C11" s="2400"/>
      <c r="D11" s="2401"/>
      <c r="E11" s="2367"/>
      <c r="F11" s="2367"/>
      <c r="G11" s="2367"/>
      <c r="H11" s="2367"/>
      <c r="I11" s="2367"/>
      <c r="J11" s="3057"/>
      <c r="K11" s="3056"/>
      <c r="L11" s="2610"/>
      <c r="M11" s="2610"/>
      <c r="N11" s="2436"/>
      <c r="O11" s="2447"/>
      <c r="P11" s="2436"/>
      <c r="Q11" s="2436"/>
      <c r="R11" s="2436"/>
    </row>
    <row r="12" spans="1:30">
      <c r="A12" s="2402" t="s">
        <v>2182</v>
      </c>
      <c r="B12" s="321"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2"/>
    </row>
    <row r="13" spans="1:30">
      <c r="A13" s="3419" t="s">
        <v>3336</v>
      </c>
      <c r="B13" s="2404" t="s">
        <v>2190</v>
      </c>
      <c r="C13" s="853"/>
      <c r="D13" s="853"/>
      <c r="E13" s="853"/>
      <c r="F13" s="853">
        <v>58268</v>
      </c>
      <c r="G13" s="853"/>
      <c r="H13" s="853">
        <v>58268</v>
      </c>
      <c r="I13" s="853">
        <v>58268</v>
      </c>
      <c r="J13" s="3058"/>
      <c r="K13" s="2610"/>
      <c r="L13" s="2610"/>
      <c r="M13" s="2436"/>
      <c r="N13" s="2447"/>
      <c r="O13" s="2436"/>
      <c r="P13" s="2436"/>
      <c r="Q13" s="2436"/>
      <c r="AD13" s="1742"/>
    </row>
    <row r="14" spans="1:30">
      <c r="A14" s="1078"/>
      <c r="B14" s="2404" t="s">
        <v>2191</v>
      </c>
      <c r="C14" s="2405"/>
      <c r="D14" s="2405"/>
      <c r="E14" s="2405"/>
      <c r="F14" s="2405">
        <v>50</v>
      </c>
      <c r="G14" s="2405"/>
      <c r="H14" s="2405">
        <v>50</v>
      </c>
      <c r="I14" s="2405">
        <v>50</v>
      </c>
      <c r="J14" s="3059"/>
      <c r="K14" s="2610"/>
      <c r="L14" s="2610"/>
      <c r="M14" s="2436"/>
      <c r="N14" s="2447"/>
      <c r="O14" s="2436"/>
      <c r="P14" s="2436"/>
      <c r="Q14" s="2436"/>
      <c r="AD14" s="1742"/>
    </row>
    <row r="15" spans="1:30">
      <c r="A15" s="318"/>
      <c r="B15" s="2406" t="s">
        <v>2192</v>
      </c>
      <c r="C15" s="2407" t="str">
        <f>IF(A13="出让",IF(C13="","",ROUNDDOWN(MIN((C13-$D$3)/365,C14),2)),C14)</f>
        <v/>
      </c>
      <c r="D15" s="2407" t="str">
        <f>IF(A13="出让",IF(D13="","",ROUNDDOWN(MIN((D13-$D$3)/365,D14),2)),D14)</f>
        <v/>
      </c>
      <c r="E15" s="2407" t="str">
        <f>IF(A13="出让",IF(E13="","",ROUNDDOWN(MIN((E13-$D$3)/365,E14),2)),E14)</f>
        <v/>
      </c>
      <c r="F15" s="2407">
        <f>IF(A13="出让",IF(F13="","",ROUNDDOWN(MIN((F13-$D$3)/365,F14),2)),F14)</f>
        <v>35.6</v>
      </c>
      <c r="G15" s="2407" t="str">
        <f>IF(A13="出让",IF(G13="","",ROUNDDOWN(MIN((G13-$D$3)/365,G14),2)),G14)</f>
        <v/>
      </c>
      <c r="H15" s="2407">
        <f>IF(A13="出让",IF(H13="","",ROUNDDOWN(MIN((H13-$D$3)/365,H14),2)),H14)</f>
        <v>35.6</v>
      </c>
      <c r="I15" s="2407">
        <f>IF(A13="出让",IF(I13="","",ROUNDDOWN(MIN((I13-$D$3)/365,I14),2)),I14)</f>
        <v>35.6</v>
      </c>
      <c r="J15" s="3060"/>
      <c r="K15" s="2448"/>
      <c r="L15" s="2448"/>
      <c r="M15" s="2506"/>
      <c r="N15" s="2448"/>
      <c r="O15" s="2506"/>
      <c r="P15" s="2436"/>
      <c r="Q15" s="2436"/>
      <c r="AD15" s="1742"/>
    </row>
    <row r="16" spans="1:30">
      <c r="A16" s="2397" t="s">
        <v>2193</v>
      </c>
      <c r="B16" s="3579"/>
      <c r="C16" s="3580"/>
      <c r="D16" s="3581"/>
      <c r="E16" s="2410" t="s">
        <v>2194</v>
      </c>
      <c r="F16" s="3582"/>
      <c r="G16" s="3583"/>
      <c r="H16" s="3583"/>
      <c r="I16" s="3584"/>
      <c r="J16" s="2436"/>
      <c r="K16" s="2614"/>
      <c r="L16" s="2448"/>
      <c r="M16" s="2448"/>
      <c r="N16" s="2506"/>
      <c r="O16" s="2448"/>
      <c r="P16" s="2506"/>
      <c r="Q16" s="2436"/>
      <c r="R16" s="2436"/>
    </row>
    <row r="17" spans="1:28">
      <c r="A17" s="311" t="s">
        <v>2195</v>
      </c>
      <c r="B17" s="300" t="s">
        <v>2196</v>
      </c>
      <c r="C17" s="8">
        <f>'数据-汇总表'!E3</f>
        <v>55858.869999999981</v>
      </c>
      <c r="D17" s="2319" t="s">
        <v>2197</v>
      </c>
      <c r="E17" s="3585" t="s">
        <v>2198</v>
      </c>
      <c r="F17" s="3586"/>
      <c r="G17" s="3586"/>
      <c r="H17" s="3586"/>
      <c r="I17" s="3587"/>
      <c r="J17" s="2436"/>
      <c r="K17" s="2615"/>
      <c r="L17" s="2448"/>
      <c r="M17" s="2448"/>
      <c r="N17" s="2506"/>
      <c r="O17" s="2448"/>
      <c r="P17" s="2506"/>
      <c r="Q17" s="2436"/>
      <c r="R17" s="2436"/>
      <c r="S17" s="2436"/>
      <c r="T17" s="2436"/>
      <c r="U17" s="2436"/>
      <c r="V17" s="2436"/>
    </row>
    <row r="18" spans="1:28" ht="24.75" thickBot="1">
      <c r="A18" s="2411" t="s">
        <v>2199</v>
      </c>
      <c r="B18" s="1087" t="s">
        <v>2200</v>
      </c>
      <c r="C18" s="2412">
        <f>'数据-汇总表'!D3</f>
        <v>0</v>
      </c>
      <c r="D18" s="1089" t="s">
        <v>2201</v>
      </c>
      <c r="E18" s="3588" t="s">
        <v>2202</v>
      </c>
      <c r="F18" s="3589"/>
      <c r="G18" s="3589"/>
      <c r="H18" s="3589"/>
      <c r="I18" s="3590"/>
      <c r="J18" s="2436"/>
      <c r="K18" s="2615"/>
      <c r="L18" s="2448"/>
      <c r="M18" s="2448"/>
      <c r="N18" s="2506"/>
      <c r="O18" s="2448"/>
      <c r="P18" s="2506"/>
      <c r="Q18" s="2436"/>
      <c r="R18" s="2436"/>
      <c r="S18" s="2436"/>
      <c r="T18" s="2436"/>
      <c r="U18" s="2436"/>
      <c r="V18" s="2436"/>
    </row>
    <row r="19" spans="1:28" ht="37.5" thickTop="1" thickBot="1">
      <c r="A19" s="325" t="s">
        <v>1055</v>
      </c>
      <c r="B19" s="305" t="s">
        <v>2203</v>
      </c>
      <c r="C19" s="1560"/>
      <c r="D19" s="1561" t="s">
        <v>2204</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2205</v>
      </c>
      <c r="B20" s="3575" t="s">
        <v>2206</v>
      </c>
      <c r="C20" s="3576"/>
      <c r="D20" s="3577" t="s">
        <v>2207</v>
      </c>
      <c r="E20" s="3578"/>
      <c r="F20" s="2644" t="s">
        <v>1056</v>
      </c>
      <c r="G20" s="2661"/>
      <c r="H20" s="2661"/>
      <c r="I20" s="2661"/>
      <c r="J20" s="2436"/>
      <c r="K20" s="3574" t="s">
        <v>2208</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2209</v>
      </c>
      <c r="C21" s="2631" t="s">
        <v>1057</v>
      </c>
      <c r="D21" s="1565" t="s">
        <v>2210</v>
      </c>
      <c r="E21" s="2632" t="s">
        <v>1057</v>
      </c>
      <c r="F21" s="2645"/>
      <c r="G21" s="2661"/>
      <c r="H21" s="2661"/>
      <c r="I21" s="2661"/>
      <c r="J21" s="2436"/>
      <c r="K21" s="3574"/>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2211</v>
      </c>
      <c r="C22" s="2631" t="s">
        <v>1058</v>
      </c>
      <c r="D22" s="2660"/>
      <c r="E22" s="2660"/>
      <c r="F22" s="2660"/>
      <c r="G22" s="2661"/>
      <c r="H22" s="2661"/>
      <c r="I22" s="2661"/>
      <c r="J22" s="2436"/>
      <c r="K22" s="3574"/>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62" t="s">
        <v>2214</v>
      </c>
      <c r="B27" s="318"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62"/>
      <c r="B28" s="300"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62"/>
      <c r="B29" s="300"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63"/>
      <c r="B30" s="300" t="s">
        <v>2218</v>
      </c>
      <c r="C30" s="3564"/>
      <c r="D30" s="3565"/>
      <c r="E30" s="2661"/>
      <c r="F30" s="2661"/>
      <c r="G30" s="2661"/>
      <c r="H30" s="2661"/>
      <c r="I30" s="2661"/>
      <c r="J30" s="2436"/>
      <c r="K30" s="2613"/>
      <c r="L30" s="2610"/>
      <c r="M30" s="2610"/>
      <c r="N30" s="2436"/>
      <c r="O30" s="2447"/>
      <c r="P30" s="2436"/>
      <c r="Q30" s="2436"/>
      <c r="R30" s="2436"/>
      <c r="S30" s="2436"/>
      <c r="T30" s="2436"/>
      <c r="U30" s="2436"/>
      <c r="V30" s="2436"/>
    </row>
    <row r="31" spans="1:28">
      <c r="A31" s="3566" t="s">
        <v>2219</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67"/>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67"/>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0" t="s">
        <v>2220</v>
      </c>
      <c r="B34" s="2023"/>
      <c r="C34" s="2023"/>
      <c r="D34" s="2023"/>
      <c r="E34" s="2023"/>
      <c r="F34" s="2023"/>
      <c r="G34" s="2023"/>
      <c r="H34" s="2023"/>
      <c r="I34" s="2661"/>
      <c r="J34" s="2436"/>
      <c r="K34" s="2424">
        <f>COUNTIF(B34:H34,"——")</f>
        <v>0</v>
      </c>
      <c r="L34" s="321" t="s">
        <v>2221</v>
      </c>
      <c r="M34" s="321" t="s">
        <v>2222</v>
      </c>
      <c r="N34" s="321" t="s">
        <v>2223</v>
      </c>
      <c r="O34" s="321" t="s">
        <v>2224</v>
      </c>
      <c r="P34" s="321" t="s">
        <v>2225</v>
      </c>
      <c r="Q34" s="321" t="s">
        <v>2226</v>
      </c>
      <c r="R34" s="321" t="s">
        <v>2227</v>
      </c>
      <c r="S34" s="3561" t="s">
        <v>2228</v>
      </c>
      <c r="T34" s="2425" t="str">
        <f>NUMBERSTRING(7-K34,1)&amp;"通"</f>
        <v>七通</v>
      </c>
      <c r="U34" s="2436"/>
      <c r="V34" s="2436"/>
    </row>
    <row r="35" spans="1:30">
      <c r="A35" s="2426"/>
      <c r="B35" s="3568" t="s">
        <v>2229</v>
      </c>
      <c r="C35" s="3568"/>
      <c r="D35" s="3568"/>
      <c r="E35" s="3568"/>
      <c r="F35" s="662">
        <f>C10</f>
        <v>0</v>
      </c>
      <c r="G35" s="2661"/>
      <c r="H35" s="2661"/>
      <c r="I35" s="2661"/>
      <c r="J35" s="2436"/>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61"/>
      <c r="T35" s="327" t="str">
        <f>IF(T34="一通",L35,IF(T34="二通",M35,IF(T34="三通",N35,IF(T34="四通",O35,IF(T34="五通",P35,IF(T34="六通",Q35,R35))))))</f>
        <v>、、、、、、</v>
      </c>
      <c r="U35" s="2436"/>
      <c r="V35" s="2436"/>
    </row>
    <row r="36" spans="1:30">
      <c r="A36" s="2427"/>
      <c r="B36" s="662" t="s">
        <v>2185</v>
      </c>
      <c r="C36" s="662" t="s">
        <v>2186</v>
      </c>
      <c r="D36" s="662" t="s">
        <v>2184</v>
      </c>
      <c r="E36" s="662"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3445" t="s">
        <v>110</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3446" t="s">
        <v>3389</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2233</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1"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3" sqref="O2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55858.869999999981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55858.869999999981</v>
      </c>
      <c r="H5" s="13">
        <f t="shared" ref="H5:AT5" si="0">SUM(H13:H656)</f>
        <v>55858.869999999981</v>
      </c>
      <c r="I5" s="13">
        <f t="shared" si="0"/>
        <v>47667.279999999977</v>
      </c>
      <c r="J5" s="13">
        <f t="shared" si="0"/>
        <v>0</v>
      </c>
      <c r="K5" s="13">
        <f t="shared" si="0"/>
        <v>8191.59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55858.869999999981</v>
      </c>
      <c r="BA5" s="15">
        <f t="shared" si="1"/>
        <v>55858.869999999981</v>
      </c>
      <c r="BB5" s="15">
        <f t="shared" si="1"/>
        <v>47667.279999999977</v>
      </c>
      <c r="BC5" s="15">
        <f t="shared" si="1"/>
        <v>8191.59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3391</v>
      </c>
      <c r="J9" s="806"/>
      <c r="K9" s="1600" t="s">
        <v>3625</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t="s">
        <v>3337</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3392</v>
      </c>
      <c r="J11" s="1612"/>
      <c r="K11" s="1611" t="s">
        <v>3337</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车库</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办公楼</v>
      </c>
      <c r="BC12" s="1621" t="str">
        <f>K11</f>
        <v>车库</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t="s">
        <v>3622</v>
      </c>
      <c r="D13" s="1622" t="s">
        <v>3390</v>
      </c>
      <c r="E13" s="13">
        <f>IF($C$3="是",ROUND($A$3*G13/$B$3,2),ROUND($A$3*(G13-AT13)/$B$3,2))</f>
        <v>0</v>
      </c>
      <c r="F13" s="29"/>
      <c r="G13" s="30">
        <f>H13+AC13+AT13</f>
        <v>55858.869999999981</v>
      </c>
      <c r="H13" s="17">
        <f>SUMIF(I$12:AB$12,"总值",I13:AB13)</f>
        <v>55858.869999999981</v>
      </c>
      <c r="I13" s="1623">
        <f>面积表!E37</f>
        <v>47667.279999999977</v>
      </c>
      <c r="J13" s="1623"/>
      <c r="K13" s="1623">
        <f>面积表!E36</f>
        <v>8191.59</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1号楼</v>
      </c>
      <c r="AY13" s="1346">
        <f>ROUND($AY$6*AZ13/$AZ$5,2)</f>
        <v>0</v>
      </c>
      <c r="AZ13" s="13">
        <f>BA13+BL13</f>
        <v>55858.869999999981</v>
      </c>
      <c r="BA13" s="13">
        <f>SUM(BB13:BK13)</f>
        <v>55858.869999999981</v>
      </c>
      <c r="BB13" s="13">
        <f>IF($D13="是",I13-J13,0)</f>
        <v>47667.279999999977</v>
      </c>
      <c r="BC13" s="13">
        <f>IF($D13="是",K13-L13,0)</f>
        <v>8191.59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topLeftCell="B1" workbookViewId="0">
      <selection activeCell="J24" sqref="J24"/>
    </sheetView>
  </sheetViews>
  <sheetFormatPr defaultColWidth="9" defaultRowHeight="12"/>
  <cols>
    <col min="1" max="1" width="4.75" style="3482" bestFit="1" customWidth="1"/>
    <col min="2" max="2" width="20.25" style="3482" customWidth="1"/>
    <col min="3" max="3" width="11.375" style="3482" bestFit="1" customWidth="1"/>
    <col min="4" max="4" width="18.75" style="3482" customWidth="1"/>
    <col min="5" max="5" width="11.25" style="3482" bestFit="1" customWidth="1"/>
    <col min="6" max="13" width="9" style="3482"/>
    <col min="14" max="14" width="10.25" style="3482" bestFit="1" customWidth="1"/>
    <col min="15" max="16384" width="9" style="3482"/>
  </cols>
  <sheetData>
    <row r="1" spans="1:14">
      <c r="A1" s="3498" t="s">
        <v>3541</v>
      </c>
      <c r="B1" s="3498" t="s">
        <v>3567</v>
      </c>
      <c r="C1" s="3498" t="s">
        <v>3542</v>
      </c>
      <c r="D1" s="3498" t="s">
        <v>3545</v>
      </c>
      <c r="E1" s="3498" t="s">
        <v>3544</v>
      </c>
      <c r="F1" s="3498" t="s">
        <v>3547</v>
      </c>
      <c r="G1" s="3498" t="s">
        <v>3550</v>
      </c>
      <c r="H1" s="3482" t="s">
        <v>3551</v>
      </c>
    </row>
    <row r="2" spans="1:14" s="3483" customFormat="1" ht="24">
      <c r="A2" s="3499">
        <v>1</v>
      </c>
      <c r="B2" s="3499" t="s">
        <v>3617</v>
      </c>
      <c r="C2" s="3591" t="s">
        <v>3695</v>
      </c>
      <c r="D2" s="3499" t="s">
        <v>3618</v>
      </c>
      <c r="E2" s="3499">
        <v>5336.6</v>
      </c>
      <c r="F2" s="3499" t="s">
        <v>3559</v>
      </c>
      <c r="G2" s="3499" t="s">
        <v>3619</v>
      </c>
      <c r="H2" s="3483" t="s">
        <v>3563</v>
      </c>
      <c r="L2" s="3483">
        <f>57+108</f>
        <v>165</v>
      </c>
      <c r="M2" s="3483">
        <f>E2+E3</f>
        <v>8191.59</v>
      </c>
      <c r="N2" s="3483">
        <f>M2/L2</f>
        <v>49.646000000000001</v>
      </c>
    </row>
    <row r="3" spans="1:14" ht="24">
      <c r="A3" s="3498">
        <v>2</v>
      </c>
      <c r="B3" s="3498" t="s">
        <v>3556</v>
      </c>
      <c r="C3" s="3591"/>
      <c r="D3" s="3498" t="s">
        <v>3558</v>
      </c>
      <c r="E3" s="3498">
        <v>2854.99</v>
      </c>
      <c r="F3" s="3498" t="s">
        <v>3559</v>
      </c>
      <c r="G3" s="3498" t="s">
        <v>3560</v>
      </c>
      <c r="H3" s="3482" t="s">
        <v>3563</v>
      </c>
    </row>
    <row r="4" spans="1:14" ht="24">
      <c r="A4" s="3498">
        <v>3</v>
      </c>
      <c r="B4" s="3498" t="s">
        <v>3694</v>
      </c>
      <c r="C4" s="3591"/>
      <c r="D4" s="3498" t="s">
        <v>3546</v>
      </c>
      <c r="E4" s="3498">
        <v>948.03</v>
      </c>
      <c r="F4" s="3498" t="s">
        <v>3549</v>
      </c>
      <c r="G4" s="3498">
        <v>1</v>
      </c>
      <c r="H4" s="3482" t="s">
        <v>3563</v>
      </c>
      <c r="I4" s="3482" t="s">
        <v>3696</v>
      </c>
      <c r="J4" s="3518"/>
    </row>
    <row r="5" spans="1:14" ht="24">
      <c r="A5" s="3498">
        <v>4</v>
      </c>
      <c r="B5" s="3498" t="s">
        <v>3552</v>
      </c>
      <c r="C5" s="3591"/>
      <c r="D5" s="3498" t="s">
        <v>3553</v>
      </c>
      <c r="E5" s="3498">
        <v>934.94</v>
      </c>
      <c r="F5" s="3498" t="s">
        <v>3549</v>
      </c>
      <c r="G5" s="3498">
        <v>1</v>
      </c>
      <c r="H5" s="3482" t="s">
        <v>3563</v>
      </c>
    </row>
    <row r="6" spans="1:14" ht="24">
      <c r="A6" s="3498">
        <v>5</v>
      </c>
      <c r="B6" s="3498" t="s">
        <v>3554</v>
      </c>
      <c r="C6" s="3591"/>
      <c r="D6" s="3498" t="s">
        <v>3555</v>
      </c>
      <c r="E6" s="3498">
        <v>257.68</v>
      </c>
      <c r="F6" s="3498" t="s">
        <v>3549</v>
      </c>
      <c r="G6" s="3498">
        <v>1</v>
      </c>
      <c r="H6" s="3482" t="s">
        <v>3563</v>
      </c>
    </row>
    <row r="7" spans="1:14" s="3483" customFormat="1" ht="24">
      <c r="A7" s="3499">
        <v>6</v>
      </c>
      <c r="B7" s="3499" t="s">
        <v>3620</v>
      </c>
      <c r="C7" s="3591"/>
      <c r="D7" s="3499" t="s">
        <v>3557</v>
      </c>
      <c r="E7" s="3499">
        <v>1754.23</v>
      </c>
      <c r="F7" s="3499" t="s">
        <v>3549</v>
      </c>
      <c r="G7" s="3499">
        <v>1</v>
      </c>
      <c r="H7" s="3483" t="s">
        <v>3563</v>
      </c>
      <c r="I7" s="3482" t="s">
        <v>3696</v>
      </c>
      <c r="J7" s="3499"/>
      <c r="K7" s="3482"/>
    </row>
    <row r="8" spans="1:14" ht="24">
      <c r="A8" s="3498">
        <v>7</v>
      </c>
      <c r="B8" s="3498" t="s">
        <v>3561</v>
      </c>
      <c r="C8" s="3591"/>
      <c r="D8" s="3498" t="s">
        <v>3562</v>
      </c>
      <c r="E8" s="3498">
        <v>997.46</v>
      </c>
      <c r="F8" s="3498" t="s">
        <v>3549</v>
      </c>
      <c r="G8" s="3498">
        <v>1</v>
      </c>
      <c r="H8" s="3482" t="s">
        <v>3563</v>
      </c>
    </row>
    <row r="9" spans="1:14" ht="24">
      <c r="A9" s="3498">
        <v>8</v>
      </c>
      <c r="B9" s="3498" t="s">
        <v>3564</v>
      </c>
      <c r="C9" s="3591"/>
      <c r="D9" s="3498" t="s">
        <v>3565</v>
      </c>
      <c r="E9" s="3498">
        <v>2037.18</v>
      </c>
      <c r="F9" s="3498" t="s">
        <v>3549</v>
      </c>
      <c r="G9" s="3498">
        <v>2</v>
      </c>
      <c r="H9" s="3482" t="s">
        <v>3563</v>
      </c>
    </row>
    <row r="10" spans="1:14" ht="24">
      <c r="A10" s="3498">
        <v>9</v>
      </c>
      <c r="B10" s="3498" t="s">
        <v>3566</v>
      </c>
      <c r="C10" s="3591"/>
      <c r="D10" s="3498" t="s">
        <v>3568</v>
      </c>
      <c r="E10" s="3498">
        <v>1368.79</v>
      </c>
      <c r="F10" s="3498" t="s">
        <v>3549</v>
      </c>
      <c r="G10" s="3498">
        <v>2</v>
      </c>
      <c r="H10" s="3482" t="s">
        <v>3563</v>
      </c>
    </row>
    <row r="11" spans="1:14" ht="24">
      <c r="A11" s="3498">
        <v>10</v>
      </c>
      <c r="B11" s="3498" t="s">
        <v>3570</v>
      </c>
      <c r="C11" s="3591"/>
      <c r="D11" s="3498" t="s">
        <v>3569</v>
      </c>
      <c r="E11" s="3498">
        <v>1809.21</v>
      </c>
      <c r="F11" s="3498" t="s">
        <v>3549</v>
      </c>
      <c r="G11" s="3498">
        <v>2</v>
      </c>
      <c r="H11" s="3482" t="s">
        <v>3563</v>
      </c>
    </row>
    <row r="12" spans="1:14" ht="24">
      <c r="A12" s="3498">
        <v>11</v>
      </c>
      <c r="B12" s="3498" t="s">
        <v>3572</v>
      </c>
      <c r="C12" s="3591"/>
      <c r="D12" s="3498" t="s">
        <v>3571</v>
      </c>
      <c r="E12" s="3498">
        <v>1045.6199999999999</v>
      </c>
      <c r="F12" s="3498" t="s">
        <v>3549</v>
      </c>
      <c r="G12" s="3498">
        <v>2</v>
      </c>
      <c r="H12" s="3482" t="s">
        <v>3563</v>
      </c>
    </row>
    <row r="13" spans="1:14" ht="24">
      <c r="A13" s="3498">
        <v>12</v>
      </c>
      <c r="B13" s="3498" t="s">
        <v>3574</v>
      </c>
      <c r="C13" s="3591"/>
      <c r="D13" s="3498" t="s">
        <v>3573</v>
      </c>
      <c r="E13" s="3498">
        <v>2053.8200000000002</v>
      </c>
      <c r="F13" s="3498" t="s">
        <v>3549</v>
      </c>
      <c r="G13" s="3498">
        <v>3</v>
      </c>
      <c r="H13" s="3482" t="s">
        <v>3563</v>
      </c>
    </row>
    <row r="14" spans="1:14" ht="24">
      <c r="A14" s="3498">
        <v>13</v>
      </c>
      <c r="B14" s="3498" t="s">
        <v>3577</v>
      </c>
      <c r="C14" s="3591"/>
      <c r="D14" s="3498" t="s">
        <v>3575</v>
      </c>
      <c r="E14" s="3498">
        <v>4410.37</v>
      </c>
      <c r="F14" s="3498" t="s">
        <v>3549</v>
      </c>
      <c r="G14" s="3498">
        <v>3</v>
      </c>
      <c r="H14" s="3482" t="s">
        <v>3563</v>
      </c>
    </row>
    <row r="15" spans="1:14" ht="24">
      <c r="A15" s="3498">
        <v>14</v>
      </c>
      <c r="B15" s="3498" t="s">
        <v>3578</v>
      </c>
      <c r="C15" s="3591"/>
      <c r="D15" s="3498" t="s">
        <v>3576</v>
      </c>
      <c r="E15" s="3498">
        <v>1045.6199999999999</v>
      </c>
      <c r="F15" s="3498" t="s">
        <v>3549</v>
      </c>
      <c r="G15" s="3498">
        <v>3</v>
      </c>
      <c r="H15" s="3482" t="s">
        <v>3563</v>
      </c>
    </row>
    <row r="16" spans="1:14" ht="24">
      <c r="A16" s="3498">
        <v>15</v>
      </c>
      <c r="B16" s="3498" t="s">
        <v>3583</v>
      </c>
      <c r="C16" s="3591"/>
      <c r="D16" s="3498" t="s">
        <v>3579</v>
      </c>
      <c r="E16" s="3498">
        <v>1981.75</v>
      </c>
      <c r="F16" s="3498" t="s">
        <v>3549</v>
      </c>
      <c r="G16" s="3498">
        <v>4</v>
      </c>
      <c r="H16" s="3482" t="s">
        <v>3563</v>
      </c>
    </row>
    <row r="17" spans="1:8" ht="24">
      <c r="A17" s="3498">
        <v>16</v>
      </c>
      <c r="B17" s="3498" t="s">
        <v>3584</v>
      </c>
      <c r="C17" s="3591"/>
      <c r="D17" s="3498" t="s">
        <v>3580</v>
      </c>
      <c r="E17" s="3498">
        <v>51.71</v>
      </c>
      <c r="F17" s="3498" t="s">
        <v>3549</v>
      </c>
      <c r="G17" s="3498">
        <v>4</v>
      </c>
      <c r="H17" s="3482" t="s">
        <v>3563</v>
      </c>
    </row>
    <row r="18" spans="1:8" ht="24">
      <c r="A18" s="3498">
        <v>17</v>
      </c>
      <c r="B18" s="3498" t="s">
        <v>3585</v>
      </c>
      <c r="C18" s="3591"/>
      <c r="D18" s="3498" t="s">
        <v>3581</v>
      </c>
      <c r="E18" s="3498">
        <v>4410.03</v>
      </c>
      <c r="F18" s="3498" t="s">
        <v>3549</v>
      </c>
      <c r="G18" s="3498">
        <v>4</v>
      </c>
      <c r="H18" s="3482" t="s">
        <v>3563</v>
      </c>
    </row>
    <row r="19" spans="1:8" ht="24">
      <c r="A19" s="3498">
        <v>18</v>
      </c>
      <c r="B19" s="3498" t="s">
        <v>3586</v>
      </c>
      <c r="C19" s="3591"/>
      <c r="D19" s="3498" t="s">
        <v>3582</v>
      </c>
      <c r="E19" s="3498">
        <v>1969.87</v>
      </c>
      <c r="F19" s="3498" t="s">
        <v>3549</v>
      </c>
      <c r="G19" s="3498">
        <v>4</v>
      </c>
      <c r="H19" s="3482" t="s">
        <v>3563</v>
      </c>
    </row>
    <row r="20" spans="1:8" ht="24">
      <c r="A20" s="3498">
        <v>19</v>
      </c>
      <c r="B20" s="3498" t="s">
        <v>3590</v>
      </c>
      <c r="C20" s="3591"/>
      <c r="D20" s="3498" t="s">
        <v>3587</v>
      </c>
      <c r="E20" s="3498">
        <v>4410.26</v>
      </c>
      <c r="F20" s="3498" t="s">
        <v>3549</v>
      </c>
      <c r="G20" s="3498">
        <v>5</v>
      </c>
      <c r="H20" s="3482" t="s">
        <v>3563</v>
      </c>
    </row>
    <row r="21" spans="1:8" ht="24">
      <c r="A21" s="3498">
        <v>20</v>
      </c>
      <c r="B21" s="3498" t="s">
        <v>3591</v>
      </c>
      <c r="C21" s="3591"/>
      <c r="D21" s="3498" t="s">
        <v>3588</v>
      </c>
      <c r="E21" s="3498">
        <v>51.71</v>
      </c>
      <c r="F21" s="3498" t="s">
        <v>3549</v>
      </c>
      <c r="G21" s="3498">
        <v>5</v>
      </c>
      <c r="H21" s="3482" t="s">
        <v>3563</v>
      </c>
    </row>
    <row r="22" spans="1:8" ht="24">
      <c r="A22" s="3498">
        <v>21</v>
      </c>
      <c r="B22" s="3498" t="s">
        <v>3592</v>
      </c>
      <c r="C22" s="3591"/>
      <c r="D22" s="3498" t="s">
        <v>3589</v>
      </c>
      <c r="E22" s="3498">
        <v>1969.87</v>
      </c>
      <c r="F22" s="3498" t="s">
        <v>3549</v>
      </c>
      <c r="G22" s="3498">
        <v>5</v>
      </c>
      <c r="H22" s="3482" t="s">
        <v>3563</v>
      </c>
    </row>
    <row r="23" spans="1:8" ht="24">
      <c r="A23" s="3498">
        <v>22</v>
      </c>
      <c r="B23" s="3498" t="s">
        <v>3597</v>
      </c>
      <c r="C23" s="3591"/>
      <c r="D23" s="3498" t="s">
        <v>3593</v>
      </c>
      <c r="E23" s="3498">
        <v>60.18</v>
      </c>
      <c r="F23" s="3498" t="s">
        <v>3549</v>
      </c>
      <c r="G23" s="3498">
        <v>6</v>
      </c>
      <c r="H23" s="3482" t="s">
        <v>3563</v>
      </c>
    </row>
    <row r="24" spans="1:8" ht="24">
      <c r="A24" s="3498">
        <v>23</v>
      </c>
      <c r="B24" s="3498" t="s">
        <v>3598</v>
      </c>
      <c r="C24" s="3591"/>
      <c r="D24" s="3498" t="s">
        <v>3594</v>
      </c>
      <c r="E24" s="3498">
        <v>38.43</v>
      </c>
      <c r="F24" s="3498" t="s">
        <v>3549</v>
      </c>
      <c r="G24" s="3498">
        <v>6</v>
      </c>
      <c r="H24" s="3482" t="s">
        <v>3563</v>
      </c>
    </row>
    <row r="25" spans="1:8" ht="24">
      <c r="A25" s="3498">
        <v>24</v>
      </c>
      <c r="B25" s="3498" t="s">
        <v>3599</v>
      </c>
      <c r="C25" s="3591"/>
      <c r="D25" s="3498" t="s">
        <v>3595</v>
      </c>
      <c r="E25" s="3498">
        <v>2594.02</v>
      </c>
      <c r="F25" s="3498" t="s">
        <v>3549</v>
      </c>
      <c r="G25" s="3498">
        <v>6</v>
      </c>
      <c r="H25" s="3482" t="s">
        <v>3563</v>
      </c>
    </row>
    <row r="26" spans="1:8" ht="24">
      <c r="A26" s="3498">
        <v>25</v>
      </c>
      <c r="B26" s="3498" t="s">
        <v>3600</v>
      </c>
      <c r="C26" s="3591"/>
      <c r="D26" s="3498" t="s">
        <v>3596</v>
      </c>
      <c r="E26" s="3498">
        <v>1970.49</v>
      </c>
      <c r="F26" s="3498" t="s">
        <v>3549</v>
      </c>
      <c r="G26" s="3498">
        <v>6</v>
      </c>
      <c r="H26" s="3482" t="s">
        <v>3563</v>
      </c>
    </row>
    <row r="27" spans="1:8" ht="24">
      <c r="A27" s="3498">
        <v>26</v>
      </c>
      <c r="B27" s="3498" t="s">
        <v>3601</v>
      </c>
      <c r="C27" s="3591"/>
      <c r="D27" s="3498" t="s">
        <v>3602</v>
      </c>
      <c r="E27" s="3498">
        <v>60.18</v>
      </c>
      <c r="F27" s="3498" t="s">
        <v>3549</v>
      </c>
      <c r="G27" s="3498">
        <v>7</v>
      </c>
      <c r="H27" s="3482" t="s">
        <v>3563</v>
      </c>
    </row>
    <row r="28" spans="1:8" ht="24">
      <c r="A28" s="3498">
        <v>27</v>
      </c>
      <c r="B28" s="3498" t="s">
        <v>3603</v>
      </c>
      <c r="C28" s="3591"/>
      <c r="D28" s="3498" t="s">
        <v>3604</v>
      </c>
      <c r="E28" s="3498">
        <v>38.340000000000003</v>
      </c>
      <c r="F28" s="3498" t="s">
        <v>3549</v>
      </c>
      <c r="G28" s="3498">
        <v>7</v>
      </c>
      <c r="H28" s="3482" t="s">
        <v>3563</v>
      </c>
    </row>
    <row r="29" spans="1:8" ht="24">
      <c r="A29" s="3498">
        <v>28</v>
      </c>
      <c r="B29" s="3498" t="s">
        <v>3607</v>
      </c>
      <c r="C29" s="3591"/>
      <c r="D29" s="3498" t="s">
        <v>3605</v>
      </c>
      <c r="E29" s="3498">
        <v>2678.95</v>
      </c>
      <c r="F29" s="3498" t="s">
        <v>3549</v>
      </c>
      <c r="G29" s="3498">
        <v>7</v>
      </c>
      <c r="H29" s="3482" t="s">
        <v>3563</v>
      </c>
    </row>
    <row r="30" spans="1:8" ht="24">
      <c r="A30" s="3498">
        <v>29</v>
      </c>
      <c r="B30" s="3498" t="s">
        <v>3608</v>
      </c>
      <c r="C30" s="3591"/>
      <c r="D30" s="3498" t="s">
        <v>3606</v>
      </c>
      <c r="E30" s="3498">
        <v>1970.49</v>
      </c>
      <c r="F30" s="3498" t="s">
        <v>3549</v>
      </c>
      <c r="G30" s="3498">
        <v>7</v>
      </c>
      <c r="H30" s="3482" t="s">
        <v>3563</v>
      </c>
    </row>
    <row r="31" spans="1:8" ht="24">
      <c r="A31" s="3498">
        <v>30</v>
      </c>
      <c r="B31" s="3498" t="s">
        <v>3613</v>
      </c>
      <c r="C31" s="3591"/>
      <c r="D31" s="3498" t="s">
        <v>3609</v>
      </c>
      <c r="E31" s="3498">
        <v>60.18</v>
      </c>
      <c r="F31" s="3498" t="s">
        <v>3549</v>
      </c>
      <c r="G31" s="3498">
        <v>8</v>
      </c>
      <c r="H31" s="3482" t="s">
        <v>3563</v>
      </c>
    </row>
    <row r="32" spans="1:8" ht="24">
      <c r="A32" s="3498">
        <v>31</v>
      </c>
      <c r="B32" s="3498" t="s">
        <v>3614</v>
      </c>
      <c r="C32" s="3591"/>
      <c r="D32" s="3498" t="s">
        <v>3610</v>
      </c>
      <c r="E32" s="3498">
        <v>38.43</v>
      </c>
      <c r="F32" s="3498" t="s">
        <v>3549</v>
      </c>
      <c r="G32" s="3498">
        <v>8</v>
      </c>
      <c r="H32" s="3482" t="s">
        <v>3563</v>
      </c>
    </row>
    <row r="33" spans="1:8" ht="24">
      <c r="A33" s="3498">
        <v>32</v>
      </c>
      <c r="B33" s="3498" t="s">
        <v>3615</v>
      </c>
      <c r="C33" s="3591"/>
      <c r="D33" s="3498" t="s">
        <v>3611</v>
      </c>
      <c r="E33" s="3498">
        <v>2678.95</v>
      </c>
      <c r="F33" s="3498" t="s">
        <v>3549</v>
      </c>
      <c r="G33" s="3498">
        <v>8</v>
      </c>
      <c r="H33" s="3482" t="s">
        <v>3563</v>
      </c>
    </row>
    <row r="34" spans="1:8" ht="24">
      <c r="A34" s="3498">
        <v>33</v>
      </c>
      <c r="B34" s="3498" t="s">
        <v>3616</v>
      </c>
      <c r="C34" s="3591"/>
      <c r="D34" s="3498" t="s">
        <v>3612</v>
      </c>
      <c r="E34" s="3498">
        <v>1970.49</v>
      </c>
      <c r="F34" s="3498" t="s">
        <v>3549</v>
      </c>
      <c r="G34" s="3498">
        <v>8</v>
      </c>
      <c r="H34" s="3482" t="s">
        <v>3563</v>
      </c>
    </row>
    <row r="35" spans="1:8" ht="13.5" customHeight="1">
      <c r="A35" s="3591" t="s">
        <v>3692</v>
      </c>
      <c r="B35" s="3591"/>
      <c r="C35" s="3591"/>
      <c r="D35" s="3591"/>
      <c r="E35" s="3498">
        <f>SUM(E2:E34)</f>
        <v>55858.869999999988</v>
      </c>
      <c r="F35" s="3498" t="s">
        <v>3693</v>
      </c>
      <c r="G35" s="3498" t="s">
        <v>3693</v>
      </c>
      <c r="H35" s="3482" t="s">
        <v>3693</v>
      </c>
    </row>
    <row r="36" spans="1:8">
      <c r="C36" s="3482" t="s">
        <v>3627</v>
      </c>
      <c r="D36" s="3482" t="s">
        <v>3623</v>
      </c>
      <c r="E36" s="3482">
        <f>E2+E3</f>
        <v>8191.59</v>
      </c>
      <c r="F36" s="3482">
        <f>282-117</f>
        <v>165</v>
      </c>
      <c r="G36" s="3482">
        <f>E36/F36</f>
        <v>49.646000000000001</v>
      </c>
    </row>
    <row r="37" spans="1:8">
      <c r="D37" s="3482" t="s">
        <v>3549</v>
      </c>
      <c r="E37" s="3482">
        <f>SUM(E4:E34)</f>
        <v>47667.279999999977</v>
      </c>
    </row>
    <row r="38" spans="1:8">
      <c r="D38" s="3482" t="s">
        <v>3624</v>
      </c>
      <c r="E38" s="3486">
        <f>ROUND(E36/E35,2)</f>
        <v>0.15</v>
      </c>
    </row>
    <row r="39" spans="1:8">
      <c r="C39" s="3482" t="s">
        <v>3628</v>
      </c>
      <c r="D39" s="3482" t="s">
        <v>3623</v>
      </c>
      <c r="E39" s="3482">
        <v>5379.24</v>
      </c>
    </row>
    <row r="40" spans="1:8">
      <c r="D40" s="3482" t="s">
        <v>3549</v>
      </c>
      <c r="E40" s="3482">
        <v>17093.439999999999</v>
      </c>
    </row>
    <row r="42" spans="1:8">
      <c r="D42" s="3482" t="s">
        <v>3629</v>
      </c>
      <c r="E42" s="3482">
        <f>E37+E40+J4+J7</f>
        <v>64760.719999999972</v>
      </c>
    </row>
    <row r="43" spans="1:8">
      <c r="D43" s="3482" t="s">
        <v>3630</v>
      </c>
      <c r="E43" s="3482">
        <v>30086.78</v>
      </c>
    </row>
    <row r="44" spans="1:8">
      <c r="D44" s="3482" t="s">
        <v>3631</v>
      </c>
      <c r="E44" s="3482">
        <f>ROUND(E42/E43,2)</f>
        <v>2.15</v>
      </c>
    </row>
  </sheetData>
  <mergeCells count="2">
    <mergeCell ref="C2:C34"/>
    <mergeCell ref="A35:D35"/>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3" zoomScale="115" zoomScaleNormal="100" zoomScaleSheetLayoutView="115" workbookViewId="0">
      <selection activeCell="H37" sqref="H3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601" t="s">
        <v>1131</v>
      </c>
      <c r="B2" s="3601"/>
      <c r="C2" s="3601"/>
      <c r="D2" s="793" t="s">
        <v>1107</v>
      </c>
      <c r="E2" s="1636" t="s">
        <v>1108</v>
      </c>
      <c r="F2" s="2656"/>
      <c r="G2" s="2647"/>
      <c r="H2" s="2648"/>
      <c r="I2" s="2322" t="s">
        <v>1132</v>
      </c>
      <c r="J2" s="2656"/>
      <c r="K2" s="2656"/>
      <c r="L2" s="2656"/>
      <c r="M2" s="2656"/>
      <c r="N2" s="2658"/>
      <c r="O2" s="2656"/>
      <c r="P2" s="2656"/>
    </row>
    <row r="3" spans="1:16" ht="15.75" thickBot="1">
      <c r="A3" s="3602" t="s">
        <v>1105</v>
      </c>
      <c r="B3" s="3602"/>
      <c r="C3" s="3602"/>
      <c r="D3" s="43">
        <f>'数据-基础表'!AY6</f>
        <v>0</v>
      </c>
      <c r="E3" s="43">
        <f>'数据-基础表'!AZ5</f>
        <v>55858.869999999981</v>
      </c>
      <c r="F3" s="2656"/>
      <c r="G3" s="1142"/>
      <c r="H3" s="1023" t="s">
        <v>1106</v>
      </c>
      <c r="I3" s="852" t="e">
        <f>ROUND('数据-基础表'!B3/'数据-基础表'!A3,2)</f>
        <v>#DIV/0!</v>
      </c>
      <c r="J3" s="2656"/>
      <c r="K3" s="2656"/>
      <c r="L3" s="2656"/>
      <c r="M3" s="2656"/>
      <c r="N3" s="2658"/>
      <c r="O3" s="2656"/>
      <c r="P3" s="2656"/>
    </row>
    <row r="4" spans="1:16" ht="15">
      <c r="A4" s="3603"/>
      <c r="B4" s="3604"/>
      <c r="C4" s="3605"/>
      <c r="D4" s="1638" t="s">
        <v>1107</v>
      </c>
      <c r="E4" s="1639" t="s">
        <v>1108</v>
      </c>
      <c r="F4" s="2656"/>
      <c r="G4" s="2649" t="s">
        <v>1133</v>
      </c>
      <c r="H4" s="1023" t="s">
        <v>1113</v>
      </c>
      <c r="I4" s="852" t="e">
        <f>ROUND(SUMIF('数据-基础表'!I9:AS9,"地上",'数据-基础表'!I5:AS5)/'数据-基础表'!A3,2)</f>
        <v>#DIV/0!</v>
      </c>
      <c r="J4" s="2656"/>
      <c r="K4" s="2656"/>
      <c r="L4" s="2656"/>
      <c r="M4" s="2656"/>
      <c r="N4" s="2658"/>
      <c r="O4" s="2656"/>
      <c r="P4" s="2656"/>
    </row>
    <row r="5" spans="1:16">
      <c r="A5" s="44" t="s">
        <v>1109</v>
      </c>
      <c r="B5" s="3606" t="s">
        <v>1110</v>
      </c>
      <c r="C5" s="3606"/>
      <c r="D5" s="45">
        <f>ROUND($D$3*E5/$E$3,2)</f>
        <v>0</v>
      </c>
      <c r="E5" s="46">
        <f>SUMIF('数据-基础表'!$11:$11,"住宅",'数据-基础表'!$5:$5)</f>
        <v>0</v>
      </c>
      <c r="F5" s="2656"/>
      <c r="G5" s="1142"/>
      <c r="H5" s="1023" t="s">
        <v>1106</v>
      </c>
      <c r="I5" s="852" t="e">
        <f>ROUND(E31/D31,2)</f>
        <v>#DIV/0!</v>
      </c>
      <c r="J5" s="2656"/>
      <c r="K5" s="2656"/>
      <c r="L5" s="2656"/>
      <c r="M5" s="2656"/>
      <c r="N5" s="2656"/>
      <c r="O5" s="2656"/>
      <c r="P5" s="2656"/>
    </row>
    <row r="6" spans="1:16" ht="15" thickBot="1">
      <c r="A6" s="1641"/>
      <c r="B6" s="3606" t="s">
        <v>1111</v>
      </c>
      <c r="C6" s="3606"/>
      <c r="D6" s="45">
        <f>ROUND($D$3*E6/$E$3,2)</f>
        <v>0</v>
      </c>
      <c r="E6" s="46">
        <f>E3-E5</f>
        <v>55858.869999999981</v>
      </c>
      <c r="F6" s="2656"/>
      <c r="G6" s="2650" t="s">
        <v>1112</v>
      </c>
      <c r="H6" s="1143" t="s">
        <v>1113</v>
      </c>
      <c r="I6" s="2651" t="e">
        <f>ROUND(F31/D31,2)</f>
        <v>#DIV/0!</v>
      </c>
      <c r="J6" s="2656"/>
      <c r="K6" s="2656"/>
      <c r="L6" s="2656"/>
      <c r="M6" s="2656"/>
      <c r="N6" s="2656"/>
      <c r="O6" s="2656"/>
      <c r="P6" s="2656"/>
    </row>
    <row r="7" spans="1:16" ht="15.75" thickBot="1">
      <c r="A7" s="3598"/>
      <c r="B7" s="3599"/>
      <c r="C7" s="3600"/>
      <c r="D7" s="1638" t="s">
        <v>1107</v>
      </c>
      <c r="E7" s="1642" t="s">
        <v>1114</v>
      </c>
      <c r="F7" s="2656"/>
      <c r="G7" s="2652" t="s">
        <v>1115</v>
      </c>
      <c r="H7" s="2653"/>
      <c r="I7" s="2654">
        <f>面积表!E44</f>
        <v>2.15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47667.279999999977</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8191.59</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55858.869999999981</v>
      </c>
      <c r="F16" s="2656"/>
      <c r="G16" s="2657"/>
      <c r="H16" s="1645" t="s">
        <v>1135</v>
      </c>
      <c r="I16" s="1646"/>
      <c r="J16" s="1136"/>
      <c r="K16" s="3595" t="s">
        <v>1135</v>
      </c>
      <c r="L16" s="3596"/>
      <c r="M16" s="3596"/>
      <c r="N16" s="3596"/>
      <c r="O16" s="3596"/>
      <c r="P16" s="3597"/>
    </row>
    <row r="17" spans="1:19" ht="15">
      <c r="A17" s="1647" t="s">
        <v>1136</v>
      </c>
      <c r="B17" s="1648" t="s">
        <v>1137</v>
      </c>
      <c r="C17" s="1649" t="s">
        <v>1138</v>
      </c>
      <c r="D17" s="1650" t="s">
        <v>1126</v>
      </c>
      <c r="E17" s="1651" t="s">
        <v>1127</v>
      </c>
      <c r="F17" s="1652"/>
      <c r="G17" s="1653"/>
      <c r="H17" s="1654" t="s">
        <v>1139</v>
      </c>
      <c r="I17" s="1655" t="s">
        <v>1124</v>
      </c>
      <c r="J17" s="1136"/>
      <c r="K17" s="3592" t="s">
        <v>1140</v>
      </c>
      <c r="L17" s="3593"/>
      <c r="M17" s="3594"/>
      <c r="N17" s="3592" t="s">
        <v>1141</v>
      </c>
      <c r="O17" s="3593"/>
      <c r="P17" s="3594"/>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3" t="s">
        <v>3626</v>
      </c>
      <c r="D19" s="45">
        <f>ROUND($D$3*E19/$E$3,2)</f>
        <v>0</v>
      </c>
      <c r="E19" s="53">
        <f t="shared" ref="E19:E26" si="1">SUM(F19:G19)</f>
        <v>55858.869999999981</v>
      </c>
      <c r="F19" s="2791">
        <f>面积表!E37</f>
        <v>47667.279999999977</v>
      </c>
      <c r="G19" s="2792">
        <f>'数据-基础表'!K13</f>
        <v>8191.59</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55858.869999999981</v>
      </c>
    </row>
    <row r="20" spans="1:19">
      <c r="A20" s="1667"/>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55858.869999999981</v>
      </c>
      <c r="F27" s="1137">
        <f>IF(SUM(F19:F26)=E8,SUM(F19:F26),"地上面积有误")</f>
        <v>47667.279999999977</v>
      </c>
      <c r="G27" s="1139">
        <f>SUM(G19:G26)</f>
        <v>8191.59</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55858.869999999981</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3">
        <f>D27+D30</f>
        <v>0</v>
      </c>
      <c r="E31" s="673">
        <f>E27+E30</f>
        <v>55858.869999999981</v>
      </c>
      <c r="F31" s="674">
        <f>F27+F30</f>
        <v>47667.279999999977</v>
      </c>
      <c r="G31" s="675">
        <f>G27+G30</f>
        <v>8191.59</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7">
      <c r="D33" s="1675"/>
    </row>
    <row r="34" spans="4:7">
      <c r="F34" s="1635">
        <v>3.6</v>
      </c>
      <c r="G34" s="1635">
        <f ca="1">G35/G31</f>
        <v>1.470018885222536</v>
      </c>
    </row>
    <row r="35" spans="4:7">
      <c r="E35" s="1635">
        <f ca="1">系统读取表!D14</f>
        <v>183644</v>
      </c>
      <c r="F35" s="1635">
        <f>F34*F31</f>
        <v>171602.20799999993</v>
      </c>
      <c r="G35" s="1635">
        <f ca="1">E35-F35</f>
        <v>12041.792000000074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0.875" style="1679" customWidth="1"/>
    <col min="22" max="22" width="9.875" style="1679" bestFit="1"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2">
        <f>项目基本情况!D3</f>
        <v>45272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3697</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研发中心</v>
      </c>
      <c r="B6" s="1710" t="str">
        <f>IF(A6=0,"","经营性")</f>
        <v>经营性</v>
      </c>
      <c r="C6" s="1711" t="s">
        <v>3</v>
      </c>
      <c r="D6" s="855">
        <f>SUMIF(项目基本情况!C$12:I$12,C6,项目基本情况!C$14:I$14)</f>
        <v>50</v>
      </c>
      <c r="E6" s="854">
        <f>IF(B6="","",SUMIF(项目基本情况!C$12:I$12,C6,项目基本情况!C$13:I$13))</f>
        <v>58268</v>
      </c>
      <c r="F6" s="64">
        <f>SUMIF(项目基本情况!C$12:I$12,C6,项目基本情况!C$15:I$15)</f>
        <v>35.6</v>
      </c>
      <c r="G6" s="65">
        <f>IF(ISERROR(ROUND(POWER(1+H6,D6-F6)*(POWER(1+H6,F6)-1)/(POWER(1+H6,D6)-1),3)),0,ROUND(POWER(1+H6,D6-F6)*(POWER(1+H6,F6)-1)/(POWER(1+H6,D6)-1),3))</f>
        <v>0.90300000000000002</v>
      </c>
      <c r="H6" s="729">
        <v>0.05</v>
      </c>
      <c r="I6" s="729">
        <v>5.5E-2</v>
      </c>
      <c r="J6" s="66">
        <v>7.0000000000000007E-2</v>
      </c>
      <c r="K6" s="1027">
        <f>SUMIF('数据-汇总表'!C$19:C$33,A6,'数据-汇总表'!E$19:E$33)</f>
        <v>55858.869999999981</v>
      </c>
      <c r="L6" s="3505">
        <v>5500</v>
      </c>
      <c r="M6" s="67">
        <f t="shared" ref="M6:M14" si="0">ROUND(K6*L6/10000,0)</f>
        <v>30722</v>
      </c>
      <c r="N6" s="728">
        <f>M20</f>
        <v>0.87</v>
      </c>
      <c r="O6" s="67" t="str">
        <f>IF($N$5="成新度","——",ROUND(M6*N6,0))</f>
        <v>——</v>
      </c>
      <c r="P6" s="68" t="str">
        <f>IF($N$5="成新度","——",M6-O6)</f>
        <v>——</v>
      </c>
      <c r="Q6" s="3507">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6.8</v>
      </c>
      <c r="V6" s="3504">
        <v>2.5000000000000001E-2</v>
      </c>
      <c r="W6" s="70">
        <v>0.1</v>
      </c>
      <c r="X6" s="1037"/>
      <c r="Y6" s="71">
        <f>N6</f>
        <v>0.87</v>
      </c>
      <c r="Z6" s="72"/>
      <c r="AA6" s="66"/>
      <c r="AB6" s="66"/>
      <c r="AC6" s="1037"/>
      <c r="AD6" s="73"/>
      <c r="AE6" s="1038">
        <f ca="1">IF(AN6="",0,SUMIF(INDIRECT("'"&amp;AN6&amp;"'"&amp;"!E:E"),$AE$5,INDIRECT("'"&amp;AN6&amp;"'"&amp;"!F:F")))</f>
        <v>35.6</v>
      </c>
      <c r="AF6" s="1345"/>
      <c r="AG6" s="136">
        <f>IF(AF6="",0,AE6-AF6)</f>
        <v>0</v>
      </c>
      <c r="AH6" s="74">
        <f>'数据-基础表'!I13</f>
        <v>47667.279999999977</v>
      </c>
      <c r="AI6" s="76">
        <v>365</v>
      </c>
      <c r="AJ6" s="77"/>
      <c r="AK6" s="3508">
        <v>0.01</v>
      </c>
      <c r="AL6" s="79">
        <v>2E-3</v>
      </c>
      <c r="AM6" s="3509">
        <v>1.0999999999999999E-2</v>
      </c>
      <c r="AN6" s="1712" t="s">
        <v>3399</v>
      </c>
      <c r="AO6" s="52">
        <f ca="1">SUMIF(INDIRECT("'"&amp;AN6&amp;"'"&amp;"!A:A"),"总价",INDIRECT("'"&amp;AN6&amp;"'"&amp;"!B:B"))</f>
        <v>177490</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3505"/>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3506"/>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6"/>
      <c r="AH14" s="1038"/>
      <c r="AI14" s="1354"/>
      <c r="AJ14" s="701"/>
      <c r="AK14" s="1039"/>
      <c r="AL14" s="1040"/>
      <c r="AM14" s="1041"/>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6"/>
      <c r="AH15" s="1038"/>
      <c r="AI15" s="1354"/>
      <c r="AJ15" s="701"/>
      <c r="AK15" s="1039"/>
      <c r="AL15" s="1040"/>
      <c r="AM15" s="1041"/>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0.90300000000000002</v>
      </c>
      <c r="H16" s="90">
        <f>ROUND(SUMPRODUCT(H6:H13,K6:K13)/SUMPRODUCT((H6:H13&gt;0)*(K6:K13)),3)</f>
        <v>0.05</v>
      </c>
      <c r="I16" s="91"/>
      <c r="J16" s="91"/>
      <c r="K16" s="92">
        <f>SUM(K6:K15)</f>
        <v>55858.869999999981</v>
      </c>
      <c r="L16" s="93">
        <f>ROUND(M16*10000/SUM(K6:K14),0)</f>
        <v>5500</v>
      </c>
      <c r="M16" s="93">
        <f>SUM(M6:M14)</f>
        <v>30722</v>
      </c>
      <c r="N16" s="94">
        <f>ROUND(SUMPRODUCT(M6:M14,N6:N14)/M16,3)</f>
        <v>0.87</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v>0</v>
      </c>
      <c r="C19" s="2795" t="s">
        <v>2305</v>
      </c>
      <c r="D19" s="2672"/>
      <c r="E19" s="2669"/>
      <c r="F19" s="2669"/>
      <c r="G19" s="2669"/>
      <c r="H19" s="2669"/>
      <c r="I19" s="2669"/>
      <c r="J19" s="2669"/>
      <c r="K19" s="2668"/>
      <c r="L19" s="3448" t="s">
        <v>3393</v>
      </c>
      <c r="M19" s="2667">
        <v>2015</v>
      </c>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2303</v>
      </c>
      <c r="D20" s="2672"/>
      <c r="E20" s="2669"/>
      <c r="F20" s="2669"/>
      <c r="G20" s="2669"/>
      <c r="H20" s="2669"/>
      <c r="I20" s="2669"/>
      <c r="J20" s="2669"/>
      <c r="K20" s="2668"/>
      <c r="L20" s="3448" t="s">
        <v>3394</v>
      </c>
      <c r="M20" s="2667">
        <f>ROUND(1-(1-0%)*(2023-M19)/60,2)</f>
        <v>0.87</v>
      </c>
      <c r="N20" s="2667"/>
      <c r="O20" s="2667"/>
      <c r="P20" s="2667"/>
      <c r="Q20" s="2667"/>
      <c r="R20" s="2667"/>
      <c r="S20" s="2667"/>
      <c r="T20" s="2667"/>
      <c r="U20" s="3448" t="s">
        <v>3395</v>
      </c>
      <c r="V20" s="3448" t="s">
        <v>3396</v>
      </c>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3484"/>
      <c r="M21" s="2667"/>
      <c r="N21" s="2667"/>
      <c r="O21" s="2667"/>
      <c r="P21" s="2667"/>
      <c r="Q21" s="2667"/>
      <c r="R21" s="2667"/>
      <c r="S21" s="2667"/>
      <c r="T21" s="3448" t="s">
        <v>3397</v>
      </c>
      <c r="U21" s="3449">
        <f>面积表!E37</f>
        <v>47667.279999999977</v>
      </c>
      <c r="V21" s="2667">
        <v>7</v>
      </c>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3449"/>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f>M24+M27+M28</f>
        <v>5939.9439158006589</v>
      </c>
      <c r="N23" s="2667"/>
      <c r="O23" s="2667"/>
      <c r="P23" s="2667"/>
      <c r="Q23" s="2667"/>
      <c r="R23" s="2667"/>
      <c r="S23" s="2667"/>
      <c r="T23" s="3448" t="s">
        <v>3398</v>
      </c>
      <c r="U23" s="2667">
        <f>面积表!E35</f>
        <v>55858.869999999988</v>
      </c>
      <c r="V23" s="3449">
        <f>ROUND(V21*U21/U23,2)</f>
        <v>5.97</v>
      </c>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3484" t="s">
        <v>3698</v>
      </c>
      <c r="L24" s="2668">
        <f>L25+L26</f>
        <v>55858.869999999981</v>
      </c>
      <c r="M24" s="2667">
        <f>N24/L24</f>
        <v>2439.9439158006594</v>
      </c>
      <c r="N24" s="2667">
        <f>N25+N26</f>
        <v>136292509.99999994</v>
      </c>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3484" t="s">
        <v>3699</v>
      </c>
      <c r="L25" s="2668">
        <f>'数据-汇总表'!F31</f>
        <v>47667.279999999977</v>
      </c>
      <c r="M25" s="2667">
        <v>2000</v>
      </c>
      <c r="N25" s="2667">
        <f>M25*L25</f>
        <v>95334559.999999955</v>
      </c>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3484" t="s">
        <v>3700</v>
      </c>
      <c r="L26" s="2668">
        <f>'数据-汇总表'!G31</f>
        <v>8191.59</v>
      </c>
      <c r="M26" s="2667">
        <v>5000</v>
      </c>
      <c r="N26" s="2667">
        <f t="shared" ref="N26:N28" si="12">M26*L26</f>
        <v>40957950</v>
      </c>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v>160</v>
      </c>
      <c r="C27" s="2797" t="s">
        <v>2307</v>
      </c>
      <c r="D27" s="2675"/>
      <c r="E27" s="2658"/>
      <c r="F27" s="2658"/>
      <c r="G27" s="2669"/>
      <c r="H27" s="2669"/>
      <c r="I27" s="2669"/>
      <c r="J27" s="2669"/>
      <c r="K27" s="3484" t="s">
        <v>3701</v>
      </c>
      <c r="L27" s="2668">
        <f>L24</f>
        <v>55858.869999999981</v>
      </c>
      <c r="M27" s="2667">
        <v>1000</v>
      </c>
      <c r="N27" s="2667">
        <f t="shared" si="12"/>
        <v>55858869.999999978</v>
      </c>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6"/>
      <c r="D28" s="2675"/>
      <c r="E28" s="2658"/>
      <c r="F28" s="2658"/>
      <c r="G28" s="2669"/>
      <c r="H28" s="2669"/>
      <c r="I28" s="2669"/>
      <c r="J28" s="2669"/>
      <c r="K28" s="3484" t="s">
        <v>3702</v>
      </c>
      <c r="L28" s="2668">
        <f>L24</f>
        <v>55858.869999999981</v>
      </c>
      <c r="M28" s="2667">
        <v>2500</v>
      </c>
      <c r="N28" s="2667">
        <f t="shared" si="12"/>
        <v>139647174.99999994</v>
      </c>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f ca="1">成本法!C10</f>
        <v>1117</v>
      </c>
      <c r="C29" s="2798" t="s">
        <v>2294</v>
      </c>
      <c r="D29" s="2675"/>
      <c r="E29" s="2658"/>
      <c r="F29" s="2658"/>
      <c r="G29" s="2669"/>
      <c r="H29" s="2669"/>
      <c r="I29" s="2669"/>
      <c r="J29" s="2669"/>
      <c r="K29" s="3484" t="s">
        <v>3703</v>
      </c>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9">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70">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3510">
        <v>0.05</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f>B30</f>
        <v>200</v>
      </c>
      <c r="C35" s="2799" t="s">
        <v>2297</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3511">
        <v>0.02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3512">
        <v>0.03</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35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5">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4">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5">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6">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7">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5">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5">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8">
        <v>0</v>
      </c>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19">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5">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0">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1">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2">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8"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3"/>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607" t="s">
        <v>2286</v>
      </c>
      <c r="B1" s="3608"/>
      <c r="C1" s="3608"/>
      <c r="D1" s="3608"/>
      <c r="E1" s="3608"/>
      <c r="F1" s="3608"/>
      <c r="G1" s="360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6"/>
      <c r="I2" s="796"/>
      <c r="J2" s="796"/>
      <c r="K2" s="796"/>
      <c r="L2" s="796"/>
      <c r="M2" s="796"/>
      <c r="N2" s="796"/>
      <c r="O2" s="796"/>
      <c r="P2" s="796"/>
      <c r="Q2" s="796"/>
      <c r="R2" s="796"/>
    </row>
    <row r="3" spans="1:29" ht="48">
      <c r="A3" s="2438" t="s">
        <v>2283</v>
      </c>
      <c r="B3" s="2460" t="s">
        <v>2252</v>
      </c>
      <c r="C3" s="2461" t="s">
        <v>2284</v>
      </c>
      <c r="D3" s="2462"/>
      <c r="E3" s="2439" t="s">
        <v>2283</v>
      </c>
      <c r="F3" s="2463" t="s">
        <v>2253</v>
      </c>
      <c r="G3" s="2464" t="s">
        <v>2285</v>
      </c>
      <c r="H3" s="796"/>
      <c r="I3" s="796"/>
      <c r="J3" s="796"/>
      <c r="K3" s="796"/>
      <c r="L3" s="796"/>
      <c r="M3" s="796"/>
      <c r="N3" s="796"/>
      <c r="O3" s="796"/>
      <c r="P3" s="796"/>
      <c r="Q3" s="796"/>
      <c r="R3" s="796"/>
    </row>
    <row r="4" spans="1:29" ht="36.75">
      <c r="A4" s="2439"/>
      <c r="B4" s="321" t="s">
        <v>2254</v>
      </c>
      <c r="C4" s="2465" t="s">
        <v>2255</v>
      </c>
      <c r="D4" s="2462"/>
      <c r="E4" s="2466"/>
      <c r="F4" s="1370" t="s">
        <v>2256</v>
      </c>
      <c r="G4" s="2467" t="s">
        <v>2257</v>
      </c>
      <c r="H4" s="796"/>
      <c r="I4" s="796"/>
      <c r="J4" s="796"/>
      <c r="K4" s="796"/>
      <c r="L4" s="796"/>
      <c r="M4" s="796"/>
      <c r="N4" s="796"/>
      <c r="O4" s="796"/>
      <c r="P4" s="796"/>
      <c r="Q4" s="796"/>
      <c r="R4" s="796"/>
    </row>
    <row r="5" spans="1:29" ht="36.75">
      <c r="A5" s="2439"/>
      <c r="B5" s="321" t="s">
        <v>2258</v>
      </c>
      <c r="C5" s="2465" t="s">
        <v>2259</v>
      </c>
      <c r="D5" s="2462"/>
      <c r="E5" s="2466"/>
      <c r="F5" s="321" t="s">
        <v>2260</v>
      </c>
      <c r="G5" s="2467" t="s">
        <v>2261</v>
      </c>
      <c r="H5" s="796"/>
      <c r="I5" s="796"/>
      <c r="J5" s="796"/>
      <c r="K5" s="796"/>
      <c r="L5" s="796"/>
      <c r="M5" s="796"/>
      <c r="N5" s="796"/>
      <c r="O5" s="796"/>
      <c r="P5" s="796"/>
      <c r="Q5" s="796"/>
      <c r="R5" s="796"/>
    </row>
    <row r="6" spans="1:29" ht="36">
      <c r="A6" s="2439"/>
      <c r="B6" s="321" t="s">
        <v>2262</v>
      </c>
      <c r="C6" s="2467" t="s">
        <v>2257</v>
      </c>
      <c r="D6" s="2462"/>
      <c r="E6" s="2466"/>
      <c r="F6" s="321" t="s">
        <v>2263</v>
      </c>
      <c r="G6" s="2467" t="s">
        <v>2264</v>
      </c>
      <c r="H6" s="796"/>
      <c r="I6" s="796"/>
      <c r="J6" s="796"/>
      <c r="K6" s="796"/>
      <c r="L6" s="796"/>
      <c r="M6" s="796"/>
      <c r="N6" s="796"/>
      <c r="O6" s="796"/>
      <c r="P6" s="796"/>
      <c r="Q6" s="796"/>
      <c r="R6" s="796"/>
    </row>
    <row r="7" spans="1:29" ht="24.75" thickBot="1">
      <c r="A7" s="2439"/>
      <c r="B7" s="321" t="s">
        <v>2260</v>
      </c>
      <c r="C7" s="2467" t="s">
        <v>2261</v>
      </c>
      <c r="D7" s="2468"/>
      <c r="E7" s="2469"/>
      <c r="F7" s="2470" t="s">
        <v>2265</v>
      </c>
      <c r="G7" s="2471" t="s">
        <v>2266</v>
      </c>
      <c r="H7" s="796"/>
      <c r="I7" s="796"/>
      <c r="J7" s="796"/>
      <c r="K7" s="796"/>
      <c r="L7" s="796"/>
      <c r="M7" s="796"/>
      <c r="N7" s="796"/>
      <c r="O7" s="796"/>
      <c r="P7" s="796"/>
      <c r="Q7" s="796"/>
      <c r="R7" s="796"/>
    </row>
    <row r="8" spans="1:29">
      <c r="A8" s="2439"/>
      <c r="B8" s="321" t="s">
        <v>2263</v>
      </c>
      <c r="C8" s="2467" t="s">
        <v>2264</v>
      </c>
      <c r="D8" s="2468"/>
      <c r="E8" s="2468"/>
      <c r="F8" s="2472"/>
      <c r="G8" s="2472"/>
      <c r="H8" s="796"/>
      <c r="I8" s="796"/>
      <c r="J8" s="796"/>
      <c r="K8" s="796"/>
      <c r="L8" s="796"/>
      <c r="M8" s="796"/>
      <c r="N8" s="796"/>
      <c r="O8" s="796"/>
      <c r="P8" s="796"/>
      <c r="Q8" s="796"/>
      <c r="R8" s="796"/>
    </row>
    <row r="9" spans="1:29" ht="24">
      <c r="A9" s="2439"/>
      <c r="B9" s="321" t="s">
        <v>2267</v>
      </c>
      <c r="C9" s="2465" t="s">
        <v>2268</v>
      </c>
      <c r="D9" s="2462"/>
      <c r="E9" s="2468"/>
      <c r="F9" s="2472"/>
      <c r="G9" s="2472"/>
      <c r="H9" s="796"/>
      <c r="I9" s="796"/>
      <c r="J9" s="796"/>
      <c r="K9" s="796"/>
      <c r="L9" s="796"/>
      <c r="M9" s="796"/>
      <c r="N9" s="796"/>
      <c r="O9" s="796"/>
      <c r="P9" s="796"/>
      <c r="Q9" s="796"/>
      <c r="R9" s="796"/>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1"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1" t="s">
        <v>2263</v>
      </c>
      <c r="G20" s="2500" t="str">
        <f>G6</f>
        <v>估价对象所在区域基础设施水平</v>
      </c>
    </row>
    <row r="21" spans="1:18" ht="25.5">
      <c r="A21" s="2443"/>
      <c r="B21" s="321" t="s">
        <v>2260</v>
      </c>
      <c r="C21" s="2500" t="str">
        <f>C7</f>
        <v>估价对象所在区域公共配套设施齐备情况</v>
      </c>
      <c r="D21" s="2462"/>
      <c r="E21" s="2444"/>
      <c r="F21" s="2499" t="s">
        <v>2278</v>
      </c>
      <c r="G21" s="2502"/>
    </row>
    <row r="22" spans="1:18" ht="13.5" customHeight="1">
      <c r="A22" s="2443"/>
      <c r="B22" s="321" t="s">
        <v>2263</v>
      </c>
      <c r="C22" s="2500" t="str">
        <f>C8</f>
        <v>估价对象所在区域基础设施水平</v>
      </c>
      <c r="D22" s="2462"/>
      <c r="E22" s="2444"/>
      <c r="F22" s="2499" t="s">
        <v>2269</v>
      </c>
      <c r="G22" s="2501"/>
    </row>
    <row r="23" spans="1:18" s="796" customFormat="1" ht="15" thickBot="1">
      <c r="A23" s="2443"/>
      <c r="B23" s="2499" t="s">
        <v>2278</v>
      </c>
      <c r="C23" s="2502"/>
      <c r="D23" s="1738"/>
      <c r="E23" s="2445"/>
      <c r="F23" s="2503" t="s">
        <v>2279</v>
      </c>
      <c r="G23" s="2504"/>
      <c r="H23" s="2488"/>
      <c r="I23" s="2489"/>
      <c r="J23" s="2488"/>
      <c r="K23" s="2488"/>
      <c r="L23" s="2489"/>
      <c r="M23" s="2488"/>
      <c r="N23" s="2488"/>
      <c r="O23" s="2489"/>
      <c r="P23" s="2488"/>
      <c r="Q23" s="2488"/>
      <c r="R23" s="2490"/>
    </row>
    <row r="24" spans="1:18" s="796" customFormat="1" ht="15" thickBot="1">
      <c r="A24" s="2446"/>
      <c r="B24" s="2503" t="s">
        <v>2280</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50" sqref="G50"/>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55858.869999999981</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45272</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183644</v>
      </c>
      <c r="C5" s="2509">
        <f ca="1">IF(B5=D14,结果表!H102,ROUND(B5*10000/$B$1,0))</f>
        <v>32876</v>
      </c>
      <c r="D5" s="2509" t="e">
        <f ca="1">ROUND(B5*10000/$B$2,0)</f>
        <v>#DIV/0!</v>
      </c>
      <c r="E5" s="2682"/>
      <c r="F5" s="2683"/>
      <c r="G5" s="2683"/>
      <c r="H5" s="2684"/>
      <c r="I5" s="2684"/>
      <c r="J5" s="2684"/>
      <c r="K5" s="2684"/>
    </row>
    <row r="6" spans="1:11" ht="16.5">
      <c r="A6" s="2509" t="s">
        <v>656</v>
      </c>
      <c r="B6" s="2509">
        <f ca="1">SUM(G14:G23)</f>
        <v>183644</v>
      </c>
      <c r="C6" s="2509">
        <f ca="1">IF(B6=G14,结果表!H108,ROUND(B6*10000/$B$1,0))</f>
        <v>32876</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3360</v>
      </c>
      <c r="D10" s="2509" t="s">
        <v>3361</v>
      </c>
      <c r="E10" s="3437"/>
      <c r="F10" s="3441" t="s">
        <v>3362</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55858.869999999981</v>
      </c>
      <c r="C14" s="2515"/>
      <c r="D14" s="2515">
        <f ca="1">结果表!H118</f>
        <v>183644</v>
      </c>
      <c r="E14" s="2515">
        <f ca="1">ROUND(D14*10000/B14,0)</f>
        <v>32876</v>
      </c>
      <c r="F14" s="2515" t="e">
        <f ca="1">ROUND(D14*10000/C14,0)</f>
        <v>#DIV/0!</v>
      </c>
      <c r="G14" s="2515">
        <f ca="1">结果表!D122</f>
        <v>183644</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28"/>
      <c r="H15" s="1328"/>
      <c r="I15" s="2516"/>
      <c r="J15" s="2683"/>
      <c r="K15" s="2684"/>
    </row>
    <row r="16" spans="1:11" ht="16.5">
      <c r="A16" s="2514" t="s">
        <v>648</v>
      </c>
      <c r="B16" s="2516"/>
      <c r="C16" s="2516"/>
      <c r="D16" s="2516"/>
      <c r="E16" s="2515" t="e">
        <f t="shared" si="0"/>
        <v>#DIV/0!</v>
      </c>
      <c r="F16" s="2515" t="e">
        <f t="shared" si="1"/>
        <v>#DIV/0!</v>
      </c>
      <c r="G16" s="1328"/>
      <c r="H16" s="1328"/>
      <c r="I16" s="2516"/>
      <c r="J16" s="2684"/>
      <c r="K16" s="2684"/>
    </row>
    <row r="17" spans="1:11" ht="16.5">
      <c r="A17" s="2514" t="s">
        <v>647</v>
      </c>
      <c r="B17" s="2516"/>
      <c r="C17" s="2516"/>
      <c r="D17" s="2516"/>
      <c r="E17" s="2515" t="e">
        <f t="shared" si="0"/>
        <v>#DIV/0!</v>
      </c>
      <c r="F17" s="2515" t="e">
        <f t="shared" si="1"/>
        <v>#DIV/0!</v>
      </c>
      <c r="G17" s="1328"/>
      <c r="H17" s="1328"/>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5" zoomScale="70" zoomScaleNormal="100" zoomScaleSheetLayoutView="70" zoomScalePageLayoutView="80" workbookViewId="0">
      <selection activeCell="O21" sqref="O21"/>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t="s">
        <v>3401</v>
      </c>
      <c r="H1" s="1747" t="str">
        <f>IF(G1="现房","——","估价对象范围")</f>
        <v>——</v>
      </c>
      <c r="I1" s="1748"/>
    </row>
    <row r="2" spans="1:12" ht="21.75" customHeight="1" thickBot="1">
      <c r="A2" s="3643" t="str">
        <f>项目基本情况!S2</f>
        <v>北京市朝阳区望京东路4号院1号楼房地产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51" t="s">
        <v>1265</v>
      </c>
      <c r="B4" s="1752" t="s">
        <v>1266</v>
      </c>
      <c r="C4" s="1753" t="s">
        <v>3400</v>
      </c>
      <c r="D4" s="1753" t="s">
        <v>3399</v>
      </c>
      <c r="E4" s="3649" t="s">
        <v>1267</v>
      </c>
      <c r="F4" s="3650"/>
      <c r="G4" s="3650"/>
      <c r="H4" s="3650"/>
      <c r="I4" s="3651"/>
      <c r="K4" s="144" t="str">
        <f>IF(ISNUMBER(FIND("比较法",结果表!C4)),"比较法",IF(ISNUMBER(FIND("成本法",结果表!C4)),"成本法",IF(ISNUMBER(FIND("假设开发法",结果表!C4)),"假设开发法",IF(ISNUMBER(FIND("收益法",结果表!C4)),"收益法","基准地价系数修正法"))))</f>
        <v>比较法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623" t="s">
        <v>1268</v>
      </c>
      <c r="B5" s="3610">
        <v>25</v>
      </c>
      <c r="C5" s="3626"/>
      <c r="D5" s="3646"/>
      <c r="E5" s="129" t="s">
        <v>1269</v>
      </c>
      <c r="F5" s="1754"/>
      <c r="G5" s="1754"/>
      <c r="H5" s="1754"/>
      <c r="I5" s="1370"/>
    </row>
    <row r="6" spans="1:12" ht="12.75">
      <c r="A6" s="3623"/>
      <c r="B6" s="3610"/>
      <c r="C6" s="3627"/>
      <c r="D6" s="3646"/>
      <c r="E6" s="129" t="s">
        <v>1270</v>
      </c>
      <c r="F6" s="1754"/>
      <c r="G6" s="1754"/>
      <c r="H6" s="1754"/>
      <c r="I6" s="1370"/>
    </row>
    <row r="7" spans="1:12" ht="12.75">
      <c r="A7" s="3623"/>
      <c r="B7" s="3610"/>
      <c r="C7" s="3628"/>
      <c r="D7" s="3646"/>
      <c r="E7" s="129" t="s">
        <v>1271</v>
      </c>
      <c r="F7" s="1754"/>
      <c r="G7" s="1754"/>
      <c r="H7" s="1754"/>
      <c r="I7" s="1370"/>
    </row>
    <row r="8" spans="1:12" ht="12.75">
      <c r="A8" s="3623" t="s">
        <v>1272</v>
      </c>
      <c r="B8" s="3610">
        <v>15</v>
      </c>
      <c r="C8" s="3626"/>
      <c r="D8" s="3646"/>
      <c r="E8" s="129" t="s">
        <v>1273</v>
      </c>
      <c r="F8" s="1754"/>
      <c r="G8" s="1754"/>
      <c r="H8" s="1754"/>
      <c r="I8" s="1370"/>
    </row>
    <row r="9" spans="1:12" ht="12.75">
      <c r="A9" s="3623"/>
      <c r="B9" s="3610"/>
      <c r="C9" s="3628"/>
      <c r="D9" s="3646"/>
      <c r="E9" s="129" t="s">
        <v>1274</v>
      </c>
      <c r="F9" s="1754"/>
      <c r="G9" s="1754"/>
      <c r="H9" s="1754"/>
      <c r="I9" s="1370"/>
    </row>
    <row r="10" spans="1:12" ht="12.75">
      <c r="A10" s="3623" t="s">
        <v>1275</v>
      </c>
      <c r="B10" s="3610">
        <v>15</v>
      </c>
      <c r="C10" s="3626"/>
      <c r="D10" s="3646"/>
      <c r="E10" s="129" t="s">
        <v>1276</v>
      </c>
      <c r="F10" s="1754"/>
      <c r="G10" s="1754"/>
      <c r="H10" s="1754"/>
      <c r="I10" s="1370"/>
    </row>
    <row r="11" spans="1:12" ht="12.75">
      <c r="A11" s="3623"/>
      <c r="B11" s="3610"/>
      <c r="C11" s="3628"/>
      <c r="D11" s="3646"/>
      <c r="E11" s="129" t="s">
        <v>1277</v>
      </c>
      <c r="F11" s="1754"/>
      <c r="G11" s="1754"/>
      <c r="H11" s="1754"/>
      <c r="I11" s="1370"/>
    </row>
    <row r="12" spans="1:12" ht="12.75">
      <c r="A12" s="3623" t="s">
        <v>1278</v>
      </c>
      <c r="B12" s="3610">
        <v>15</v>
      </c>
      <c r="C12" s="3626"/>
      <c r="D12" s="3646"/>
      <c r="E12" s="129" t="s">
        <v>1279</v>
      </c>
      <c r="F12" s="1754"/>
      <c r="G12" s="1754"/>
      <c r="H12" s="1754"/>
      <c r="I12" s="1370"/>
    </row>
    <row r="13" spans="1:12" ht="12.75">
      <c r="A13" s="3623"/>
      <c r="B13" s="3610"/>
      <c r="C13" s="3628"/>
      <c r="D13" s="3646"/>
      <c r="E13" s="129" t="s">
        <v>1280</v>
      </c>
      <c r="F13" s="1754"/>
      <c r="G13" s="1754"/>
      <c r="H13" s="1754"/>
      <c r="I13" s="1370"/>
    </row>
    <row r="14" spans="1:12" ht="12.75">
      <c r="A14" s="3623" t="s">
        <v>1281</v>
      </c>
      <c r="B14" s="3610">
        <v>30</v>
      </c>
      <c r="C14" s="3626">
        <v>5</v>
      </c>
      <c r="D14" s="3646">
        <v>5</v>
      </c>
      <c r="E14" s="129" t="s">
        <v>1282</v>
      </c>
      <c r="F14" s="1754"/>
      <c r="G14" s="1754"/>
      <c r="H14" s="1754"/>
      <c r="I14" s="1370"/>
    </row>
    <row r="15" spans="1:12" ht="12.75">
      <c r="A15" s="3623"/>
      <c r="B15" s="3610"/>
      <c r="C15" s="3627"/>
      <c r="D15" s="3646"/>
      <c r="E15" s="129" t="s">
        <v>1283</v>
      </c>
      <c r="F15" s="1754"/>
      <c r="G15" s="1754"/>
      <c r="H15" s="1754"/>
      <c r="I15" s="1370"/>
    </row>
    <row r="16" spans="1:12" ht="12.75">
      <c r="A16" s="3623"/>
      <c r="B16" s="3610"/>
      <c r="C16" s="3628"/>
      <c r="D16" s="3646"/>
      <c r="E16" s="129" t="s">
        <v>1284</v>
      </c>
      <c r="F16" s="1754"/>
      <c r="G16" s="1754"/>
      <c r="H16" s="1754"/>
      <c r="I16" s="1370"/>
    </row>
    <row r="17" spans="1:36" ht="15">
      <c r="A17" s="1755" t="s">
        <v>1285</v>
      </c>
      <c r="B17" s="56"/>
      <c r="C17" s="130">
        <f>SUM(C5:C16)</f>
        <v>5</v>
      </c>
      <c r="D17" s="130">
        <f>SUM(D5:D16)</f>
        <v>5</v>
      </c>
      <c r="E17" s="127"/>
      <c r="F17" s="127"/>
      <c r="G17" s="127"/>
      <c r="H17" s="127"/>
      <c r="I17" s="127"/>
      <c r="K17" s="300"/>
      <c r="L17" s="300" t="s">
        <v>1286</v>
      </c>
      <c r="M17" s="300" t="s">
        <v>1287</v>
      </c>
    </row>
    <row r="18" spans="1:36" ht="31.9" customHeight="1" thickBot="1">
      <c r="A18" s="1756" t="s">
        <v>1288</v>
      </c>
      <c r="B18" s="1757"/>
      <c r="C18" s="131">
        <f>ROUND(C17/SUM(C17:D17),2)</f>
        <v>0.5</v>
      </c>
      <c r="D18" s="131">
        <f>1-C18</f>
        <v>0.5</v>
      </c>
      <c r="E18" s="3633" t="s">
        <v>2131</v>
      </c>
      <c r="F18" s="3634"/>
      <c r="G18" s="3634"/>
      <c r="H18" s="3634"/>
      <c r="I18" s="3634"/>
      <c r="K18" s="300" t="s">
        <v>1289</v>
      </c>
      <c r="L18" s="300">
        <f>IF(C1="",'数据-汇总表'!E3,SUMIF(项目类型,C1,'数据-汇总表'!E17:E26)+SUMIF(项目类型,C1,'数据-汇总表'!I17:I26))</f>
        <v>55858.869999999981</v>
      </c>
      <c r="M18" s="300">
        <f>IF(C1="",'数据-汇总表'!E3,SUMIF(项目类型,C1,'数据-汇总表'!E17:E26))</f>
        <v>55858.869999999981</v>
      </c>
    </row>
    <row r="19" spans="1:36" ht="15">
      <c r="A19" s="1758" t="s">
        <v>1290</v>
      </c>
      <c r="B19" s="1759" t="s">
        <v>1291</v>
      </c>
      <c r="C19" s="132">
        <f ca="1">SUMIF(INDIRECT("'"&amp;C4&amp;"'"&amp;"!A:A"),结果表!B19,INDIRECT("'"&amp;C4&amp;"'"&amp;"!B:B"))</f>
        <v>189797</v>
      </c>
      <c r="D19" s="133">
        <f ca="1">SUMIF(INDIRECT("'"&amp;D4&amp;"'"&amp;"!A:A"),结果表!B19,INDIRECT("'"&amp;D4&amp;"'"&amp;"!B:B"))</f>
        <v>177490</v>
      </c>
      <c r="E19" s="1758" t="s">
        <v>1292</v>
      </c>
      <c r="F19" s="1759" t="s">
        <v>1291</v>
      </c>
      <c r="G19" s="134">
        <f ca="1">ROUND(C19*$C$18+D19*$D$18,0)</f>
        <v>183644</v>
      </c>
      <c r="H19" s="1760"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1"/>
      <c r="B20" s="1023" t="s">
        <v>1295</v>
      </c>
      <c r="C20" s="135">
        <f ca="1">SUMIF(INDIRECT("'"&amp;C4&amp;"'"&amp;"!A:A"),结果表!B20,INDIRECT("'"&amp;C4&amp;"'"&amp;"!B:B"))</f>
        <v>33978</v>
      </c>
      <c r="D20" s="136">
        <f ca="1">SUMIF(INDIRECT("'"&amp;D4&amp;"'"&amp;"!A:A"),结果表!B20,INDIRECT("'"&amp;D4&amp;"'"&amp;"!B:B"))</f>
        <v>31775</v>
      </c>
      <c r="E20" s="1761"/>
      <c r="F20" s="1023" t="s">
        <v>1295</v>
      </c>
      <c r="G20" s="137">
        <f ca="1">ROUND(C20*$C$18+D20*$D$18,0)</f>
        <v>32877</v>
      </c>
      <c r="H20" s="805" t="s">
        <v>1296</v>
      </c>
      <c r="I20" s="127"/>
    </row>
    <row r="21" spans="1:36" ht="15" customHeight="1" thickBot="1">
      <c r="A21" s="825"/>
      <c r="B21" s="1762" t="s">
        <v>1297</v>
      </c>
      <c r="C21" s="716" t="e">
        <f ca="1">ROUND(C19*10000/L19,0)</f>
        <v>#DIV/0!</v>
      </c>
      <c r="D21" s="717" t="e">
        <f ca="1">ROUND(D19*10000/L19,0)</f>
        <v>#DIV/0!</v>
      </c>
      <c r="E21" s="825"/>
      <c r="F21" s="1762" t="s">
        <v>1297</v>
      </c>
      <c r="G21" s="138" t="e">
        <f ca="1">ROUND(G19*10000/L19,0)</f>
        <v>#DIV/0!</v>
      </c>
      <c r="H21" s="1763" t="s">
        <v>1296</v>
      </c>
      <c r="I21" s="127"/>
    </row>
    <row r="22" spans="1:36" ht="15" thickBot="1">
      <c r="A22" s="1685" t="s">
        <v>1298</v>
      </c>
      <c r="B22" s="1764"/>
      <c r="C22" s="1765"/>
      <c r="D22" s="718">
        <f ca="1">IF(C19&lt;D19,D19/C19-1,C19/D19-1)</f>
        <v>6.9339117696771702E-2</v>
      </c>
      <c r="E22" s="127"/>
      <c r="F22" s="127"/>
      <c r="G22" s="127"/>
      <c r="H22" s="127"/>
      <c r="I22" s="127"/>
    </row>
    <row r="23" spans="1:36" ht="13.5" thickBot="1">
      <c r="A23" s="1744"/>
      <c r="B23" s="1744"/>
      <c r="C23" s="1744"/>
      <c r="D23" s="1744"/>
      <c r="E23" s="127"/>
      <c r="F23" s="127"/>
      <c r="G23" s="127"/>
      <c r="H23" s="127"/>
      <c r="I23" s="127"/>
    </row>
    <row r="24" spans="1:36" ht="14.25">
      <c r="A24" s="3617" t="s">
        <v>1299</v>
      </c>
      <c r="B24" s="1759" t="s">
        <v>1291</v>
      </c>
      <c r="C24" s="134">
        <f>IF(B30=0,0,D30)</f>
        <v>0</v>
      </c>
      <c r="D24" s="1766"/>
      <c r="E24" s="127"/>
      <c r="F24" s="127"/>
      <c r="G24" s="127"/>
      <c r="H24" s="127"/>
      <c r="I24" s="127"/>
    </row>
    <row r="25" spans="1:36" ht="14.25">
      <c r="A25" s="3618"/>
      <c r="B25" s="1023" t="s">
        <v>1295</v>
      </c>
      <c r="C25" s="139">
        <f>IF(B30=0,0,C30)</f>
        <v>0</v>
      </c>
      <c r="D25" s="1767"/>
      <c r="E25" s="127"/>
      <c r="F25" s="127"/>
      <c r="G25" s="127"/>
      <c r="H25" s="127"/>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'数据-汇总表'!G19*6000/10000</f>
        <v>4914.9539999999997</v>
      </c>
      <c r="E27" s="127"/>
      <c r="F27" s="127"/>
      <c r="G27" s="127"/>
      <c r="H27" s="127"/>
      <c r="I27" s="127"/>
    </row>
    <row r="28" spans="1:36" ht="14.25">
      <c r="A28" s="1768"/>
      <c r="B28" s="140"/>
      <c r="C28" s="140"/>
      <c r="D28" s="141">
        <f ca="1">(G19-D27)/'数据-汇总表'!F31</f>
        <v>3.7495121601232562</v>
      </c>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2132</v>
      </c>
      <c r="F30" s="127"/>
      <c r="G30" s="127"/>
      <c r="H30" s="127"/>
      <c r="I30" s="127"/>
    </row>
    <row r="31" spans="1:36" s="2306" customFormat="1" ht="26.45" customHeight="1" thickTop="1" thickBot="1">
      <c r="A31" s="2301"/>
      <c r="B31" s="2302"/>
      <c r="C31" s="2302"/>
      <c r="D31" s="2302"/>
      <c r="E31" s="2302"/>
      <c r="F31" s="2302"/>
      <c r="G31" s="2302"/>
      <c r="H31" s="2302"/>
      <c r="I31" s="2303" t="s">
        <v>2133</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183644</v>
      </c>
      <c r="D32" s="1772" t="s">
        <v>3402</v>
      </c>
      <c r="E32" s="127"/>
      <c r="F32" s="127"/>
      <c r="G32" s="127"/>
      <c r="H32" s="127"/>
      <c r="I32" s="127"/>
    </row>
    <row r="33" spans="1:15" ht="15">
      <c r="A33" s="783" t="s">
        <v>1306</v>
      </c>
      <c r="B33" s="1773"/>
      <c r="C33" s="1774" t="s">
        <v>3403</v>
      </c>
      <c r="D33" s="1775" t="s">
        <v>3399</v>
      </c>
      <c r="E33" s="1776" t="s">
        <v>1307</v>
      </c>
      <c r="F33" s="1777" t="str">
        <f>IF(D32="楼面单价","取值（单价）","取值（总价）")</f>
        <v>取值（总价）</v>
      </c>
      <c r="G33" s="127"/>
      <c r="H33" s="127"/>
      <c r="I33" s="127"/>
    </row>
    <row r="34" spans="1:15" ht="15">
      <c r="A34" s="1778"/>
      <c r="B34" s="1779" t="s">
        <v>1308</v>
      </c>
      <c r="C34" s="146">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7"/>
      <c r="H34" s="127"/>
      <c r="I34" s="127"/>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2"/>
      <c r="G35" s="127"/>
      <c r="H35" s="127"/>
      <c r="I35" s="127"/>
    </row>
    <row r="36" spans="1:15" ht="15.75" thickBot="1">
      <c r="A36" s="3637" t="s">
        <v>1312</v>
      </c>
      <c r="B36" s="1784" t="s">
        <v>1313</v>
      </c>
      <c r="C36" s="143"/>
      <c r="D36" s="1785"/>
      <c r="E36" s="1786"/>
      <c r="F36" s="1787"/>
      <c r="G36" s="127"/>
      <c r="H36" s="127"/>
      <c r="I36" s="127"/>
    </row>
    <row r="37" spans="1:15" ht="15.75" thickBot="1">
      <c r="A37" s="3638"/>
      <c r="B37" s="1671" t="s">
        <v>1314</v>
      </c>
      <c r="C37" s="145"/>
      <c r="D37" s="1136"/>
      <c r="E37" s="1136"/>
      <c r="F37" s="1787"/>
      <c r="G37" s="127"/>
      <c r="H37" s="127"/>
      <c r="I37" s="127"/>
    </row>
    <row r="38" spans="1:15" ht="15.75" thickBot="1">
      <c r="A38" s="3639"/>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14" t="s">
        <v>1326</v>
      </c>
      <c r="B45" s="3615"/>
      <c r="C45" s="3616"/>
      <c r="D45" s="153">
        <f ca="1">ROUND(H101*F45,0)</f>
        <v>183644</v>
      </c>
      <c r="E45" s="154" t="s">
        <v>1327</v>
      </c>
      <c r="F45" s="155">
        <v>1</v>
      </c>
      <c r="G45" s="156" t="s">
        <v>1328</v>
      </c>
      <c r="H45" s="127"/>
      <c r="I45" s="127"/>
      <c r="J45" s="3692" t="s">
        <v>1329</v>
      </c>
      <c r="K45" s="3692"/>
      <c r="L45" s="3692"/>
      <c r="M45" s="3692"/>
      <c r="N45" s="3692"/>
      <c r="O45" s="3692"/>
    </row>
    <row r="46" spans="1:15" ht="14.25" customHeight="1">
      <c r="A46" s="3611" t="s">
        <v>1330</v>
      </c>
      <c r="B46" s="3612"/>
      <c r="C46" s="3612"/>
      <c r="D46" s="3612"/>
      <c r="E46" s="3612"/>
      <c r="F46" s="3612"/>
      <c r="G46" s="3613"/>
      <c r="H46" s="1803"/>
      <c r="I46" s="157"/>
      <c r="J46" s="2520">
        <v>1</v>
      </c>
      <c r="K46" s="3673" t="s">
        <v>1331</v>
      </c>
      <c r="L46" s="3673"/>
      <c r="M46" s="3693"/>
      <c r="N46" s="3693"/>
      <c r="O46" s="3693"/>
    </row>
    <row r="47" spans="1:15" ht="12" customHeight="1">
      <c r="A47" s="158" t="s">
        <v>1332</v>
      </c>
      <c r="B47" s="159"/>
      <c r="C47" s="160"/>
      <c r="D47" s="1084" t="s">
        <v>1333</v>
      </c>
      <c r="E47" s="300" t="s">
        <v>1334</v>
      </c>
      <c r="F47" s="161" t="s">
        <v>1335</v>
      </c>
      <c r="G47" s="2543" t="s">
        <v>1336</v>
      </c>
      <c r="H47" s="2544"/>
      <c r="I47" s="157"/>
      <c r="J47" s="2520">
        <v>2</v>
      </c>
      <c r="K47" s="3673" t="s">
        <v>1337</v>
      </c>
      <c r="L47" s="3673"/>
      <c r="M47" s="3694">
        <f>'数据-取费表'!B2</f>
        <v>45272</v>
      </c>
      <c r="N47" s="3694"/>
      <c r="O47" s="3694"/>
    </row>
    <row r="48" spans="1:15" ht="25.5">
      <c r="A48" s="3642" t="s">
        <v>1338</v>
      </c>
      <c r="B48" s="3625"/>
      <c r="C48" s="3625"/>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673" t="s">
        <v>1340</v>
      </c>
      <c r="L48" s="3673"/>
      <c r="M48" s="3695">
        <f ca="1">H101</f>
        <v>183644</v>
      </c>
      <c r="N48" s="3695"/>
      <c r="O48" s="3695"/>
    </row>
    <row r="49" spans="1:35" ht="25.5" customHeight="1">
      <c r="A49" s="2330" t="s">
        <v>1341</v>
      </c>
      <c r="B49" s="3609" t="s">
        <v>1342</v>
      </c>
      <c r="C49" s="3609"/>
      <c r="D49" s="1587">
        <v>0</v>
      </c>
      <c r="E49" s="322" t="s">
        <v>1343</v>
      </c>
      <c r="F49" s="2421" t="s">
        <v>28</v>
      </c>
      <c r="G49" s="3679"/>
      <c r="H49" s="2307" t="s">
        <v>2134</v>
      </c>
      <c r="I49" s="2308"/>
      <c r="J49" s="2520">
        <v>4</v>
      </c>
      <c r="K49" s="3673" t="str">
        <f>IF(项目基本情况!E8="房地产抵押价值","房地产抵押价值","抵押担保权已注销时的房地产抵押价值")</f>
        <v>房地产抵押价值</v>
      </c>
      <c r="L49" s="3673"/>
      <c r="M49" s="3695">
        <f ca="1">IF(项目基本情况!E8="房地产抵押价值",H107,H109)</f>
        <v>183644</v>
      </c>
      <c r="N49" s="3695"/>
      <c r="O49" s="3695"/>
    </row>
    <row r="50" spans="1:35" ht="25.5" customHeight="1">
      <c r="A50" s="2548"/>
      <c r="B50" s="3609" t="s">
        <v>1344</v>
      </c>
      <c r="C50" s="3609"/>
      <c r="D50" s="2549"/>
      <c r="E50" s="330"/>
      <c r="F50" s="2421"/>
      <c r="G50" s="3680"/>
      <c r="H50" s="2309" t="s">
        <v>2135</v>
      </c>
      <c r="I50" s="2308"/>
      <c r="J50" s="3692" t="s">
        <v>1345</v>
      </c>
      <c r="K50" s="3692"/>
      <c r="L50" s="3692"/>
      <c r="M50" s="3692"/>
      <c r="N50" s="3692"/>
      <c r="O50" s="3692"/>
    </row>
    <row r="51" spans="1:35" ht="20.45" customHeight="1">
      <c r="A51" s="2550"/>
      <c r="B51" s="3609" t="s">
        <v>1346</v>
      </c>
      <c r="C51" s="3609"/>
      <c r="D51" s="1084"/>
      <c r="E51" s="325"/>
      <c r="F51" s="2421"/>
      <c r="G51" s="3681"/>
      <c r="H51" s="2309" t="s">
        <v>2136</v>
      </c>
      <c r="I51" s="2308"/>
      <c r="J51" s="2521" t="s">
        <v>1347</v>
      </c>
      <c r="K51" s="3673" t="s">
        <v>1348</v>
      </c>
      <c r="L51" s="3673"/>
      <c r="M51" s="2521" t="s">
        <v>1349</v>
      </c>
      <c r="N51" s="2521" t="s">
        <v>1350</v>
      </c>
      <c r="O51" s="2521" t="s">
        <v>1351</v>
      </c>
    </row>
    <row r="52" spans="1:35" ht="24" customHeight="1">
      <c r="A52" s="2332" t="s">
        <v>1352</v>
      </c>
      <c r="B52" s="3609" t="s">
        <v>1353</v>
      </c>
      <c r="C52" s="3609"/>
      <c r="D52" s="1084">
        <f ca="1">ROUND(D45*'数据-取费表'!B41/(1+'数据-取费表'!C42),0)</f>
        <v>9794</v>
      </c>
      <c r="E52" s="2331" t="s">
        <v>1354</v>
      </c>
      <c r="F52" s="2551">
        <f>'数据-取费表'!B41</f>
        <v>5.6000000000000001E-2</v>
      </c>
      <c r="G52" s="2552"/>
      <c r="H52" s="2541"/>
      <c r="I52" s="1804"/>
      <c r="J52" s="2520">
        <v>1</v>
      </c>
      <c r="K52" s="3674" t="s">
        <v>1355</v>
      </c>
      <c r="L52" s="3674"/>
      <c r="M52" s="2522" t="b">
        <f>D48</f>
        <v>0</v>
      </c>
      <c r="N52" s="2520" t="str">
        <f>E48</f>
        <v>销售额×税（费）率</v>
      </c>
      <c r="O52" s="2523">
        <f>F48</f>
        <v>5.6000000000000001E-2</v>
      </c>
    </row>
    <row r="53" spans="1:35" ht="12" customHeight="1">
      <c r="A53" s="2332" t="s">
        <v>1356</v>
      </c>
      <c r="B53" s="3635" t="s">
        <v>2291</v>
      </c>
      <c r="C53" s="3636"/>
      <c r="D53" s="1084">
        <f ca="1">ROUND(D45*'数据-取费表'!B41/(1+'数据-取费表'!C42),0)</f>
        <v>9794</v>
      </c>
      <c r="E53" s="2331" t="s">
        <v>1354</v>
      </c>
      <c r="F53" s="2551">
        <f>'数据-取费表'!B41</f>
        <v>5.6000000000000001E-2</v>
      </c>
      <c r="G53" s="2552"/>
      <c r="H53" s="2541"/>
      <c r="I53" s="1804"/>
      <c r="J53" s="2520">
        <v>2</v>
      </c>
      <c r="K53" s="3674" t="s">
        <v>1357</v>
      </c>
      <c r="L53" s="3674"/>
      <c r="M53" s="2522">
        <f t="shared" ref="M53:O54" ca="1" si="0">D55</f>
        <v>92</v>
      </c>
      <c r="N53" s="2520" t="str">
        <f t="shared" si="0"/>
        <v>销售额×税（费）率</v>
      </c>
      <c r="O53" s="2523" t="str">
        <f t="shared" si="0"/>
        <v>免征</v>
      </c>
    </row>
    <row r="54" spans="1:35" ht="12" customHeight="1">
      <c r="A54" s="2332" t="s">
        <v>1358</v>
      </c>
      <c r="B54" s="3635" t="s">
        <v>2292</v>
      </c>
      <c r="C54" s="3636"/>
      <c r="D54" s="1084">
        <f ca="1">C68</f>
        <v>9794</v>
      </c>
      <c r="E54" s="325" t="s">
        <v>1359</v>
      </c>
      <c r="F54" s="2551">
        <f>'数据-取费表'!B41</f>
        <v>5.6000000000000001E-2</v>
      </c>
      <c r="G54" s="2552"/>
      <c r="H54" s="2553"/>
      <c r="I54" s="1804"/>
      <c r="J54" s="2520">
        <v>3</v>
      </c>
      <c r="K54" s="3674" t="s">
        <v>1360</v>
      </c>
      <c r="L54" s="3674"/>
      <c r="M54" s="2522">
        <f t="shared" ca="1" si="0"/>
        <v>103943</v>
      </c>
      <c r="N54" s="2520" t="str">
        <f t="shared" si="0"/>
        <v>增值额×税（费）率</v>
      </c>
      <c r="O54" s="2524" t="str">
        <f t="shared" si="0"/>
        <v>免征</v>
      </c>
    </row>
    <row r="55" spans="1:35" ht="24" customHeight="1">
      <c r="A55" s="3624" t="s">
        <v>1361</v>
      </c>
      <c r="B55" s="3625"/>
      <c r="C55" s="3625"/>
      <c r="D55" s="2321">
        <f ca="1">IF(H55="个人住宅",0,ROUND(D45*I55,0))</f>
        <v>92</v>
      </c>
      <c r="E55" s="2331" t="s">
        <v>1362</v>
      </c>
      <c r="F55" s="2551" t="str">
        <f>IF(H55="正常",I55,"免征")</f>
        <v>免征</v>
      </c>
      <c r="G55" s="2552"/>
      <c r="H55" s="2547"/>
      <c r="I55" s="163">
        <f>'数据-取费表'!B49</f>
        <v>5.0000000000000001E-4</v>
      </c>
      <c r="J55" s="2520">
        <f>IF(H59="非个人房产","",4)</f>
        <v>4</v>
      </c>
      <c r="K55" s="3674" t="str">
        <f>IF(H59="非个人房产","——","个人所得税")</f>
        <v>个人所得税</v>
      </c>
      <c r="L55" s="3674"/>
      <c r="M55" s="2525">
        <f ca="1">D59</f>
        <v>1749</v>
      </c>
      <c r="N55" s="2037" t="str">
        <f>E59</f>
        <v>差额计税</v>
      </c>
      <c r="O55" s="2526">
        <f>F59</f>
        <v>0.01</v>
      </c>
    </row>
    <row r="56" spans="1:35" ht="24.75">
      <c r="A56" s="3624" t="s">
        <v>1363</v>
      </c>
      <c r="B56" s="3625"/>
      <c r="C56" s="3625"/>
      <c r="D56" s="2321">
        <f ca="1">IF(H56="个人住宅",D57,D58)</f>
        <v>103943</v>
      </c>
      <c r="E56" s="2331" t="s">
        <v>1364</v>
      </c>
      <c r="F56" s="2551" t="str">
        <f>IF(H56="正常",F58,"免征")</f>
        <v>免征</v>
      </c>
      <c r="G56" s="2554" t="s">
        <v>1365</v>
      </c>
      <c r="H56" s="2555"/>
      <c r="I56" s="1805"/>
      <c r="J56" s="2520" t="str">
        <f>IF(项目基本情况!K6="上海银行",IF(J55="",4,J55+1),"")</f>
        <v/>
      </c>
      <c r="K56" s="3697" t="str">
        <f>IF(项目基本情况!K6="上海银行","其他处置费用","")</f>
        <v/>
      </c>
      <c r="L56" s="3698"/>
      <c r="M56" s="2522" t="str">
        <f>IF(项目基本情况!K6="上海银行",M69,"")</f>
        <v/>
      </c>
      <c r="N56" s="3697" t="str">
        <f>IF(项目基本情况!K6="上海银行","包含处置中涉及的律师、诉讼、拍卖、评估等费用","")</f>
        <v/>
      </c>
      <c r="O56" s="3700"/>
    </row>
    <row r="57" spans="1:35" ht="12.75">
      <c r="A57" s="2332" t="s">
        <v>1341</v>
      </c>
      <c r="B57" s="3635" t="s">
        <v>1366</v>
      </c>
      <c r="C57" s="3636"/>
      <c r="D57" s="1587">
        <v>0</v>
      </c>
      <c r="E57" s="322" t="s">
        <v>1343</v>
      </c>
      <c r="F57" s="300"/>
      <c r="G57" s="2552"/>
      <c r="H57" s="2556"/>
      <c r="I57" s="1805"/>
      <c r="J57" s="3674">
        <f>IF(AND(J55="",J56=""),4,IF(项目基本情况!K6="上海银行",结果表!J56+1,结果表!J55+1))</f>
        <v>5</v>
      </c>
      <c r="K57" s="3674" t="s">
        <v>1367</v>
      </c>
      <c r="L57" s="2527" t="s">
        <v>1368</v>
      </c>
      <c r="M57" s="2528"/>
      <c r="N57" s="2529">
        <f ca="1">SUMIF(M52:M56,"&lt;9e307")</f>
        <v>105784</v>
      </c>
      <c r="O57" s="2530"/>
      <c r="P57" s="2686">
        <f ca="1">N57/M49</f>
        <v>0.57602753152839192</v>
      </c>
    </row>
    <row r="58" spans="1:35" ht="24.75">
      <c r="A58" s="2332" t="s">
        <v>1352</v>
      </c>
      <c r="B58" s="3635" t="s">
        <v>1369</v>
      </c>
      <c r="C58" s="3609"/>
      <c r="D58" s="2321">
        <f ca="1">IF(H58="转让取得",C81,C97)</f>
        <v>103943</v>
      </c>
      <c r="E58" s="2331" t="s">
        <v>1364</v>
      </c>
      <c r="F58" s="300" t="s">
        <v>28</v>
      </c>
      <c r="G58" s="2552"/>
      <c r="H58" s="2555"/>
      <c r="I58" s="1805"/>
      <c r="J58" s="3674"/>
      <c r="K58" s="3674"/>
      <c r="L58" s="2527" t="s">
        <v>1370</v>
      </c>
      <c r="M58" s="2531"/>
      <c r="N58" s="2532" t="str">
        <f ca="1">NUMBERSTRING(INT(N57*10000),2)&amp;"元整"</f>
        <v>壹拾亿伍仟柒佰捌拾肆万元整</v>
      </c>
      <c r="O58" s="2533"/>
    </row>
    <row r="59" spans="1:35" ht="24.75" thickBot="1">
      <c r="A59" s="3677" t="s">
        <v>1371</v>
      </c>
      <c r="B59" s="3678"/>
      <c r="C59" s="3678"/>
      <c r="D59" s="2557">
        <f ca="1">IF(H59="非个人房产","——",IF(H59="个人住宅（满五唯一有凭证）",0,IF(H59="个人其他（无凭证）",ROUND(D45*F59,0),ROUND(C67*F59,0))))</f>
        <v>1749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75">
        <f>J57+1</f>
        <v>6</v>
      </c>
      <c r="K59" s="3674" t="s">
        <v>1372</v>
      </c>
      <c r="L59" s="2520" t="s">
        <v>1368</v>
      </c>
      <c r="M59" s="2534"/>
      <c r="N59" s="2535">
        <f ca="1">M49-N57</f>
        <v>77860</v>
      </c>
      <c r="O59" s="2536"/>
    </row>
    <row r="60" spans="1:35" ht="12" customHeight="1">
      <c r="A60" s="1806"/>
      <c r="B60" s="1744"/>
      <c r="C60" s="1744"/>
      <c r="D60" s="1744"/>
      <c r="E60" s="1575"/>
      <c r="F60" s="1805"/>
      <c r="G60" s="1805"/>
      <c r="H60" s="1807"/>
      <c r="I60" s="127"/>
      <c r="J60" s="3676"/>
      <c r="K60" s="3674"/>
      <c r="L60" s="2527" t="s">
        <v>1370</v>
      </c>
      <c r="M60" s="2531"/>
      <c r="N60" s="2532" t="str">
        <f ca="1">NUMBERSTRING(INT(N59*10000),2)&amp;"元整"</f>
        <v>柒亿柒仟捌佰陆拾万元整</v>
      </c>
      <c r="O60" s="2533"/>
    </row>
    <row r="61" spans="1:35" ht="13.5" thickBot="1">
      <c r="A61" s="3622" t="s">
        <v>1373</v>
      </c>
      <c r="B61" s="3622"/>
      <c r="C61" s="3622"/>
      <c r="D61" s="3622"/>
      <c r="E61" s="3622"/>
      <c r="F61" s="1805"/>
      <c r="G61" s="1805"/>
      <c r="H61" s="1807"/>
      <c r="I61" s="127"/>
      <c r="J61" s="2520">
        <f>J59+1</f>
        <v>7</v>
      </c>
      <c r="K61" s="3674" t="s">
        <v>1374</v>
      </c>
      <c r="L61" s="3674"/>
      <c r="M61" s="2537"/>
      <c r="N61" s="2538">
        <f ca="1">ROUND(N59*10000/'数据-汇总表'!E3,0)</f>
        <v>13939</v>
      </c>
      <c r="O61" s="2539"/>
    </row>
    <row r="62" spans="1:35" ht="12.75">
      <c r="A62" s="3640" t="s">
        <v>1375</v>
      </c>
      <c r="B62" s="3641"/>
      <c r="C62" s="2018"/>
      <c r="D62" s="2018" t="s">
        <v>1376</v>
      </c>
      <c r="E62" s="164" t="s">
        <v>1377</v>
      </c>
      <c r="F62" s="1805"/>
      <c r="G62" s="1805"/>
      <c r="H62" s="1807"/>
      <c r="I62" s="127"/>
    </row>
    <row r="63" spans="1:35" ht="12.75">
      <c r="A63" s="171" t="s">
        <v>330</v>
      </c>
      <c r="B63" s="165" t="s">
        <v>1378</v>
      </c>
      <c r="C63" s="2561">
        <f ca="1">ROUND((C64+C65)/(1+'数据-取费表'!C42),0)</f>
        <v>174899</v>
      </c>
      <c r="D63" s="165"/>
      <c r="E63" s="166"/>
      <c r="F63" s="1805"/>
      <c r="G63" s="1805"/>
      <c r="H63" s="1807"/>
      <c r="I63" s="127"/>
      <c r="J63" s="3699" t="s">
        <v>1379</v>
      </c>
      <c r="K63" s="1329" t="s">
        <v>1380</v>
      </c>
      <c r="L63" s="1329">
        <f ca="1">IF(M49&gt;10000,M49*0.5%,IF(AND(M49&gt;1000,M49&lt;=10000),M49*1%,IF(AND(M49&gt;100,M49&lt;=1000),M49*3%,IF(AND(M49&gt;10,M49&lt;=100),M49*5%,M49*8%))))</f>
        <v>918.22</v>
      </c>
      <c r="M63" s="300">
        <f ca="1">ROUND(L63,1)</f>
        <v>918.2</v>
      </c>
      <c r="N63" s="2540"/>
      <c r="Z63" s="1749"/>
      <c r="AI63" s="1750"/>
    </row>
    <row r="64" spans="1:35" ht="14.25" customHeight="1">
      <c r="A64" s="167" t="s">
        <v>325</v>
      </c>
      <c r="B64" s="168" t="s">
        <v>1381</v>
      </c>
      <c r="C64" s="2562">
        <f ca="1">D45</f>
        <v>183644</v>
      </c>
      <c r="D64" s="168" t="s">
        <v>26</v>
      </c>
      <c r="E64" s="170"/>
      <c r="F64" s="1805"/>
      <c r="G64" s="1805"/>
      <c r="H64" s="1807"/>
      <c r="I64" s="127"/>
      <c r="J64" s="3699"/>
      <c r="K64" s="1329" t="s">
        <v>1382</v>
      </c>
      <c r="L64" s="1329">
        <f ca="1">IF(M49&gt;2000,M49*0.5%,IF(AND(M49&gt;1000,M49&lt;=2000),M49*0.6%,IF(AND(M49&gt;500,M49&lt;=1000),M49*0.7%,IF(AND(M49&gt;200,M49&lt;=500),M49*0.8%,IF(AND(M49&gt;100,M49&lt;=200),M49*0.9%,IF(AND(M49&gt;50,M49&lt;=100),M49*1%,IF(AND(M49&gt;20,M49&lt;=50),M49*1.5%,IF(AND(M49&gt;10,M49&lt;=20),M49*2%,IF(AND(M49&gt;1,M49&lt;=10),M49*2.5%)))))))))</f>
        <v>918.22</v>
      </c>
      <c r="M64" s="300">
        <f t="shared" ref="M64:M65" ca="1" si="1">ROUND(L64,1)</f>
        <v>918.2</v>
      </c>
      <c r="N64" s="2541" t="s">
        <v>1383</v>
      </c>
      <c r="Z64" s="1749"/>
      <c r="AI64" s="1750"/>
    </row>
    <row r="65" spans="1:35" ht="14.25" customHeight="1">
      <c r="A65" s="167" t="s">
        <v>326</v>
      </c>
      <c r="B65" s="168" t="s">
        <v>1384</v>
      </c>
      <c r="C65" s="2563"/>
      <c r="D65" s="168"/>
      <c r="E65" s="170"/>
      <c r="F65" s="1805"/>
      <c r="G65" s="1805"/>
      <c r="H65" s="1807"/>
      <c r="I65" s="127"/>
      <c r="J65" s="3699"/>
      <c r="K65" s="1329" t="s">
        <v>1385</v>
      </c>
      <c r="L65" s="1329">
        <f ca="1">IF(M49&gt;1000,M49*0.1%,IF(AND(M49&gt;500,M49&lt;=1000),M49*0.5%,IF(AND(M49&gt;50,M49&lt;=500),M49*1%,IF(AND(M49&gt;1,M49&lt;=50),M49*1.5%))))</f>
        <v>183.64400000000001</v>
      </c>
      <c r="M65" s="300">
        <f t="shared" ca="1" si="1"/>
        <v>183.6</v>
      </c>
      <c r="N65" s="2541" t="s">
        <v>1383</v>
      </c>
      <c r="Z65" s="1749"/>
      <c r="AI65" s="1750"/>
    </row>
    <row r="66" spans="1:35" ht="14.25" customHeight="1">
      <c r="A66" s="171" t="s">
        <v>327</v>
      </c>
      <c r="B66" s="172" t="s">
        <v>1386</v>
      </c>
      <c r="C66" s="2564"/>
      <c r="D66" s="172" t="s">
        <v>26</v>
      </c>
      <c r="E66" s="1335" t="s">
        <v>671</v>
      </c>
      <c r="F66" s="1805"/>
      <c r="G66" s="1805"/>
      <c r="H66" s="1807"/>
      <c r="I66" s="127"/>
      <c r="J66" s="3699"/>
      <c r="K66" s="1329" t="s">
        <v>1387</v>
      </c>
      <c r="L66" s="1329">
        <f ca="1">M49*0.5%</f>
        <v>918.22</v>
      </c>
      <c r="M66" s="300">
        <f ca="1">IF(L66&gt;0.5,0.5,ROUND(L66,0))</f>
        <v>0.5</v>
      </c>
      <c r="N66" s="2541" t="s">
        <v>1388</v>
      </c>
      <c r="Z66" s="1749"/>
      <c r="AI66" s="1750"/>
    </row>
    <row r="67" spans="1:35" ht="14.25" customHeight="1">
      <c r="A67" s="171" t="s">
        <v>328</v>
      </c>
      <c r="B67" s="172" t="s">
        <v>1389</v>
      </c>
      <c r="C67" s="2565">
        <f ca="1">C63-C66</f>
        <v>174899</v>
      </c>
      <c r="D67" s="168" t="s">
        <v>26</v>
      </c>
      <c r="E67" s="170"/>
      <c r="F67" s="1805"/>
      <c r="G67" s="1805"/>
      <c r="H67" s="1807"/>
      <c r="I67" s="127"/>
      <c r="J67" s="3699"/>
      <c r="K67" s="1329" t="s">
        <v>1390</v>
      </c>
      <c r="L67" s="1329">
        <f ca="1">IF(M49&gt;=10000,(8.25+(M49-10000)*0.01%),IF(AND(M49&gt;=8000,M49&lt;10000),(7.85+(M49-8000)*0.02%),IF(AND(M49&gt;=5000,M49&lt;8000),(6.65+(M49-5000)*0.04%),IF(AND(M49&gt;=2000,M49&lt;5000),(4.25+(PM49-2000)*0.08%),IF(AND(M49&gt;=1000,M49&lt;2000),(2.75+(M49-1000)*0.15%),IF(AND(M49&gt;=100,M49&lt;1000),(0.5+(M49-100)*0.25%),IF(AND(M49&gt;0,M49&lt;100),M49*0.5%)))))))</f>
        <v>25.6144</v>
      </c>
      <c r="M67" s="300">
        <f ca="1">ROUND(L67*0.9,1)</f>
        <v>23.1</v>
      </c>
      <c r="N67" s="2540"/>
      <c r="Z67" s="1749"/>
      <c r="AI67" s="1750"/>
    </row>
    <row r="68" spans="1:35" ht="14.25" customHeight="1" thickBot="1">
      <c r="A68" s="174" t="s">
        <v>329</v>
      </c>
      <c r="B68" s="175" t="s">
        <v>1391</v>
      </c>
      <c r="C68" s="2566">
        <f ca="1">IF(C67&lt;=0,0,ROUND(C67*D68,0))</f>
        <v>9794</v>
      </c>
      <c r="D68" s="2567">
        <f>'数据-取费表'!B41</f>
        <v>5.6000000000000001E-2</v>
      </c>
      <c r="E68" s="176"/>
      <c r="F68" s="1805"/>
      <c r="G68" s="1805"/>
      <c r="H68" s="1807"/>
      <c r="I68" s="127"/>
      <c r="J68" s="3699"/>
      <c r="K68" s="1329" t="s">
        <v>1392</v>
      </c>
      <c r="L68" s="1329">
        <f ca="1">IF(M49&gt;10000,M49*0.5%,IF(AND(M49&gt;5000,M49&lt;=10000),M49*1%,IF(AND(M49&gt;1000,M49&lt;=5000),M49*2%,IF(AND(M49&gt;200,M49&lt;=1000),M49*3%,M49*5%))))</f>
        <v>918.22</v>
      </c>
      <c r="M68" s="300">
        <f ca="1">ROUND(L68,1)</f>
        <v>918.2</v>
      </c>
      <c r="N68" s="2540"/>
      <c r="Z68" s="1749"/>
      <c r="AI68" s="1750"/>
    </row>
    <row r="69" spans="1:35" s="1769" customFormat="1" ht="16.5" customHeight="1">
      <c r="A69" s="1808"/>
      <c r="B69" s="1809"/>
      <c r="C69" s="1810"/>
      <c r="D69" s="1811"/>
      <c r="E69" s="1812"/>
      <c r="F69" s="1575"/>
      <c r="G69" s="1575"/>
      <c r="H69" s="1574"/>
      <c r="I69" s="1744"/>
      <c r="J69" s="3699"/>
      <c r="K69" s="1329" t="s">
        <v>1393</v>
      </c>
      <c r="L69" s="1329"/>
      <c r="M69" s="300">
        <f ca="1">ROUND(SUM(M63:M68),0)</f>
        <v>2962</v>
      </c>
      <c r="N69" s="2542">
        <f ca="1">M69/M49</f>
        <v>1.6129032258064516E-2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61" t="s">
        <v>1394</v>
      </c>
      <c r="B70" s="3662"/>
      <c r="C70" s="3662"/>
      <c r="D70" s="3662"/>
      <c r="E70" s="3662"/>
      <c r="F70" s="3662"/>
      <c r="G70" s="3662"/>
      <c r="H70" s="3662"/>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0" t="s">
        <v>1375</v>
      </c>
      <c r="B71" s="3641"/>
      <c r="C71" s="2018"/>
      <c r="D71" s="2018" t="s">
        <v>1376</v>
      </c>
      <c r="E71" s="177" t="s">
        <v>1377</v>
      </c>
      <c r="F71" s="178"/>
      <c r="G71" s="178"/>
      <c r="H71" s="179"/>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5">
        <f ca="1">ROUND(D45/(1+'数据-取费表'!C42),0)</f>
        <v>174899</v>
      </c>
      <c r="D72" s="168" t="s">
        <v>26</v>
      </c>
      <c r="E72" s="2328"/>
      <c r="F72" s="2327"/>
      <c r="G72" s="2327"/>
      <c r="H72" s="180"/>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5">
        <f ca="1">C74+C78</f>
        <v>1049</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8"/>
      <c r="D75" s="168" t="s">
        <v>26</v>
      </c>
      <c r="E75" s="182" t="s">
        <v>1399</v>
      </c>
      <c r="F75" s="2569"/>
      <c r="G75" s="182"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71">
        <v>0.05</v>
      </c>
      <c r="E76" s="3635" t="s">
        <v>1402</v>
      </c>
      <c r="F76" s="3609"/>
      <c r="G76" s="3609"/>
      <c r="H76" s="366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72">
        <f>'数据-取费表'!B48+'数据-取费表'!B49</f>
        <v>3.0499999999999999E-2</v>
      </c>
      <c r="E77" s="2321" t="s">
        <v>1404</v>
      </c>
      <c r="F77" s="184"/>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3">
        <f ca="1">ROUND(D45*D78/(1+'数据-取费表'!C42),0)</f>
        <v>1049</v>
      </c>
      <c r="D78" s="2574">
        <f>'数据-取费表'!B43</f>
        <v>6.000000000000001E-3</v>
      </c>
      <c r="E78" s="3619" t="s">
        <v>1406</v>
      </c>
      <c r="F78" s="3620"/>
      <c r="G78" s="3620"/>
      <c r="H78" s="362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5">
        <f ca="1">C72-C73</f>
        <v>173850</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5">
        <f ca="1">IF(C79&lt;=0,0,C79/C73)</f>
        <v>165.72926596758819</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6">
        <f ca="1">ROUND(IF(C79&lt;=0,0,IF(C80&gt;=200%,C79*60%-C73*35%,IF(C80&gt;=100%,C79*50%-C73*15%,IF(C80&gt;=50%,C79*40%-C73*5%,IF(C80&lt;50%,C79*30%,0))))),0)</f>
        <v>103943</v>
      </c>
      <c r="D81" s="2577"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1" t="s">
        <v>1410</v>
      </c>
      <c r="B83" s="3662"/>
      <c r="C83" s="3662"/>
      <c r="D83" s="3662"/>
      <c r="E83" s="3662"/>
      <c r="F83" s="3662"/>
      <c r="G83" s="3662"/>
      <c r="H83" s="366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0" t="s">
        <v>1375</v>
      </c>
      <c r="B84" s="3641"/>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5">
        <f ca="1">ROUND(D45/(1+'数据-取费表'!C42),0)</f>
        <v>174899</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5">
        <f ca="1">IF(H88="仅含出让金",C87+C90+C91+C92+C93+C94,C87+C91+C92+C93+C94)</f>
        <v>1049</v>
      </c>
      <c r="D86" s="2578"/>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9"/>
      <c r="D88" s="2574"/>
      <c r="E88" s="191" t="s">
        <v>1413</v>
      </c>
      <c r="F88" s="2324"/>
      <c r="G88" s="192" t="s">
        <v>1414</v>
      </c>
      <c r="H88" s="1821"/>
      <c r="I88" s="1818"/>
      <c r="J88" s="2518"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3">
        <f>ROUND(C88*D89,0)</f>
        <v>0</v>
      </c>
      <c r="D89" s="2574">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9"/>
      <c r="D90" s="2574"/>
      <c r="E90" s="191" t="str">
        <f>IF(H88="-","土地取得成本中已包含该笔费用"," ")</f>
        <v xml:space="preserve"> </v>
      </c>
      <c r="F90" s="2324"/>
      <c r="G90" s="3701" t="s">
        <v>2129</v>
      </c>
      <c r="H90" s="3702"/>
      <c r="I90" s="1818"/>
      <c r="J90" s="2518"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3">
        <f>IF(H91="——",成本法!C33,I91)</f>
        <v>0</v>
      </c>
      <c r="D91" s="2574"/>
      <c r="E91" s="3619" t="s">
        <v>1419</v>
      </c>
      <c r="F91" s="3620"/>
      <c r="G91" s="362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3">
        <f>ROUND((C87+C90+C91)*D92,0)</f>
        <v>0</v>
      </c>
      <c r="D92" s="2580"/>
      <c r="E92" s="3619" t="s">
        <v>1422</v>
      </c>
      <c r="F92" s="3620"/>
      <c r="G92" s="3620"/>
      <c r="H92" s="3629"/>
      <c r="I92" s="1818"/>
      <c r="J92" s="2519"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3">
        <f ca="1">ROUND(D45*D93/(1+'数据-取费表'!C42),0)</f>
        <v>1049</v>
      </c>
      <c r="D93" s="2574">
        <f>'数据-取费表'!B43</f>
        <v>6.000000000000001E-3</v>
      </c>
      <c r="E93" s="3619" t="s">
        <v>1406</v>
      </c>
      <c r="F93" s="3620"/>
      <c r="G93" s="3620"/>
      <c r="H93" s="362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9">
        <f>ROUND((C87+C90+C91)*D94,0)</f>
        <v>0</v>
      </c>
      <c r="D94" s="2574">
        <v>0.2</v>
      </c>
      <c r="E94" s="3630" t="s">
        <v>1426</v>
      </c>
      <c r="F94" s="3631"/>
      <c r="G94" s="3631"/>
      <c r="H94" s="363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5">
        <f ca="1">ROUND(C85-C86,0)</f>
        <v>173850</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5">
        <f ca="1">IF(C95&lt;=0,0,C95/C86)</f>
        <v>165.72926596758819</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6">
        <f ca="1">ROUND(IF(C95&lt;=0,0,IF(C96&gt;=200%,C95*60%-C86*35%,IF(C96&gt;=100%,C95*50%-C86*15%,IF(C96&gt;=50%,C95*40%-C86*5%,IF(C96&lt;50%,C95*30%,0))))),0)</f>
        <v>103943</v>
      </c>
      <c r="D97" s="2577"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03" t="s">
        <v>1428</v>
      </c>
      <c r="B100" s="3604"/>
      <c r="C100" s="3604"/>
      <c r="D100" s="3621"/>
      <c r="E100" s="3604" t="s">
        <v>1429</v>
      </c>
      <c r="F100" s="3604"/>
      <c r="G100" s="3604"/>
      <c r="H100" s="3621"/>
      <c r="I100" s="127"/>
    </row>
    <row r="101" spans="1:35" ht="18.75" customHeight="1">
      <c r="A101" s="3682" t="s">
        <v>1430</v>
      </c>
      <c r="B101" s="3683"/>
      <c r="C101" s="2582" t="str">
        <f>C4</f>
        <v>比较法-工业</v>
      </c>
      <c r="D101" s="2583" t="str">
        <f>D4</f>
        <v>收益法</v>
      </c>
      <c r="E101" s="3696" t="s">
        <v>1431</v>
      </c>
      <c r="F101" s="3653"/>
      <c r="G101" s="1824" t="s">
        <v>1432</v>
      </c>
      <c r="H101" s="2592">
        <f ca="1">H118</f>
        <v>183644</v>
      </c>
      <c r="I101" s="127"/>
    </row>
    <row r="102" spans="1:35" ht="18.75" customHeight="1">
      <c r="A102" s="3655" t="s">
        <v>1433</v>
      </c>
      <c r="B102" s="2581" t="s">
        <v>1432</v>
      </c>
      <c r="C102" s="2582">
        <f ca="1">IF(D32="楼面单价",ROUND(C19,0),C19)</f>
        <v>189797</v>
      </c>
      <c r="D102" s="2583">
        <f ca="1">IF(D32="楼面单价",ROUND(D19,0),D19)</f>
        <v>177490</v>
      </c>
      <c r="E102" s="3696"/>
      <c r="F102" s="3653"/>
      <c r="G102" s="1824" t="s">
        <v>1434</v>
      </c>
      <c r="H102" s="2552">
        <f ca="1">I118</f>
        <v>32876</v>
      </c>
      <c r="I102" s="127"/>
    </row>
    <row r="103" spans="1:35" ht="42.75" customHeight="1">
      <c r="A103" s="3655"/>
      <c r="B103" s="2581" t="s">
        <v>1434</v>
      </c>
      <c r="C103" s="2584">
        <f ca="1">C20</f>
        <v>33978</v>
      </c>
      <c r="D103" s="2585">
        <f ca="1">D20</f>
        <v>31775</v>
      </c>
      <c r="E103" s="3690" t="s">
        <v>1435</v>
      </c>
      <c r="F103" s="3691"/>
      <c r="G103" s="1825" t="s">
        <v>1436</v>
      </c>
      <c r="H103" s="2592">
        <f>IF(D36="正常操作",H104+H105+H106,H105+H106)</f>
        <v>0</v>
      </c>
      <c r="I103" s="127"/>
    </row>
    <row r="104" spans="1:35" ht="18.75" customHeight="1">
      <c r="A104" s="3655" t="s">
        <v>1437</v>
      </c>
      <c r="B104" s="2586" t="s">
        <v>1432</v>
      </c>
      <c r="C104" s="2587">
        <f ca="1">H118</f>
        <v>183644</v>
      </c>
      <c r="D104" s="2588"/>
      <c r="E104" s="1671" t="s">
        <v>1438</v>
      </c>
      <c r="F104" s="1663"/>
      <c r="G104" s="1825" t="s">
        <v>1436</v>
      </c>
      <c r="H104" s="2593">
        <f>IF(D36="同一抵押权人同一抵押物续贷",C36&amp;"（续贷，未扣减，详见特别提示）",C36)</f>
        <v>0</v>
      </c>
      <c r="I104" s="127"/>
    </row>
    <row r="105" spans="1:35" ht="18.75" customHeight="1" thickBot="1">
      <c r="A105" s="3656"/>
      <c r="B105" s="2589" t="s">
        <v>1434</v>
      </c>
      <c r="C105" s="2590">
        <f ca="1">I118</f>
        <v>32876</v>
      </c>
      <c r="D105" s="2591"/>
      <c r="E105" s="1671" t="s">
        <v>1439</v>
      </c>
      <c r="F105" s="1663"/>
      <c r="G105" s="1825" t="s">
        <v>1436</v>
      </c>
      <c r="H105" s="2594">
        <f>C37</f>
        <v>0</v>
      </c>
      <c r="I105" s="127"/>
    </row>
    <row r="106" spans="1:35" ht="18.75" customHeight="1">
      <c r="A106" s="1744" t="s">
        <v>1440</v>
      </c>
      <c r="B106" s="1744"/>
      <c r="C106" s="1744"/>
      <c r="D106" s="1744"/>
      <c r="E106" s="1826" t="s">
        <v>1441</v>
      </c>
      <c r="F106" s="1663"/>
      <c r="G106" s="1825" t="s">
        <v>1436</v>
      </c>
      <c r="H106" s="2594">
        <f>C38</f>
        <v>0</v>
      </c>
      <c r="I106" s="127"/>
    </row>
    <row r="107" spans="1:35" ht="18.75" customHeight="1">
      <c r="A107" s="127"/>
      <c r="B107" s="127"/>
      <c r="C107" s="127"/>
      <c r="D107" s="127"/>
      <c r="E107" s="3652" t="str">
        <f>IF(项目基本情况!E8="已注销","——","3.房地产抵押价值")</f>
        <v>3.房地产抵押价值</v>
      </c>
      <c r="F107" s="3653"/>
      <c r="G107" s="1824" t="s">
        <v>1432</v>
      </c>
      <c r="H107" s="2592">
        <f ca="1">IF(E107="——","——",H101-H103)</f>
        <v>183644</v>
      </c>
      <c r="I107" s="127"/>
    </row>
    <row r="108" spans="1:35" ht="18.75" customHeight="1">
      <c r="A108" s="127"/>
      <c r="B108" s="127"/>
      <c r="C108" s="127"/>
      <c r="D108" s="127"/>
      <c r="E108" s="3652"/>
      <c r="F108" s="3653"/>
      <c r="G108" s="1824" t="s">
        <v>1434</v>
      </c>
      <c r="H108" s="2552">
        <f ca="1">IF(H107=H101,H102,ROUND(H107*10000/'数据-汇总表'!E3,0))</f>
        <v>32876</v>
      </c>
      <c r="I108" s="127"/>
    </row>
    <row r="109" spans="1:35" ht="18.75" customHeight="1">
      <c r="A109" s="127"/>
      <c r="B109" s="127"/>
      <c r="C109" s="127"/>
      <c r="D109" s="127"/>
      <c r="E109" s="3652" t="str">
        <f>IF(项目基本情况!E8="已注销及未注销","4.抵押担保权已注销时的房地产抵押价值",IF(项目基本情况!E8="已注销","3.抵押担保权已注销时的房地产抵押价值","——"))</f>
        <v>——</v>
      </c>
      <c r="F109" s="3653"/>
      <c r="G109" s="1824" t="s">
        <v>1432</v>
      </c>
      <c r="H109" s="2595" t="str">
        <f>IF(E109="——","——",H101-H105-H106)</f>
        <v>——</v>
      </c>
      <c r="I109" s="127"/>
    </row>
    <row r="110" spans="1:35" ht="18.75" customHeight="1">
      <c r="A110" s="127"/>
      <c r="B110" s="127"/>
      <c r="C110" s="127"/>
      <c r="D110" s="127"/>
      <c r="E110" s="3652"/>
      <c r="F110" s="3653"/>
      <c r="G110" s="1824" t="s">
        <v>1434</v>
      </c>
      <c r="H110" s="2552" t="str">
        <f>IF(H109="——","——",ROUND(H109*10000/'数据-汇总表'!E3,0))</f>
        <v>——</v>
      </c>
      <c r="I110" s="127"/>
    </row>
    <row r="111" spans="1:35" ht="18.75" customHeight="1">
      <c r="A111" s="127"/>
      <c r="B111" s="127"/>
      <c r="C111" s="127"/>
      <c r="D111" s="127"/>
      <c r="E111" s="3684" t="str">
        <f>IF(项目基本情况!E9="抵押净值",IF(OR(项目基本情况!E8="已注销",项目基本情况!E8="房地产抵押价值"),"4.抵押净值","5.抵押净值"),"——")</f>
        <v>——</v>
      </c>
      <c r="F111" s="3654"/>
      <c r="G111" s="1824" t="s">
        <v>1432</v>
      </c>
      <c r="H111" s="2592" t="str">
        <f>IF(E111="——","——",N59)</f>
        <v>——</v>
      </c>
      <c r="I111" s="127"/>
    </row>
    <row r="112" spans="1:35" ht="18.75" customHeight="1" thickBot="1">
      <c r="A112" s="127"/>
      <c r="B112" s="127"/>
      <c r="C112" s="127"/>
      <c r="D112" s="127"/>
      <c r="E112" s="3685"/>
      <c r="F112" s="3686"/>
      <c r="G112" s="1827" t="s">
        <v>1434</v>
      </c>
      <c r="H112" s="2596" t="str">
        <f>IF(E111="——","——",N61)</f>
        <v>——</v>
      </c>
      <c r="I112" s="127"/>
    </row>
    <row r="113" spans="1:27" ht="18.75" customHeight="1">
      <c r="A113" s="127"/>
      <c r="B113" s="127"/>
      <c r="C113" s="127"/>
      <c r="D113" s="127"/>
      <c r="E113" s="3657" t="s">
        <v>1440</v>
      </c>
      <c r="F113" s="3657"/>
      <c r="G113" s="3657"/>
      <c r="H113" s="3657"/>
      <c r="I113" s="127"/>
    </row>
    <row r="114" spans="1:27" ht="3.75" customHeight="1">
      <c r="A114" s="1744"/>
      <c r="B114" s="1744"/>
      <c r="C114" s="1744"/>
      <c r="D114" s="1744"/>
      <c r="E114" s="1806"/>
      <c r="F114" s="1806"/>
      <c r="G114" s="1806"/>
      <c r="H114" s="1806"/>
      <c r="I114" s="1744"/>
    </row>
    <row r="115" spans="1:27" ht="18.75" customHeight="1">
      <c r="A115" s="3667" t="s">
        <v>1442</v>
      </c>
      <c r="B115" s="3668"/>
      <c r="C115" s="3668"/>
      <c r="D115" s="3668"/>
      <c r="E115" s="3668"/>
      <c r="F115" s="3668"/>
      <c r="G115" s="3668"/>
      <c r="H115" s="3668"/>
      <c r="I115" s="3669"/>
    </row>
    <row r="116" spans="1:27" ht="27" customHeight="1">
      <c r="A116" s="3623" t="s">
        <v>1443</v>
      </c>
      <c r="B116" s="3658" t="s">
        <v>1444</v>
      </c>
      <c r="C116" s="3658" t="s">
        <v>1445</v>
      </c>
      <c r="D116" s="3671" t="s">
        <v>1446</v>
      </c>
      <c r="E116" s="3672"/>
      <c r="F116" s="3666" t="s">
        <v>1447</v>
      </c>
      <c r="G116" s="3666"/>
      <c r="H116" s="3623" t="s">
        <v>1448</v>
      </c>
      <c r="I116" s="3623"/>
    </row>
    <row r="117" spans="1:27" ht="18.75" customHeight="1">
      <c r="A117" s="3623"/>
      <c r="B117" s="3659"/>
      <c r="C117" s="3659"/>
      <c r="D117" s="2326" t="s">
        <v>1449</v>
      </c>
      <c r="E117" s="2326" t="s">
        <v>1450</v>
      </c>
      <c r="F117" s="2326" t="s">
        <v>1449</v>
      </c>
      <c r="G117" s="2326" t="s">
        <v>1451</v>
      </c>
      <c r="H117" s="2326" t="s">
        <v>1449</v>
      </c>
      <c r="I117" s="2326" t="s">
        <v>1451</v>
      </c>
    </row>
    <row r="118" spans="1:27" ht="24.75" customHeight="1">
      <c r="A118" s="2597" t="str">
        <f>项目基本情况!S2</f>
        <v>北京市朝阳区望京东路4号院1号楼房地产</v>
      </c>
      <c r="B118" s="2326">
        <f>M18</f>
        <v>55858.869999999981</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183644</v>
      </c>
      <c r="I118" s="2326">
        <f ca="1">ROUND(IF(D32="楼面单价",C32,H118*10000/B118),0)</f>
        <v>32876</v>
      </c>
    </row>
    <row r="119" spans="1:27" ht="18.75" customHeight="1">
      <c r="A119" s="3623" t="s">
        <v>1452</v>
      </c>
      <c r="B119" s="3623"/>
      <c r="C119" s="3623"/>
      <c r="D119" s="3663" t="str">
        <f>NUMBERSTRING(INT(D118*10000),2)&amp;"元整"</f>
        <v>零元整</v>
      </c>
      <c r="E119" s="3665"/>
      <c r="F119" s="3663" t="str">
        <f>NUMBERSTRING(INT(F118*10000),2)&amp;"元整"</f>
        <v>零元整</v>
      </c>
      <c r="G119" s="3665"/>
      <c r="H119" s="3663" t="str">
        <f ca="1">NUMBERSTRING(INT(H118*10000),2)&amp;"元整"</f>
        <v>壹拾捌亿叁仟陆佰肆拾肆万元整</v>
      </c>
      <c r="I119" s="3665"/>
    </row>
    <row r="120" spans="1:27" ht="18.75" customHeight="1">
      <c r="A120" s="3687" t="str">
        <f>IF(项目基本情况!B9="房地产市场价值","",MID(E103,3,LEN(E103)-2))</f>
        <v>估价师知悉的法定优先受偿款</v>
      </c>
      <c r="B120" s="3688"/>
      <c r="C120" s="3689"/>
      <c r="D120" s="3687">
        <f>H103</f>
        <v>0</v>
      </c>
      <c r="E120" s="3688"/>
      <c r="F120" s="3688"/>
      <c r="G120" s="3688"/>
      <c r="H120" s="3688"/>
      <c r="I120" s="368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3" t="s">
        <v>1452</v>
      </c>
      <c r="B121" s="3664"/>
      <c r="C121" s="3665"/>
      <c r="D121" s="3663" t="str">
        <f>IF(D120=0,"零元整",NUMBERSTRING(INT(D120*10000),2)&amp;"元整")</f>
        <v>零元整</v>
      </c>
      <c r="E121" s="3664"/>
      <c r="F121" s="3664"/>
      <c r="G121" s="3664"/>
      <c r="H121" s="3664"/>
      <c r="I121" s="3665"/>
      <c r="AA121" s="722"/>
    </row>
    <row r="122" spans="1:27" ht="18.75" customHeight="1">
      <c r="A122" s="3654" t="str">
        <f>IF(项目基本情况!B9="房地产市场价值","",MID(E107,3,LEN(E107)-2))</f>
        <v>房地产抵押价值</v>
      </c>
      <c r="B122" s="3654"/>
      <c r="C122" s="3654"/>
      <c r="D122" s="3687">
        <f ca="1">H107</f>
        <v>183644</v>
      </c>
      <c r="E122" s="3688"/>
      <c r="F122" s="3688"/>
      <c r="G122" s="3688"/>
      <c r="H122" s="3688"/>
      <c r="I122" s="3689"/>
      <c r="AA122" s="722"/>
    </row>
    <row r="123" spans="1:27" ht="18.75" customHeight="1">
      <c r="A123" s="3623" t="s">
        <v>1452</v>
      </c>
      <c r="B123" s="3623"/>
      <c r="C123" s="3623"/>
      <c r="D123" s="3663" t="str">
        <f ca="1">NUMBERSTRING(INT(D122*10000),2)&amp;"元整"</f>
        <v>壹拾捌亿叁仟陆佰肆拾肆万元整</v>
      </c>
      <c r="E123" s="3664"/>
      <c r="F123" s="3664"/>
      <c r="G123" s="3664"/>
      <c r="H123" s="3664"/>
      <c r="I123" s="3665"/>
      <c r="AA123" s="722"/>
    </row>
    <row r="124" spans="1:27" ht="18.75" customHeight="1">
      <c r="A124" s="3654" t="str">
        <f>IF(项目基本情况!B9="房地产市场价值","",MID(E109,3,LEN(E109)-2))</f>
        <v/>
      </c>
      <c r="B124" s="3654"/>
      <c r="C124" s="3654"/>
      <c r="D124" s="3687" t="str">
        <f>H109</f>
        <v>——</v>
      </c>
      <c r="E124" s="3688"/>
      <c r="F124" s="3688"/>
      <c r="G124" s="3688"/>
      <c r="H124" s="3688"/>
      <c r="I124" s="3689"/>
      <c r="AA124" s="722"/>
    </row>
    <row r="125" spans="1:27" ht="18.75" customHeight="1">
      <c r="A125" s="3623" t="s">
        <v>1452</v>
      </c>
      <c r="B125" s="3623"/>
      <c r="C125" s="3623"/>
      <c r="D125" s="3663" t="e">
        <f>NUMBERSTRING(INT(D124*10000),2)&amp;"元整"</f>
        <v>#VALUE!</v>
      </c>
      <c r="E125" s="3664"/>
      <c r="F125" s="3664"/>
      <c r="G125" s="3664"/>
      <c r="H125" s="3664"/>
      <c r="I125" s="3665"/>
      <c r="AA125" s="722"/>
    </row>
    <row r="126" spans="1:27" ht="18.75" customHeight="1">
      <c r="A126" s="3654" t="str">
        <f>IF(项目基本情况!B9="房地产市场价值","",MID(E111,3,LEN(E111)-2))</f>
        <v/>
      </c>
      <c r="B126" s="3654"/>
      <c r="C126" s="3654"/>
      <c r="D126" s="3687" t="str">
        <f>H111</f>
        <v>——</v>
      </c>
      <c r="E126" s="3688"/>
      <c r="F126" s="3688"/>
      <c r="G126" s="3688"/>
      <c r="H126" s="3688"/>
      <c r="I126" s="3689"/>
      <c r="AA126" s="722"/>
    </row>
    <row r="127" spans="1:27" ht="18.75" customHeight="1">
      <c r="A127" s="3623" t="s">
        <v>1452</v>
      </c>
      <c r="B127" s="3623"/>
      <c r="C127" s="3623"/>
      <c r="D127" s="3663" t="e">
        <f>NUMBERSTRING(INT(D126*10000),2)&amp;"元整"</f>
        <v>#VALUE!</v>
      </c>
      <c r="E127" s="3664"/>
      <c r="F127" s="3664"/>
      <c r="G127" s="3664"/>
      <c r="H127" s="3664"/>
      <c r="I127" s="3665"/>
      <c r="AA127" s="722"/>
    </row>
    <row r="128" spans="1:27" ht="21.75" customHeight="1">
      <c r="A128" s="3670" t="s">
        <v>1453</v>
      </c>
      <c r="B128" s="3670"/>
      <c r="C128" s="3670"/>
      <c r="D128" s="3670"/>
      <c r="E128" s="3670"/>
      <c r="F128" s="3670"/>
      <c r="G128" s="3670"/>
      <c r="H128" s="3670"/>
      <c r="I128" s="3670"/>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19" t="str">
        <f>项目基本情况!B1</f>
        <v>北京市朝阳区望京东路4号院1号楼房地产抵押价值预评估</v>
      </c>
      <c r="C37" s="3519"/>
      <c r="D37" s="3519"/>
      <c r="E37" s="3519"/>
      <c r="F37" s="3519"/>
      <c r="G37" s="3519"/>
      <c r="H37" s="3519"/>
      <c r="I37" s="3519"/>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c r="C1" s="1856" t="s">
        <v>1563</v>
      </c>
      <c r="D1" s="196"/>
      <c r="E1" s="196"/>
      <c r="F1" s="196"/>
      <c r="G1" s="1123">
        <f>MATCH(B1,'数据-取费表'!A6:A16,0)+5</f>
        <v>7</v>
      </c>
      <c r="H1" s="1058" t="str">
        <f>IF(ISERROR(FIND("住宅",B1)),"非住宅","住宅")</f>
        <v>非住宅</v>
      </c>
    </row>
    <row r="2" spans="1:8" s="198" customFormat="1" ht="18" customHeight="1">
      <c r="A2" s="199" t="s">
        <v>1462</v>
      </c>
      <c r="B2" s="3420">
        <f ca="1">ROUND(IF(D2="——",C52/10000,C52/10000-E2),4)</f>
        <v>42127.7212</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7542</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11171774</v>
      </c>
      <c r="D5" s="209" t="s">
        <v>1469</v>
      </c>
      <c r="E5" s="210" t="s">
        <v>1470</v>
      </c>
      <c r="F5" s="210" t="s">
        <v>1471</v>
      </c>
      <c r="G5" s="211"/>
    </row>
    <row r="6" spans="1:8" s="212" customFormat="1" ht="13.5" customHeight="1">
      <c r="A6" s="775" t="s">
        <v>1472</v>
      </c>
      <c r="B6" s="213" t="s">
        <v>1473</v>
      </c>
      <c r="C6" s="214"/>
      <c r="D6" s="215"/>
      <c r="E6" s="216"/>
      <c r="F6" s="216"/>
      <c r="G6" s="217"/>
    </row>
    <row r="7" spans="1:8" s="212" customFormat="1" ht="13.5" customHeight="1">
      <c r="A7" s="775" t="s">
        <v>1474</v>
      </c>
      <c r="B7" s="213" t="s">
        <v>1475</v>
      </c>
      <c r="C7" s="218">
        <f>ROUND(C6*F7,0)</f>
        <v>0</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11171774</v>
      </c>
      <c r="D8" s="220"/>
      <c r="E8" s="218"/>
      <c r="F8" s="219"/>
      <c r="G8" s="1853"/>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160</v>
      </c>
      <c r="F9" s="219"/>
      <c r="G9" s="224"/>
    </row>
    <row r="10" spans="1:8" s="212" customFormat="1" ht="13.5" customHeight="1">
      <c r="A10" s="776" t="s">
        <v>356</v>
      </c>
      <c r="B10" s="222" t="s">
        <v>1480</v>
      </c>
      <c r="C10" s="223">
        <f ca="1">ROUND(D10*E10,0)</f>
        <v>11171774</v>
      </c>
      <c r="D10" s="842">
        <f ca="1">IF(B1="",'数据-汇总表'!E6,IF(INDIRECT("'数据-取费表'!c"&amp;$G$1)="住宅",INDIRECT("'数据-取费表'!s"&amp;$G$1),INDIRECT("'数据-取费表'!k"&amp;$G$1)+INDIRECT("'数据-取费表'!s"&amp;$G$1)))</f>
        <v>55858.869999999981</v>
      </c>
      <c r="E10" s="223">
        <f>'数据-取费表'!B28</f>
        <v>200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f ca="1">IF(G19="已包含在土地取得成本中","0",ROUND(D19*E19,0))</f>
        <v>11171774</v>
      </c>
      <c r="D19" s="846">
        <f ca="1">D9+D10</f>
        <v>55858.869999999981</v>
      </c>
      <c r="E19" s="209">
        <f>'数据-取费表'!B31</f>
        <v>200</v>
      </c>
      <c r="F19" s="229"/>
      <c r="G19" s="1853"/>
    </row>
    <row r="20" spans="1:7" s="212" customFormat="1" ht="13.5" customHeight="1">
      <c r="A20" s="253" t="s">
        <v>1574</v>
      </c>
      <c r="B20" s="208" t="s">
        <v>1575</v>
      </c>
      <c r="C20" s="230">
        <f ca="1">ROUND((C5+C19)*F20,0)</f>
        <v>670306</v>
      </c>
      <c r="D20" s="230"/>
      <c r="E20" s="230"/>
      <c r="F20" s="231">
        <f>'数据-取费表'!B37</f>
        <v>0.03</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4">
        <f ca="1">ROUND(SUM(C23:C25),0)</f>
        <v>1591426</v>
      </c>
      <c r="D22" s="233">
        <f ca="1">C26</f>
        <v>6.9999999999999999E-4</v>
      </c>
      <c r="E22" s="234" t="s">
        <v>1579</v>
      </c>
      <c r="F22" s="235">
        <f ca="1">'数据-取费表'!B40</f>
        <v>3.4500000000000003E-2</v>
      </c>
      <c r="G22" s="232" t="str">
        <f>IF('数据-取费表'!B22&lt;=1,"单利计息","复利计息")</f>
        <v>复利计息</v>
      </c>
    </row>
    <row r="23" spans="1:7" s="212" customFormat="1" ht="13.5" customHeight="1">
      <c r="A23" s="777" t="s">
        <v>1472</v>
      </c>
      <c r="B23" s="213" t="s">
        <v>1583</v>
      </c>
      <c r="C23" s="1125">
        <f ca="1">ROUND(IF('数据-取费表'!B22&lt;=1,C5*F22*'数据-取费表'!B22,C5*(POWER((1+F22),'数据-取费表'!B22)-1)),0)</f>
        <v>784150</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784150</v>
      </c>
      <c r="D24" s="236"/>
      <c r="E24" s="236"/>
      <c r="F24" s="237"/>
      <c r="G24" s="238" t="s">
        <v>1586</v>
      </c>
    </row>
    <row r="25" spans="1:7" s="212" customFormat="1" ht="24">
      <c r="A25" s="777" t="s">
        <v>1476</v>
      </c>
      <c r="B25" s="213" t="s">
        <v>1587</v>
      </c>
      <c r="C25" s="1125">
        <f ca="1">ROUND(IF('数据-取费表'!B22&lt;=1,C20*F22*'数据-取费表'!B22/2,C20*(POWER((1+F22),'数据-取费表'!B22/2)-1)),0)</f>
        <v>23126</v>
      </c>
      <c r="D25" s="236"/>
      <c r="E25" s="239"/>
      <c r="F25" s="237"/>
      <c r="G25" s="240" t="s">
        <v>1588</v>
      </c>
    </row>
    <row r="26" spans="1:7" s="212" customFormat="1">
      <c r="A26" s="777" t="s">
        <v>350</v>
      </c>
      <c r="B26" s="213" t="s">
        <v>1511</v>
      </c>
      <c r="C26" s="236">
        <f ca="1">ROUND(IF('数据-取费表'!B22&lt;=1,F21*F22*'数据-取费表'!B22/2,F21*(POWER((1+F22),'数据-取费表'!B22/2)-1)),4)</f>
        <v>6.9999999999999999E-4</v>
      </c>
      <c r="D26" s="236"/>
      <c r="E26" s="239"/>
      <c r="F26" s="237"/>
      <c r="G26" s="241"/>
    </row>
    <row r="27" spans="1:7" s="212" customFormat="1" ht="24.75">
      <c r="A27" s="253" t="s">
        <v>1512</v>
      </c>
      <c r="B27" s="242" t="s">
        <v>1513</v>
      </c>
      <c r="C27" s="243">
        <f ca="1">C28</f>
        <v>3452078</v>
      </c>
      <c r="D27" s="233">
        <f ca="1">C29</f>
        <v>3.0000000000000001E-3</v>
      </c>
      <c r="E27" s="234" t="s">
        <v>1514</v>
      </c>
      <c r="F27" s="244">
        <f ca="1">IF(B1="",'数据-取费表'!Q16,INDIRECT("'数据-取费表'!q"&amp;$G$1))</f>
        <v>0.15</v>
      </c>
      <c r="G27" s="245" t="s">
        <v>1515</v>
      </c>
    </row>
    <row r="28" spans="1:7" s="212" customFormat="1" ht="13.5" customHeight="1">
      <c r="A28" s="777" t="s">
        <v>346</v>
      </c>
      <c r="B28" s="246" t="s">
        <v>1516</v>
      </c>
      <c r="C28" s="247">
        <f ca="1">ROUND((C5+C19+C20)*F27,0)</f>
        <v>3452078</v>
      </c>
      <c r="D28" s="233"/>
      <c r="E28" s="234"/>
      <c r="F28" s="244"/>
      <c r="G28" s="245"/>
    </row>
    <row r="29" spans="1:7" s="212" customFormat="1" ht="13.5" customHeight="1">
      <c r="A29" s="777" t="s">
        <v>347</v>
      </c>
      <c r="B29" s="246" t="s">
        <v>1517</v>
      </c>
      <c r="C29" s="236">
        <f ca="1">ROUND(C21*F27,4)</f>
        <v>3.0000000000000001E-3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30398004</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339901224</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307223785</v>
      </c>
      <c r="D34" s="215"/>
      <c r="E34" s="218"/>
      <c r="F34" s="255"/>
      <c r="G34" s="217"/>
    </row>
    <row r="35" spans="1:7" ht="13.5" customHeight="1">
      <c r="A35" s="777" t="s">
        <v>351</v>
      </c>
      <c r="B35" s="213" t="s">
        <v>1527</v>
      </c>
      <c r="C35" s="218">
        <f ca="1">ROUND(C34*F35,0)</f>
        <v>15361189</v>
      </c>
      <c r="D35" s="218"/>
      <c r="E35" s="218"/>
      <c r="F35" s="257">
        <f>'数据-取费表'!B33</f>
        <v>0.05</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11171774</v>
      </c>
      <c r="D37" s="215">
        <f ca="1">D19</f>
        <v>55858.869999999981</v>
      </c>
      <c r="E37" s="247">
        <f>'数据-取费表'!B35</f>
        <v>200</v>
      </c>
      <c r="F37" s="257"/>
      <c r="G37" s="259"/>
    </row>
    <row r="38" spans="1:7" ht="13.5" customHeight="1">
      <c r="A38" s="777" t="s">
        <v>354</v>
      </c>
      <c r="B38" s="213" t="s">
        <v>1533</v>
      </c>
      <c r="C38" s="218">
        <f ca="1">ROUND(C34*F38,0)</f>
        <v>6144476</v>
      </c>
      <c r="D38" s="218"/>
      <c r="E38" s="218"/>
      <c r="F38" s="257">
        <f>'数据-取费表'!B36</f>
        <v>0.02</v>
      </c>
      <c r="G38" s="217" t="s">
        <v>1528</v>
      </c>
    </row>
    <row r="39" spans="1:7" s="212" customFormat="1" ht="13.5" customHeight="1">
      <c r="A39" s="253" t="s">
        <v>1534</v>
      </c>
      <c r="B39" s="208" t="s">
        <v>1535</v>
      </c>
      <c r="C39" s="230">
        <f ca="1">ROUND(C33*F20,0)</f>
        <v>10197037</v>
      </c>
      <c r="D39" s="230"/>
      <c r="E39" s="230"/>
      <c r="F39" s="231">
        <f>F20</f>
        <v>0.03</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12078390</v>
      </c>
      <c r="D41" s="233">
        <f ca="1">C44</f>
        <v>6.9999999999999999E-4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ROUND(IF('数据-取费表'!B22&lt;=1,C33*F22*'数据-取费表'!B20/2,C33*(POWER((1+F22),'数据-取费表'!B20/2)-1)),0)</f>
        <v>11726592</v>
      </c>
      <c r="D42" s="236"/>
      <c r="E42" s="236"/>
      <c r="F42" s="237"/>
      <c r="G42" s="3703" t="s">
        <v>1591</v>
      </c>
    </row>
    <row r="43" spans="1:7" ht="13.5" customHeight="1">
      <c r="A43" s="777" t="s">
        <v>347</v>
      </c>
      <c r="B43" s="213" t="s">
        <v>1545</v>
      </c>
      <c r="C43" s="236">
        <f ca="1">ROUND(IF('数据-取费表'!B22&lt;=1,C39*F22*'数据-取费表'!B20/2,C39*(POWER((1+F22),'数据-取费表'!B20/2)-1)),0)</f>
        <v>351798</v>
      </c>
      <c r="D43" s="236"/>
      <c r="E43" s="236"/>
      <c r="F43" s="237"/>
      <c r="G43" s="3704"/>
    </row>
    <row r="44" spans="1:7" ht="13.5" customHeight="1">
      <c r="A44" s="777" t="s">
        <v>348</v>
      </c>
      <c r="B44" s="213" t="s">
        <v>1546</v>
      </c>
      <c r="C44" s="236">
        <f ca="1">ROUND(IF('数据-取费表'!B22&lt;=1,C40*F22*'数据-取费表'!B20/2,C40*(POWER((1+F22),'数据-取费表'!B20/2)-1)),4)</f>
        <v>6.9999999999999999E-4</v>
      </c>
      <c r="D44" s="236"/>
      <c r="E44" s="236"/>
      <c r="F44" s="237"/>
      <c r="G44" s="3705"/>
    </row>
    <row r="45" spans="1:7" s="212" customFormat="1" ht="13.5" customHeight="1">
      <c r="A45" s="253" t="s">
        <v>1547</v>
      </c>
      <c r="B45" s="242" t="s">
        <v>1513</v>
      </c>
      <c r="C45" s="243">
        <f ca="1">C46</f>
        <v>52514739</v>
      </c>
      <c r="D45" s="233">
        <f ca="1">C47</f>
        <v>3.0000000000000001E-3</v>
      </c>
      <c r="E45" s="234" t="s">
        <v>1539</v>
      </c>
      <c r="F45" s="244">
        <f ca="1">F27</f>
        <v>0.15</v>
      </c>
      <c r="G45" s="245" t="s">
        <v>1548</v>
      </c>
    </row>
    <row r="46" spans="1:7" s="212" customFormat="1" ht="13.5" customHeight="1">
      <c r="A46" s="777" t="s">
        <v>346</v>
      </c>
      <c r="B46" s="246" t="s">
        <v>1549</v>
      </c>
      <c r="C46" s="247">
        <f ca="1">ROUND((C33+C39)*F27,0)</f>
        <v>52514739</v>
      </c>
      <c r="D46" s="261"/>
      <c r="E46" s="234"/>
      <c r="F46" s="244"/>
      <c r="G46" s="245"/>
    </row>
    <row r="47" spans="1:7" s="212" customFormat="1" ht="13.5" customHeight="1">
      <c r="A47" s="777" t="s">
        <v>347</v>
      </c>
      <c r="B47" s="246" t="s">
        <v>1550</v>
      </c>
      <c r="C47" s="236">
        <f ca="1">ROUND(C40*F27,4)</f>
        <v>3.0000000000000001E-3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449286446</v>
      </c>
      <c r="D49" s="230"/>
      <c r="E49" s="230"/>
      <c r="F49" s="262"/>
      <c r="G49" s="232" t="s">
        <v>1554</v>
      </c>
    </row>
    <row r="50" spans="1:7" s="256" customFormat="1">
      <c r="A50" s="253" t="s">
        <v>1555</v>
      </c>
      <c r="B50" s="208" t="s">
        <v>1556</v>
      </c>
      <c r="C50" s="230"/>
      <c r="D50" s="230"/>
      <c r="E50" s="230"/>
      <c r="F50" s="262">
        <f>IF('数据-取费表'!B24=0,'数据-取费表'!N16,1)</f>
        <v>0.87</v>
      </c>
      <c r="G50" s="245"/>
    </row>
    <row r="51" spans="1:7" ht="16.5" customHeight="1">
      <c r="A51" s="253" t="s">
        <v>1558</v>
      </c>
      <c r="B51" s="208" t="s">
        <v>1593</v>
      </c>
      <c r="C51" s="230">
        <f ca="1">ROUND(C49*F50,0)</f>
        <v>390879208</v>
      </c>
      <c r="D51" s="230"/>
      <c r="E51" s="230"/>
      <c r="F51" s="262"/>
      <c r="G51" s="232" t="s">
        <v>1560</v>
      </c>
    </row>
    <row r="52" spans="1:7" s="206" customFormat="1" ht="16.5" thickBot="1">
      <c r="A52" s="263" t="s">
        <v>1561</v>
      </c>
      <c r="B52" s="264"/>
      <c r="C52" s="265">
        <f ca="1">C31+C51</f>
        <v>421277212</v>
      </c>
      <c r="D52" s="264"/>
      <c r="E52" s="264"/>
      <c r="F52" s="264"/>
      <c r="G52" s="266"/>
    </row>
    <row r="55" spans="1:7" ht="15">
      <c r="B55" s="268" t="s">
        <v>1562</v>
      </c>
      <c r="C55" s="269"/>
    </row>
    <row r="56" spans="1:7">
      <c r="B56" s="271" t="s">
        <v>802</v>
      </c>
      <c r="C56" s="273">
        <f ca="1">1-C57</f>
        <v>7.1999999999999953E-2</v>
      </c>
    </row>
    <row r="57" spans="1:7">
      <c r="B57" s="271" t="s">
        <v>803</v>
      </c>
      <c r="C57" s="272">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802"/>
      <c r="F1" s="2802"/>
      <c r="G1" s="2667"/>
      <c r="H1" s="2802"/>
      <c r="I1" s="2802"/>
      <c r="J1" s="2802"/>
      <c r="K1" s="2803">
        <f>MATCH(C1,'数据-取费表'!A6:A16,0)+5</f>
        <v>7</v>
      </c>
    </row>
    <row r="2" spans="1:33" ht="18" customHeight="1">
      <c r="A2" s="199" t="s">
        <v>1462</v>
      </c>
      <c r="B2" s="202">
        <f ca="1">C32</f>
        <v>0</v>
      </c>
      <c r="C2" s="274" t="s">
        <v>1595</v>
      </c>
      <c r="D2" s="274"/>
      <c r="E2" s="2802"/>
      <c r="F2" s="2802"/>
      <c r="G2" s="2802"/>
      <c r="H2" s="2802"/>
      <c r="I2" s="2802"/>
      <c r="J2" s="2802"/>
      <c r="K2" s="2802"/>
    </row>
    <row r="3" spans="1:33" ht="18" customHeight="1" thickBot="1">
      <c r="A3" s="201" t="s">
        <v>1464</v>
      </c>
      <c r="B3" s="202">
        <f ca="1">ROUND(B2*10000/IF(C1="",'数据-汇总表'!E3,INDIRECT("'数据-取费表'!K"&amp;$K$1)),0)</f>
        <v>0</v>
      </c>
      <c r="C3" s="274" t="s">
        <v>1596</v>
      </c>
      <c r="D3" s="274"/>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55858.869999999981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55858.869999999981</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1117</v>
      </c>
      <c r="D20" s="843">
        <f ca="1">IF(C1="",'数据-汇总表'!E6,IF(INDIRECT("'数据-取费表'!c"&amp;$K$1)="住宅",INDIRECT("'数据-取费表'!s"&amp;$K$1),INDIRECT("'数据-取费表'!k"&amp;$K$1)+INDIRECT("'数据-取费表'!s"&amp;$K$1)))</f>
        <v>55858.869999999981</v>
      </c>
      <c r="E20" s="21">
        <f>'数据-取费表'!B28</f>
        <v>200</v>
      </c>
      <c r="F20" s="801"/>
      <c r="G20" s="12"/>
      <c r="H20" s="806"/>
      <c r="I20" s="806"/>
      <c r="J20" s="806"/>
      <c r="K20" s="807"/>
    </row>
    <row r="21" spans="1:33" s="800" customFormat="1" ht="13.5" customHeight="1">
      <c r="A21" s="787" t="s">
        <v>357</v>
      </c>
      <c r="B21" s="810" t="s">
        <v>1628</v>
      </c>
      <c r="C21" s="811">
        <f ca="1">C16+C17+C18</f>
        <v>0</v>
      </c>
      <c r="D21" s="812"/>
      <c r="E21" s="279"/>
      <c r="F21" s="279"/>
      <c r="G21" s="129" t="s">
        <v>1629</v>
      </c>
      <c r="H21" s="804"/>
      <c r="I21" s="804"/>
      <c r="J21" s="804"/>
      <c r="K21" s="805"/>
    </row>
    <row r="22" spans="1:33" s="800" customFormat="1" ht="13.5" customHeight="1">
      <c r="A22" s="787" t="s">
        <v>1601</v>
      </c>
      <c r="B22" s="810" t="s">
        <v>1630</v>
      </c>
      <c r="C22" s="811">
        <f ca="1">ROUND(C21*F22,0)</f>
        <v>0</v>
      </c>
      <c r="D22" s="279"/>
      <c r="E22" s="279"/>
      <c r="F22" s="813">
        <f>'数据-取费表'!B37</f>
        <v>0.03</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0.02</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（1）-（3）项×((1+年利率)^(建设期÷2)-1)</v>
      </c>
      <c r="H27" s="804"/>
      <c r="I27" s="804"/>
      <c r="J27" s="804"/>
      <c r="K27" s="805"/>
    </row>
    <row r="28" spans="1:33" s="287" customFormat="1" ht="13.5" customHeight="1">
      <c r="A28" s="787" t="s">
        <v>1641</v>
      </c>
      <c r="B28" s="1862" t="s">
        <v>1642</v>
      </c>
      <c r="C28" s="285">
        <f ca="1">C30</f>
        <v>0</v>
      </c>
      <c r="D28" s="278">
        <f ca="1">C29</f>
        <v>0</v>
      </c>
      <c r="E28" s="280" t="s">
        <v>12</v>
      </c>
      <c r="F28" s="286">
        <f ca="1">IF(C1="",'数据-取费表'!Q16,INDIRECT("'数据-取费表'!q"&amp;$K$1))</f>
        <v>0.15</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0</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L29" sqref="L29"/>
    </sheetView>
  </sheetViews>
  <sheetFormatPr defaultColWidth="9" defaultRowHeight="14.25"/>
  <cols>
    <col min="1" max="1" width="10.5" style="355" customWidth="1"/>
    <col min="2" max="2" width="15.75" style="355" customWidth="1"/>
    <col min="3" max="3" width="16.875" style="355" customWidth="1"/>
    <col min="4" max="4" width="12.25" style="355" customWidth="1"/>
    <col min="5" max="5" width="16.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t="s">
        <v>3548</v>
      </c>
      <c r="E1" s="3429" t="s">
        <v>3534</v>
      </c>
      <c r="F1" s="1876" t="s">
        <v>3535</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IF(E1="项目模式",IF(C2="——",ROUND(C43*D3/10000,0),ROUND(C43*D3/10000,0)-D2),IF(E1="单套模式",IF(C2="——",ROUND(C43*D3/10000,4),ROUND(C43*D3/10000,4)-D2)))</f>
        <v>189797</v>
      </c>
      <c r="C2" s="1878" t="s">
        <v>43</v>
      </c>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33978</v>
      </c>
      <c r="C3" s="352" t="s">
        <v>1768</v>
      </c>
      <c r="D3" s="351">
        <f>IF(D1="",'数据-汇总表'!E3,SUMIF('数据-汇总表'!$C19:$C33,D1,'数据-汇总表'!$E19:$E33))</f>
        <v>55858.869999999981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719" t="s">
        <v>1770</v>
      </c>
      <c r="D4" s="3720"/>
      <c r="E4" s="3721" t="s">
        <v>1771</v>
      </c>
      <c r="F4" s="3722"/>
      <c r="G4" s="3719" t="s">
        <v>1772</v>
      </c>
      <c r="H4" s="3720"/>
      <c r="I4" s="3719" t="s">
        <v>1773</v>
      </c>
      <c r="J4" s="3720"/>
      <c r="K4" s="557" t="s">
        <v>1774</v>
      </c>
      <c r="L4" s="910"/>
      <c r="M4" s="911"/>
      <c r="N4" s="911"/>
      <c r="O4" s="911"/>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ht="15">
      <c r="A5" s="356"/>
      <c r="B5" s="357"/>
      <c r="C5" s="3743" t="str">
        <f>项目基本情况!F10</f>
        <v>朝阳区望京东路4号院1号楼</v>
      </c>
      <c r="D5" s="3739"/>
      <c r="E5" s="3746" t="str">
        <f>大宗案例!B20</f>
        <v>电子城国际电子总部8-10#</v>
      </c>
      <c r="F5" s="3747"/>
      <c r="G5" s="3738" t="str">
        <f>大宗案例!B21</f>
        <v>中关村西三旗(金隅)科技园T5研发设计楼地上1-7层</v>
      </c>
      <c r="H5" s="3739"/>
      <c r="I5" s="3738" t="str">
        <f>大宗案例!B22</f>
        <v>中关村西三旗(金隅)科技园T4研发设计楼地上1-7层</v>
      </c>
      <c r="J5" s="3739"/>
      <c r="K5" s="557"/>
      <c r="L5" s="910"/>
      <c r="M5" s="911"/>
      <c r="N5" s="911"/>
      <c r="O5" s="911"/>
      <c r="P5" s="3725"/>
      <c r="Q5" s="3726"/>
      <c r="R5" s="3731"/>
      <c r="S5" s="3732"/>
      <c r="T5" s="3731"/>
      <c r="U5" s="3732"/>
      <c r="V5" s="3735"/>
      <c r="W5" s="3735"/>
      <c r="X5" s="1352"/>
      <c r="Y5" s="3731"/>
      <c r="Z5" s="3732"/>
      <c r="AA5" s="3717"/>
      <c r="AB5" s="3717"/>
      <c r="AC5" s="3717"/>
    </row>
    <row r="6" spans="1:29" ht="15.75" thickBot="1">
      <c r="A6" s="358"/>
      <c r="B6" s="359"/>
      <c r="C6" s="3736" t="s">
        <v>1677</v>
      </c>
      <c r="D6" s="3737"/>
      <c r="E6" s="3744" t="s">
        <v>1677</v>
      </c>
      <c r="F6" s="3745"/>
      <c r="G6" s="3736" t="s">
        <v>1677</v>
      </c>
      <c r="H6" s="3737"/>
      <c r="I6" s="3736" t="s">
        <v>1677</v>
      </c>
      <c r="J6" s="3737"/>
      <c r="K6" s="557" t="s">
        <v>1678</v>
      </c>
      <c r="L6" s="910"/>
      <c r="M6" s="911"/>
      <c r="N6" s="911"/>
      <c r="O6" s="911"/>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503">
        <f>大宗案例!P20</f>
        <v>44161</v>
      </c>
      <c r="F7" s="3515">
        <f>SUMIF(52:52,YEAR(E7)&amp;"-"&amp;MONTH(E7),53:53)</f>
        <v>100</v>
      </c>
      <c r="G7" s="3503">
        <f>大宗案例!P21</f>
        <v>44531</v>
      </c>
      <c r="H7" s="3514">
        <f>SUMIF(52:52,YEAR(G7)&amp;"-"&amp;MONTH(G7),53:53)</f>
        <v>100</v>
      </c>
      <c r="I7" s="3503">
        <f>大宗案例!P22</f>
        <v>44531</v>
      </c>
      <c r="J7" s="3514">
        <f>SUMIF(52:52,YEAR(I7)&amp;"-"&amp;MONTH(I7),53:53)</f>
        <v>100</v>
      </c>
      <c r="K7" s="558"/>
      <c r="L7" s="912"/>
      <c r="M7" s="913"/>
      <c r="N7" s="913"/>
      <c r="O7" s="913"/>
      <c r="P7" s="3740" t="s">
        <v>1680</v>
      </c>
      <c r="Q7" s="3742"/>
      <c r="R7" s="698" t="s">
        <v>14</v>
      </c>
      <c r="S7" s="699">
        <f t="shared" ref="S7:S15" si="0">F7</f>
        <v>100</v>
      </c>
      <c r="T7" s="698" t="s">
        <v>14</v>
      </c>
      <c r="U7" s="699">
        <f t="shared" ref="U7:U15" si="1">H7</f>
        <v>100</v>
      </c>
      <c r="V7" s="698" t="s">
        <v>14</v>
      </c>
      <c r="W7" s="699">
        <f t="shared" ref="W7:W15" si="2">J7</f>
        <v>100</v>
      </c>
      <c r="X7" s="700"/>
      <c r="Y7" s="3740" t="s">
        <v>1680</v>
      </c>
      <c r="Z7" s="3741"/>
      <c r="AA7" s="701">
        <f>D7/F7</f>
        <v>1</v>
      </c>
      <c r="AB7" s="701">
        <f>D7/H7</f>
        <v>1</v>
      </c>
      <c r="AC7" s="701">
        <f>D7/J7</f>
        <v>1</v>
      </c>
    </row>
    <row r="8" spans="1:29" s="108" customFormat="1" ht="15.75" thickBot="1">
      <c r="A8" s="360" t="s">
        <v>1681</v>
      </c>
      <c r="B8" s="361"/>
      <c r="C8" s="366" t="s">
        <v>3532</v>
      </c>
      <c r="D8" s="363">
        <v>100</v>
      </c>
      <c r="E8" s="366" t="s">
        <v>3532</v>
      </c>
      <c r="F8" s="365">
        <f>SUMIF(55:55,E8,56:56)-SUMIF(55:55,C8,56:56)+100</f>
        <v>100</v>
      </c>
      <c r="G8" s="366" t="s">
        <v>3532</v>
      </c>
      <c r="H8" s="363">
        <f>SUMIF(55:55,G8,56:56)-SUMIF(55:55,C8,56:56)+100</f>
        <v>100</v>
      </c>
      <c r="I8" s="366" t="s">
        <v>3532</v>
      </c>
      <c r="J8" s="363">
        <f>SUMIF(55:55,I8,56:56)-SUMIF(55:55,C8,56:56)+100</f>
        <v>100</v>
      </c>
      <c r="K8" s="558"/>
      <c r="L8" s="912"/>
      <c r="M8" s="913"/>
      <c r="N8" s="913"/>
      <c r="O8" s="913"/>
      <c r="P8" s="3740" t="s">
        <v>1683</v>
      </c>
      <c r="Q8" s="3741"/>
      <c r="R8" s="698" t="s">
        <v>14</v>
      </c>
      <c r="S8" s="699">
        <f t="shared" si="0"/>
        <v>100</v>
      </c>
      <c r="T8" s="698" t="s">
        <v>14</v>
      </c>
      <c r="U8" s="699">
        <f t="shared" si="1"/>
        <v>100</v>
      </c>
      <c r="V8" s="698" t="s">
        <v>14</v>
      </c>
      <c r="W8" s="699">
        <f t="shared" si="2"/>
        <v>100</v>
      </c>
      <c r="X8" s="700"/>
      <c r="Y8" s="3740" t="s">
        <v>1683</v>
      </c>
      <c r="Z8" s="3741"/>
      <c r="AA8" s="701">
        <f t="shared" ref="AA8:AA40" si="3">D8/F8</f>
        <v>1</v>
      </c>
      <c r="AB8" s="701">
        <f t="shared" ref="AB8:AB40" si="4">D8/H8</f>
        <v>1</v>
      </c>
      <c r="AC8" s="701">
        <f t="shared" ref="AC8:AC40" si="5">D8/J8</f>
        <v>1</v>
      </c>
    </row>
    <row r="9" spans="1:29" s="108" customFormat="1">
      <c r="A9" s="367" t="s">
        <v>1684</v>
      </c>
      <c r="B9" s="63" t="s">
        <v>1685</v>
      </c>
      <c r="C9" s="3481" t="s">
        <v>3533</v>
      </c>
      <c r="D9" s="124">
        <v>100</v>
      </c>
      <c r="E9" s="371" t="s">
        <v>3459</v>
      </c>
      <c r="F9" s="124">
        <f>SUMIF(57:57,E9,58:58)-SUMIF(57:57,C9,58:58)+100</f>
        <v>100</v>
      </c>
      <c r="G9" s="371" t="s">
        <v>3459</v>
      </c>
      <c r="H9" s="124">
        <f>SUMIF(57:57,G9,58:58)-SUMIF(57:57,C9,58:58)+100</f>
        <v>100</v>
      </c>
      <c r="I9" s="371" t="s">
        <v>3459</v>
      </c>
      <c r="J9" s="124">
        <f>SUMIF(57:57,I9,58:58)-SUMIF(57:57,C9,58:58)+100</f>
        <v>100</v>
      </c>
      <c r="K9" s="558"/>
      <c r="L9" s="912"/>
      <c r="M9" s="913"/>
      <c r="N9" s="913"/>
      <c r="O9" s="914"/>
      <c r="P9" s="3706"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29" s="376" customFormat="1" ht="27.75" thickBot="1">
      <c r="A10" s="372"/>
      <c r="B10" s="373" t="s">
        <v>1688</v>
      </c>
      <c r="C10" s="3430" t="str">
        <f>D59</f>
        <v>30-40</v>
      </c>
      <c r="D10" s="125">
        <v>100</v>
      </c>
      <c r="E10" s="3430" t="str">
        <f>C10</f>
        <v>30-40</v>
      </c>
      <c r="F10" s="125">
        <f>SUMIF(59:59,E10,60:60)-SUMIF(59:59,C10,60:60)+100</f>
        <v>100</v>
      </c>
      <c r="G10" s="3431" t="s">
        <v>3537</v>
      </c>
      <c r="H10" s="125">
        <f>SUMIF(59:59,G10,60:60)-SUMIF(59:59,C10,60:60)+100</f>
        <v>103</v>
      </c>
      <c r="I10" s="3430" t="s">
        <v>3538</v>
      </c>
      <c r="J10" s="125">
        <f>SUMIF(59:59,I10,60:60)-SUMIF(59:59,C10,60:60)+100</f>
        <v>103</v>
      </c>
      <c r="K10" s="558"/>
      <c r="L10" s="915"/>
      <c r="M10" s="916"/>
      <c r="N10" s="916"/>
      <c r="O10" s="917"/>
      <c r="P10" s="3706"/>
      <c r="Q10" s="1340" t="str">
        <f t="shared" si="6"/>
        <v>土地使用年限（年）</v>
      </c>
      <c r="R10" s="698" t="s">
        <v>14</v>
      </c>
      <c r="S10" s="699">
        <f t="shared" si="0"/>
        <v>100</v>
      </c>
      <c r="T10" s="698" t="s">
        <v>14</v>
      </c>
      <c r="U10" s="699">
        <f t="shared" si="1"/>
        <v>103</v>
      </c>
      <c r="V10" s="698" t="s">
        <v>14</v>
      </c>
      <c r="W10" s="699">
        <f t="shared" si="2"/>
        <v>103</v>
      </c>
      <c r="X10" s="700"/>
      <c r="Y10" s="3610"/>
      <c r="Z10" s="52" t="str">
        <f t="shared" si="7"/>
        <v>土地使用年限（年）</v>
      </c>
      <c r="AA10" s="701">
        <f t="shared" si="3"/>
        <v>1</v>
      </c>
      <c r="AB10" s="701">
        <f t="shared" si="4"/>
        <v>0.970873786407767</v>
      </c>
      <c r="AC10" s="701">
        <f t="shared" si="5"/>
        <v>0.970873786407767</v>
      </c>
    </row>
    <row r="11" spans="1:29" ht="15" hidden="1">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706"/>
      <c r="Q11" s="1340" t="str">
        <f t="shared" si="6"/>
        <v>容积率</v>
      </c>
      <c r="R11" s="698" t="s">
        <v>14</v>
      </c>
      <c r="S11" s="699">
        <f t="shared" si="0"/>
        <v>100</v>
      </c>
      <c r="T11" s="698" t="s">
        <v>14</v>
      </c>
      <c r="U11" s="699">
        <f t="shared" si="1"/>
        <v>100</v>
      </c>
      <c r="V11" s="698" t="s">
        <v>14</v>
      </c>
      <c r="W11" s="699">
        <f t="shared" si="2"/>
        <v>100</v>
      </c>
      <c r="X11" s="700"/>
      <c r="Y11" s="3610"/>
      <c r="Z11" s="52" t="str">
        <f t="shared" si="7"/>
        <v>容积率</v>
      </c>
      <c r="AA11" s="701">
        <f t="shared" si="3"/>
        <v>1</v>
      </c>
      <c r="AB11" s="701">
        <f t="shared" si="4"/>
        <v>1</v>
      </c>
      <c r="AC11" s="701">
        <f t="shared" si="5"/>
        <v>1</v>
      </c>
    </row>
    <row r="12" spans="1:29" s="108" customFormat="1" ht="15" hidden="1">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706"/>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 hidden="1">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15.75" hidden="1"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706"/>
      <c r="Q14" s="1340">
        <f t="shared" si="6"/>
        <v>111</v>
      </c>
      <c r="R14" s="698" t="s">
        <v>14</v>
      </c>
      <c r="S14" s="699">
        <f t="shared" si="0"/>
        <v>100</v>
      </c>
      <c r="T14" s="698" t="s">
        <v>14</v>
      </c>
      <c r="U14" s="699">
        <f t="shared" si="1"/>
        <v>100</v>
      </c>
      <c r="V14" s="698" t="s">
        <v>14</v>
      </c>
      <c r="W14" s="699">
        <f t="shared" si="2"/>
        <v>100</v>
      </c>
      <c r="X14" s="700"/>
      <c r="Y14" s="3610"/>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95</v>
      </c>
      <c r="I15" s="391"/>
      <c r="J15" s="390">
        <f>SUMIF(70:70,I16,71:71)-SUMIF(70:70,C16,71:71)+100</f>
        <v>95</v>
      </c>
      <c r="K15" s="3517">
        <v>5</v>
      </c>
      <c r="L15" s="920"/>
      <c r="M15" s="911"/>
      <c r="N15" s="911"/>
      <c r="O15" s="919"/>
      <c r="P15" s="3711" t="s">
        <v>1691</v>
      </c>
      <c r="Q15" s="1349" t="str">
        <f t="shared" si="6"/>
        <v>产业集聚程度</v>
      </c>
      <c r="R15" s="702" t="s">
        <v>14</v>
      </c>
      <c r="S15" s="703">
        <f t="shared" si="0"/>
        <v>100</v>
      </c>
      <c r="T15" s="702" t="s">
        <v>14</v>
      </c>
      <c r="U15" s="703">
        <f t="shared" si="1"/>
        <v>95</v>
      </c>
      <c r="V15" s="702" t="s">
        <v>14</v>
      </c>
      <c r="W15" s="703">
        <f t="shared" si="2"/>
        <v>95</v>
      </c>
      <c r="X15" s="1352"/>
      <c r="Y15" s="3711" t="s">
        <v>1691</v>
      </c>
      <c r="Z15" s="1353" t="str">
        <f t="shared" si="7"/>
        <v>产业集聚程度</v>
      </c>
      <c r="AA15" s="1350">
        <f t="shared" si="3"/>
        <v>1</v>
      </c>
      <c r="AB15" s="1350">
        <f t="shared" si="4"/>
        <v>1.0526315789473684</v>
      </c>
      <c r="AC15" s="1350">
        <f t="shared" si="5"/>
        <v>1.0526315789473684</v>
      </c>
    </row>
    <row r="16" spans="1:29" ht="15">
      <c r="A16" s="377"/>
      <c r="B16" s="395"/>
      <c r="C16" s="396" t="s">
        <v>3418</v>
      </c>
      <c r="D16" s="397"/>
      <c r="E16" s="396" t="s">
        <v>3418</v>
      </c>
      <c r="F16" s="398"/>
      <c r="G16" s="3516" t="s">
        <v>3419</v>
      </c>
      <c r="H16" s="399"/>
      <c r="I16" s="3516" t="s">
        <v>3419</v>
      </c>
      <c r="J16" s="397"/>
      <c r="K16" s="562"/>
      <c r="L16" s="920"/>
      <c r="M16" s="911"/>
      <c r="N16" s="911"/>
      <c r="O16" s="919"/>
      <c r="P16" s="3712"/>
      <c r="Q16" s="1349"/>
      <c r="R16" s="702"/>
      <c r="S16" s="703"/>
      <c r="T16" s="702"/>
      <c r="U16" s="703"/>
      <c r="V16" s="702"/>
      <c r="W16" s="703"/>
      <c r="X16" s="1352"/>
      <c r="Y16" s="3712"/>
      <c r="Z16" s="1353"/>
      <c r="AA16" s="1350">
        <v>1</v>
      </c>
      <c r="AB16" s="1350">
        <v>1</v>
      </c>
      <c r="AC16" s="1350">
        <v>1</v>
      </c>
    </row>
    <row r="17" spans="1:29" ht="71.2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v>5</v>
      </c>
      <c r="L17" s="920"/>
      <c r="M17" s="911"/>
      <c r="N17" s="911"/>
      <c r="O17" s="919"/>
      <c r="P17" s="3712"/>
      <c r="Q17" s="1349" t="str">
        <f>B17</f>
        <v>交通便捷度</v>
      </c>
      <c r="R17" s="702" t="s">
        <v>14</v>
      </c>
      <c r="S17" s="703">
        <f>F17</f>
        <v>100</v>
      </c>
      <c r="T17" s="702" t="s">
        <v>14</v>
      </c>
      <c r="U17" s="703">
        <f>H17</f>
        <v>100</v>
      </c>
      <c r="V17" s="702" t="s">
        <v>14</v>
      </c>
      <c r="W17" s="703">
        <f>J17</f>
        <v>100</v>
      </c>
      <c r="X17" s="1352"/>
      <c r="Y17" s="3712"/>
      <c r="Z17" s="1353" t="str">
        <f>Q17</f>
        <v>交通便捷度</v>
      </c>
      <c r="AA17" s="1350">
        <f t="shared" si="3"/>
        <v>1</v>
      </c>
      <c r="AB17" s="1350">
        <f t="shared" si="4"/>
        <v>1</v>
      </c>
      <c r="AC17" s="1350">
        <f t="shared" si="5"/>
        <v>1</v>
      </c>
    </row>
    <row r="18" spans="1:29" ht="15">
      <c r="A18" s="377"/>
      <c r="B18" s="405"/>
      <c r="C18" s="1898" t="s">
        <v>3418</v>
      </c>
      <c r="D18" s="399"/>
      <c r="E18" s="1898" t="s">
        <v>3418</v>
      </c>
      <c r="F18" s="402"/>
      <c r="G18" s="1898" t="s">
        <v>3418</v>
      </c>
      <c r="H18" s="397"/>
      <c r="I18" s="1898" t="s">
        <v>3418</v>
      </c>
      <c r="J18" s="397"/>
      <c r="K18" s="562"/>
      <c r="L18" s="920"/>
      <c r="M18" s="911"/>
      <c r="N18" s="911"/>
      <c r="O18" s="919"/>
      <c r="P18" s="3712"/>
      <c r="Q18" s="1349"/>
      <c r="R18" s="702"/>
      <c r="S18" s="703"/>
      <c r="T18" s="702"/>
      <c r="U18" s="703"/>
      <c r="V18" s="702"/>
      <c r="W18" s="703"/>
      <c r="X18" s="1352"/>
      <c r="Y18" s="3712"/>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v>5</v>
      </c>
      <c r="L19" s="920"/>
      <c r="M19" s="911"/>
      <c r="N19" s="911"/>
      <c r="O19" s="919"/>
      <c r="P19" s="3712"/>
      <c r="Q19" s="1349" t="str">
        <f>B19</f>
        <v>公共配套设施</v>
      </c>
      <c r="R19" s="702" t="s">
        <v>14</v>
      </c>
      <c r="S19" s="703">
        <f>F19</f>
        <v>100</v>
      </c>
      <c r="T19" s="702" t="s">
        <v>14</v>
      </c>
      <c r="U19" s="703">
        <f>H19</f>
        <v>100</v>
      </c>
      <c r="V19" s="702" t="s">
        <v>14</v>
      </c>
      <c r="W19" s="703">
        <f>J19</f>
        <v>100</v>
      </c>
      <c r="X19" s="1352"/>
      <c r="Y19" s="3712"/>
      <c r="Z19" s="1353" t="str">
        <f>Q19</f>
        <v>公共配套设施</v>
      </c>
      <c r="AA19" s="1350">
        <f t="shared" si="3"/>
        <v>1</v>
      </c>
      <c r="AB19" s="1350">
        <f t="shared" si="4"/>
        <v>1</v>
      </c>
      <c r="AC19" s="1350">
        <f t="shared" si="5"/>
        <v>1</v>
      </c>
    </row>
    <row r="20" spans="1:29" ht="15">
      <c r="A20" s="377"/>
      <c r="B20" s="405"/>
      <c r="C20" s="396" t="s">
        <v>3418</v>
      </c>
      <c r="D20" s="397"/>
      <c r="E20" s="396" t="s">
        <v>3418</v>
      </c>
      <c r="F20" s="398"/>
      <c r="G20" s="396" t="s">
        <v>3418</v>
      </c>
      <c r="H20" s="397"/>
      <c r="I20" s="396" t="s">
        <v>3418</v>
      </c>
      <c r="J20" s="397"/>
      <c r="K20" s="562"/>
      <c r="L20" s="920"/>
      <c r="M20" s="911"/>
      <c r="N20" s="911"/>
      <c r="O20" s="919"/>
      <c r="P20" s="3712"/>
      <c r="Q20" s="1349"/>
      <c r="R20" s="702"/>
      <c r="S20" s="703"/>
      <c r="T20" s="702"/>
      <c r="U20" s="703"/>
      <c r="V20" s="702"/>
      <c r="W20" s="703"/>
      <c r="X20" s="1352"/>
      <c r="Y20" s="3712"/>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v>1</v>
      </c>
      <c r="L21" s="920"/>
      <c r="M21" s="911"/>
      <c r="N21" s="911"/>
      <c r="O21" s="919"/>
      <c r="P21" s="3712"/>
      <c r="Q21" s="1349" t="str">
        <f>B21</f>
        <v>基础设施水平</v>
      </c>
      <c r="R21" s="702" t="s">
        <v>14</v>
      </c>
      <c r="S21" s="703">
        <f>F21</f>
        <v>100</v>
      </c>
      <c r="T21" s="702" t="s">
        <v>14</v>
      </c>
      <c r="U21" s="703">
        <f>H21</f>
        <v>100</v>
      </c>
      <c r="V21" s="702" t="s">
        <v>14</v>
      </c>
      <c r="W21" s="703">
        <f>J21</f>
        <v>100</v>
      </c>
      <c r="X21" s="1352"/>
      <c r="Y21" s="3712"/>
      <c r="Z21" s="1353" t="str">
        <f>Q21</f>
        <v>基础设施水平</v>
      </c>
      <c r="AA21" s="1350">
        <f t="shared" ref="AA21" si="8">D21/F21</f>
        <v>1</v>
      </c>
      <c r="AB21" s="1350">
        <f t="shared" ref="AB21" si="9">D21/H21</f>
        <v>1</v>
      </c>
      <c r="AC21" s="1350">
        <f t="shared" ref="AC21" si="10">D21/J21</f>
        <v>1</v>
      </c>
    </row>
    <row r="22" spans="1:29" ht="15">
      <c r="A22" s="377"/>
      <c r="B22" s="1128"/>
      <c r="C22" s="1898" t="s">
        <v>3536</v>
      </c>
      <c r="D22" s="397"/>
      <c r="E22" s="1898" t="s">
        <v>3536</v>
      </c>
      <c r="F22" s="398"/>
      <c r="G22" s="1898" t="s">
        <v>3536</v>
      </c>
      <c r="H22" s="397"/>
      <c r="I22" s="1898" t="s">
        <v>3536</v>
      </c>
      <c r="J22" s="397"/>
      <c r="K22" s="1127"/>
      <c r="L22" s="920"/>
      <c r="M22" s="911"/>
      <c r="N22" s="911"/>
      <c r="O22" s="919"/>
      <c r="P22" s="3712"/>
      <c r="Q22" s="1349"/>
      <c r="R22" s="702"/>
      <c r="S22" s="703"/>
      <c r="T22" s="702"/>
      <c r="U22" s="703"/>
      <c r="V22" s="702"/>
      <c r="W22" s="703"/>
      <c r="X22" s="1352"/>
      <c r="Y22" s="3712"/>
      <c r="Z22" s="1353"/>
      <c r="AA22" s="1350">
        <v>1</v>
      </c>
      <c r="AB22" s="1350">
        <v>1</v>
      </c>
      <c r="AC22" s="1350">
        <v>1</v>
      </c>
    </row>
    <row r="23" spans="1:29" ht="57">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v>5</v>
      </c>
      <c r="L23" s="920"/>
      <c r="M23" s="911"/>
      <c r="N23" s="911"/>
      <c r="O23" s="919"/>
      <c r="P23" s="3712"/>
      <c r="Q23" s="1349" t="str">
        <f>B23</f>
        <v>环境质量</v>
      </c>
      <c r="R23" s="702" t="s">
        <v>14</v>
      </c>
      <c r="S23" s="703">
        <f>F23</f>
        <v>100</v>
      </c>
      <c r="T23" s="702" t="s">
        <v>14</v>
      </c>
      <c r="U23" s="703">
        <f>H23</f>
        <v>100</v>
      </c>
      <c r="V23" s="702" t="s">
        <v>14</v>
      </c>
      <c r="W23" s="703">
        <f>J23</f>
        <v>100</v>
      </c>
      <c r="X23" s="1352"/>
      <c r="Y23" s="3712"/>
      <c r="Z23" s="1353" t="str">
        <f>Q23</f>
        <v>环境质量</v>
      </c>
      <c r="AA23" s="1350">
        <f t="shared" si="3"/>
        <v>1</v>
      </c>
      <c r="AB23" s="1350">
        <f t="shared" si="4"/>
        <v>1</v>
      </c>
      <c r="AC23" s="1350">
        <f t="shared" si="5"/>
        <v>1</v>
      </c>
    </row>
    <row r="24" spans="1:29" ht="15.75" thickBot="1">
      <c r="A24" s="377"/>
      <c r="B24" s="1128"/>
      <c r="C24" s="396" t="s">
        <v>3418</v>
      </c>
      <c r="D24" s="397"/>
      <c r="E24" s="396" t="s">
        <v>3418</v>
      </c>
      <c r="F24" s="398"/>
      <c r="G24" s="396" t="s">
        <v>3418</v>
      </c>
      <c r="H24" s="397"/>
      <c r="I24" s="396" t="s">
        <v>3418</v>
      </c>
      <c r="J24" s="397"/>
      <c r="K24" s="562"/>
      <c r="L24" s="920"/>
      <c r="M24" s="911"/>
      <c r="N24" s="911"/>
      <c r="O24" s="919"/>
      <c r="P24" s="3712"/>
      <c r="Q24" s="1349"/>
      <c r="R24" s="702"/>
      <c r="S24" s="703"/>
      <c r="T24" s="702"/>
      <c r="U24" s="703"/>
      <c r="V24" s="702"/>
      <c r="W24" s="703"/>
      <c r="X24" s="1352"/>
      <c r="Y24" s="3712"/>
      <c r="Z24" s="1353"/>
      <c r="AA24" s="1350">
        <v>1</v>
      </c>
      <c r="AB24" s="1350">
        <v>1</v>
      </c>
      <c r="AC24" s="1350">
        <v>1</v>
      </c>
    </row>
    <row r="25" spans="1:29" ht="15" hidden="1">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712"/>
      <c r="Q25" s="1349">
        <f>B25</f>
        <v>111</v>
      </c>
      <c r="R25" s="702" t="s">
        <v>14</v>
      </c>
      <c r="S25" s="703">
        <f>F25</f>
        <v>100</v>
      </c>
      <c r="T25" s="702" t="s">
        <v>14</v>
      </c>
      <c r="U25" s="703">
        <f>H25</f>
        <v>100</v>
      </c>
      <c r="V25" s="702" t="s">
        <v>14</v>
      </c>
      <c r="W25" s="703">
        <f>J25</f>
        <v>100</v>
      </c>
      <c r="X25" s="1352"/>
      <c r="Y25" s="3712"/>
      <c r="Z25" s="1353">
        <f>Q25</f>
        <v>111</v>
      </c>
      <c r="AA25" s="1350">
        <f t="shared" si="3"/>
        <v>1</v>
      </c>
      <c r="AB25" s="1350">
        <f t="shared" si="4"/>
        <v>1</v>
      </c>
      <c r="AC25" s="1350">
        <f t="shared" si="5"/>
        <v>1</v>
      </c>
    </row>
    <row r="26" spans="1:29" ht="15" hidden="1">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712"/>
      <c r="Q26" s="1349">
        <f t="shared" ref="Q26:Q40" si="11">B26</f>
        <v>111</v>
      </c>
      <c r="R26" s="702" t="s">
        <v>14</v>
      </c>
      <c r="S26" s="703">
        <f>F26</f>
        <v>100</v>
      </c>
      <c r="T26" s="702" t="s">
        <v>14</v>
      </c>
      <c r="U26" s="703">
        <f>H26</f>
        <v>100</v>
      </c>
      <c r="V26" s="702" t="s">
        <v>14</v>
      </c>
      <c r="W26" s="703">
        <f>J26</f>
        <v>100</v>
      </c>
      <c r="X26" s="1352"/>
      <c r="Y26" s="3712"/>
      <c r="Z26" s="1353">
        <f>Q26</f>
        <v>111</v>
      </c>
      <c r="AA26" s="1350">
        <f t="shared" si="3"/>
        <v>1</v>
      </c>
      <c r="AB26" s="1350">
        <f t="shared" si="4"/>
        <v>1</v>
      </c>
      <c r="AC26" s="1350">
        <f t="shared" si="5"/>
        <v>1</v>
      </c>
    </row>
    <row r="27" spans="1:29" s="108" customFormat="1" ht="15" hidden="1">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712"/>
      <c r="Q27" s="1340">
        <f t="shared" si="11"/>
        <v>111</v>
      </c>
      <c r="R27" s="698" t="s">
        <v>14</v>
      </c>
      <c r="S27" s="699">
        <f>F27</f>
        <v>100</v>
      </c>
      <c r="T27" s="698" t="s">
        <v>14</v>
      </c>
      <c r="U27" s="699">
        <f>H27</f>
        <v>100</v>
      </c>
      <c r="V27" s="698" t="s">
        <v>14</v>
      </c>
      <c r="W27" s="699">
        <f>J27</f>
        <v>100</v>
      </c>
      <c r="X27" s="700"/>
      <c r="Y27" s="3712"/>
      <c r="Z27" s="52">
        <f>Q27</f>
        <v>111</v>
      </c>
      <c r="AA27" s="1350">
        <f>D27/F27</f>
        <v>1</v>
      </c>
      <c r="AB27" s="1350">
        <f>D27/H27</f>
        <v>1</v>
      </c>
      <c r="AC27" s="1350">
        <f>D27/J27</f>
        <v>1</v>
      </c>
    </row>
    <row r="28" spans="1:29" ht="15.75" hidden="1"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712"/>
      <c r="Q28" s="1349">
        <f t="shared" si="11"/>
        <v>111</v>
      </c>
      <c r="R28" s="702" t="s">
        <v>14</v>
      </c>
      <c r="S28" s="703">
        <f t="shared" ref="S28:S40" si="12">F28</f>
        <v>100</v>
      </c>
      <c r="T28" s="702" t="s">
        <v>14</v>
      </c>
      <c r="U28" s="703">
        <f t="shared" ref="U28:U40" si="13">H28</f>
        <v>100</v>
      </c>
      <c r="V28" s="702" t="s">
        <v>14</v>
      </c>
      <c r="W28" s="703">
        <f t="shared" ref="W28:W40" si="14">J28</f>
        <v>100</v>
      </c>
      <c r="X28" s="1352"/>
      <c r="Y28" s="3712"/>
      <c r="Z28" s="1353">
        <f t="shared" ref="Z28:Z40" si="15">Q28</f>
        <v>111</v>
      </c>
      <c r="AA28" s="1350">
        <f t="shared" si="3"/>
        <v>1</v>
      </c>
      <c r="AB28" s="1350">
        <f t="shared" si="4"/>
        <v>1</v>
      </c>
      <c r="AC28" s="1350">
        <f t="shared" si="5"/>
        <v>1</v>
      </c>
    </row>
    <row r="29" spans="1:29" ht="28.5">
      <c r="A29" s="415" t="s">
        <v>1694</v>
      </c>
      <c r="B29" s="63" t="s">
        <v>1817</v>
      </c>
      <c r="C29" s="1964" t="s">
        <v>3522</v>
      </c>
      <c r="D29" s="416">
        <v>100</v>
      </c>
      <c r="E29" s="1964" t="s">
        <v>3522</v>
      </c>
      <c r="F29" s="410">
        <f>SUMIF(88:88,E29,89:89)-SUMIF(88:88,C29,89:89)+100</f>
        <v>100</v>
      </c>
      <c r="G29" s="1964" t="s">
        <v>3522</v>
      </c>
      <c r="H29" s="384">
        <f>SUMIF(88:88,G29,89:89)-SUMIF(88:88,C29,89:89)+100</f>
        <v>100</v>
      </c>
      <c r="I29" s="1964" t="s">
        <v>3522</v>
      </c>
      <c r="J29" s="416">
        <f>SUMIF(88:88,I29,89:89)-SUMIF(88:88,C29,89:89)+100</f>
        <v>100</v>
      </c>
      <c r="K29" s="559">
        <v>5</v>
      </c>
      <c r="L29" s="920"/>
      <c r="M29" s="911"/>
      <c r="N29" s="911"/>
      <c r="O29" s="919"/>
      <c r="P29" s="3713" t="s">
        <v>1696</v>
      </c>
      <c r="Q29" s="1349" t="str">
        <f t="shared" si="11"/>
        <v>建筑类型</v>
      </c>
      <c r="R29" s="702" t="s">
        <v>14</v>
      </c>
      <c r="S29" s="703">
        <f t="shared" si="12"/>
        <v>100</v>
      </c>
      <c r="T29" s="702" t="s">
        <v>14</v>
      </c>
      <c r="U29" s="703">
        <f t="shared" si="13"/>
        <v>100</v>
      </c>
      <c r="V29" s="702" t="s">
        <v>14</v>
      </c>
      <c r="W29" s="703">
        <f t="shared" si="14"/>
        <v>100</v>
      </c>
      <c r="X29" s="1352"/>
      <c r="Y29" s="3714" t="s">
        <v>1696</v>
      </c>
      <c r="Z29" s="1353" t="str">
        <f t="shared" si="15"/>
        <v>建筑类型</v>
      </c>
      <c r="AA29" s="1350">
        <f t="shared" si="3"/>
        <v>1</v>
      </c>
      <c r="AB29" s="1350">
        <f t="shared" si="4"/>
        <v>1</v>
      </c>
      <c r="AC29" s="1350">
        <f t="shared" si="5"/>
        <v>1</v>
      </c>
    </row>
    <row r="30" spans="1:29" s="420" customFormat="1" ht="15">
      <c r="A30" s="417"/>
      <c r="B30" s="373" t="s">
        <v>1697</v>
      </c>
      <c r="C30" s="418">
        <f>'数据-汇总表'!F19</f>
        <v>47667.279999999977</v>
      </c>
      <c r="D30" s="125">
        <v>100</v>
      </c>
      <c r="E30" s="379">
        <f>大宗案例!J20</f>
        <v>66987.539999999994</v>
      </c>
      <c r="F30" s="374">
        <f>LOOKUP(E30,91:91,92:92)-LOOKUP(C30,91:91,92:92)+100</f>
        <v>100</v>
      </c>
      <c r="G30" s="378">
        <f>大宗案例!J21</f>
        <v>11235.4</v>
      </c>
      <c r="H30" s="125">
        <f>LOOKUP(G30,91:91,92:92)-LOOKUP(C30,91:91,92:92)+100</f>
        <v>102</v>
      </c>
      <c r="I30" s="378">
        <f>大宗案例!J22</f>
        <v>11235.4</v>
      </c>
      <c r="J30" s="125">
        <f>LOOKUP(I30,91:91,92:92)-LOOKUP(C30,91:91,92:92)+100</f>
        <v>102</v>
      </c>
      <c r="K30" s="560"/>
      <c r="L30" s="918"/>
      <c r="M30" s="921"/>
      <c r="N30" s="921"/>
      <c r="O30" s="922"/>
      <c r="P30" s="3714"/>
      <c r="Q30" s="704" t="str">
        <f t="shared" si="11"/>
        <v>项目建筑规模</v>
      </c>
      <c r="R30" s="705" t="s">
        <v>14</v>
      </c>
      <c r="S30" s="706">
        <f t="shared" si="12"/>
        <v>100</v>
      </c>
      <c r="T30" s="705" t="s">
        <v>14</v>
      </c>
      <c r="U30" s="706">
        <f t="shared" si="13"/>
        <v>102</v>
      </c>
      <c r="V30" s="705" t="s">
        <v>14</v>
      </c>
      <c r="W30" s="706">
        <f t="shared" si="14"/>
        <v>102</v>
      </c>
      <c r="X30" s="707"/>
      <c r="Y30" s="3714"/>
      <c r="Z30" s="708" t="str">
        <f t="shared" si="15"/>
        <v>项目建筑规模</v>
      </c>
      <c r="AA30" s="1350">
        <f t="shared" si="3"/>
        <v>1</v>
      </c>
      <c r="AB30" s="1350">
        <f t="shared" si="4"/>
        <v>0.98039215686274506</v>
      </c>
      <c r="AC30" s="1350">
        <f t="shared" si="5"/>
        <v>0.98039215686274506</v>
      </c>
    </row>
    <row r="31" spans="1:29" ht="15">
      <c r="A31" s="421"/>
      <c r="B31" s="373" t="s">
        <v>1698</v>
      </c>
      <c r="C31" s="409" t="s">
        <v>3405</v>
      </c>
      <c r="D31" s="384">
        <v>100</v>
      </c>
      <c r="E31" s="409" t="s">
        <v>3405</v>
      </c>
      <c r="F31" s="410">
        <f>SUMIF(93:93,E31,94:94)-SUMIF(93:93,C31,94:94)+100</f>
        <v>100</v>
      </c>
      <c r="G31" s="409" t="s">
        <v>3405</v>
      </c>
      <c r="H31" s="384">
        <f>SUMIF(93:93,G31,94:94)-SUMIF(93:93,C31,94:94)+100</f>
        <v>100</v>
      </c>
      <c r="I31" s="409" t="s">
        <v>3405</v>
      </c>
      <c r="J31" s="384">
        <f>SUMIF(93:93,I31,94:94)-SUMIF(93:93,C31,94:94)+100</f>
        <v>100</v>
      </c>
      <c r="K31" s="559">
        <v>2</v>
      </c>
      <c r="L31" s="920"/>
      <c r="M31" s="911"/>
      <c r="N31" s="911"/>
      <c r="O31" s="919"/>
      <c r="P31" s="3714"/>
      <c r="Q31" s="1349" t="str">
        <f t="shared" si="11"/>
        <v>建筑结构</v>
      </c>
      <c r="R31" s="702" t="s">
        <v>14</v>
      </c>
      <c r="S31" s="703">
        <f t="shared" si="12"/>
        <v>100</v>
      </c>
      <c r="T31" s="702" t="s">
        <v>14</v>
      </c>
      <c r="U31" s="703">
        <f t="shared" si="13"/>
        <v>100</v>
      </c>
      <c r="V31" s="702" t="s">
        <v>14</v>
      </c>
      <c r="W31" s="703">
        <f t="shared" si="14"/>
        <v>100</v>
      </c>
      <c r="X31" s="1352"/>
      <c r="Y31" s="3714"/>
      <c r="Z31" s="1353" t="str">
        <f t="shared" si="15"/>
        <v>建筑结构</v>
      </c>
      <c r="AA31" s="1350">
        <f t="shared" si="3"/>
        <v>1</v>
      </c>
      <c r="AB31" s="1350">
        <f t="shared" si="4"/>
        <v>1</v>
      </c>
      <c r="AC31" s="1350">
        <f t="shared" si="5"/>
        <v>1</v>
      </c>
    </row>
    <row r="32" spans="1:29" ht="15">
      <c r="A32" s="421"/>
      <c r="B32" s="373" t="s">
        <v>1785</v>
      </c>
      <c r="C32" s="409" t="s">
        <v>3524</v>
      </c>
      <c r="D32" s="384">
        <v>100</v>
      </c>
      <c r="E32" s="409" t="s">
        <v>3524</v>
      </c>
      <c r="F32" s="410">
        <f>SUMIF(95:95,E32,96:96)-SUMIF(95:95,C32,96:96)+100</f>
        <v>100</v>
      </c>
      <c r="G32" s="409" t="s">
        <v>3524</v>
      </c>
      <c r="H32" s="384">
        <f>SUMIF(95:95,G32,96:96)-SUMIF(95:95,C32,96:96)+100</f>
        <v>100</v>
      </c>
      <c r="I32" s="409" t="s">
        <v>3524</v>
      </c>
      <c r="J32" s="384">
        <f>SUMIF(95:95,I32,96:96)-SUMIF(95:95,C32,96:96)+100</f>
        <v>100</v>
      </c>
      <c r="K32" s="559">
        <v>2</v>
      </c>
      <c r="L32" s="920"/>
      <c r="M32" s="911"/>
      <c r="N32" s="911"/>
      <c r="O32" s="919"/>
      <c r="P32" s="3714"/>
      <c r="Q32" s="1349" t="str">
        <f t="shared" si="11"/>
        <v>公共部分装修</v>
      </c>
      <c r="R32" s="702" t="s">
        <v>14</v>
      </c>
      <c r="S32" s="703">
        <f t="shared" si="12"/>
        <v>100</v>
      </c>
      <c r="T32" s="702" t="s">
        <v>14</v>
      </c>
      <c r="U32" s="703">
        <f t="shared" si="13"/>
        <v>100</v>
      </c>
      <c r="V32" s="702" t="s">
        <v>14</v>
      </c>
      <c r="W32" s="703">
        <f t="shared" si="14"/>
        <v>100</v>
      </c>
      <c r="X32" s="1352"/>
      <c r="Y32" s="3714"/>
      <c r="Z32" s="1353" t="str">
        <f t="shared" si="15"/>
        <v>公共部分装修</v>
      </c>
      <c r="AA32" s="1350">
        <f t="shared" si="3"/>
        <v>1</v>
      </c>
      <c r="AB32" s="1350">
        <f t="shared" si="4"/>
        <v>1</v>
      </c>
      <c r="AC32" s="1350">
        <f t="shared" si="5"/>
        <v>1</v>
      </c>
    </row>
    <row r="33" spans="1:29" ht="15">
      <c r="A33" s="421"/>
      <c r="B33" s="373" t="s">
        <v>1786</v>
      </c>
      <c r="C33" s="3501">
        <f>'数据-取费表'!N6</f>
        <v>0.87</v>
      </c>
      <c r="D33" s="384">
        <v>100</v>
      </c>
      <c r="E33" s="3502">
        <v>0.97</v>
      </c>
      <c r="F33" s="410">
        <f>LOOKUP(E33,98:98,99:99)-LOOKUP(C33,98:98,99:99)+100</f>
        <v>102</v>
      </c>
      <c r="G33" s="423">
        <v>0.95</v>
      </c>
      <c r="H33" s="410">
        <f>LOOKUP(G33,98:98,99:99)-LOOKUP(C33,98:98,99:99)+100</f>
        <v>102</v>
      </c>
      <c r="I33" s="423">
        <v>0.95</v>
      </c>
      <c r="J33" s="384">
        <f>LOOKUP(I33,98:98,99:99)-LOOKUP(C33,98:98,99:99)+100</f>
        <v>102</v>
      </c>
      <c r="K33" s="559">
        <v>2</v>
      </c>
      <c r="L33" s="920"/>
      <c r="M33" s="911"/>
      <c r="N33" s="911"/>
      <c r="O33" s="919"/>
      <c r="P33" s="3714"/>
      <c r="Q33" s="1349" t="str">
        <f t="shared" si="11"/>
        <v>成新度</v>
      </c>
      <c r="R33" s="702" t="s">
        <v>14</v>
      </c>
      <c r="S33" s="703">
        <f t="shared" si="12"/>
        <v>102</v>
      </c>
      <c r="T33" s="702" t="s">
        <v>14</v>
      </c>
      <c r="U33" s="703">
        <f t="shared" si="13"/>
        <v>102</v>
      </c>
      <c r="V33" s="702" t="s">
        <v>14</v>
      </c>
      <c r="W33" s="703">
        <f t="shared" si="14"/>
        <v>102</v>
      </c>
      <c r="X33" s="1352"/>
      <c r="Y33" s="3714"/>
      <c r="Z33" s="1353" t="str">
        <f t="shared" si="15"/>
        <v>成新度</v>
      </c>
      <c r="AA33" s="1350">
        <f t="shared" si="3"/>
        <v>0.98039215686274506</v>
      </c>
      <c r="AB33" s="1350">
        <f t="shared" si="4"/>
        <v>0.98039215686274506</v>
      </c>
      <c r="AC33" s="1350">
        <f t="shared" si="5"/>
        <v>0.98039215686274506</v>
      </c>
    </row>
    <row r="34" spans="1:29" s="108" customFormat="1" ht="15">
      <c r="A34" s="422"/>
      <c r="B34" s="373" t="s">
        <v>1819</v>
      </c>
      <c r="C34" s="409" t="s">
        <v>3528</v>
      </c>
      <c r="D34" s="125">
        <v>100</v>
      </c>
      <c r="E34" s="409" t="s">
        <v>3528</v>
      </c>
      <c r="F34" s="410">
        <f>SUMIF(100:100,E34,101:101)-SUMIF(100:100,C34,101:101)+100</f>
        <v>100</v>
      </c>
      <c r="G34" s="409" t="s">
        <v>3528</v>
      </c>
      <c r="H34" s="384">
        <f>SUMIF(100:100,G34,101:101)-SUMIF(100:100,C34,101:101)+100</f>
        <v>100</v>
      </c>
      <c r="I34" s="409" t="s">
        <v>3528</v>
      </c>
      <c r="J34" s="384">
        <f>SUMIF(100:100,I34,101:101)-SUMIF(100:100,C34,101:101)+100</f>
        <v>100</v>
      </c>
      <c r="K34" s="559">
        <v>2</v>
      </c>
      <c r="L34" s="912"/>
      <c r="M34" s="913"/>
      <c r="N34" s="913"/>
      <c r="O34" s="914"/>
      <c r="P34" s="3714"/>
      <c r="Q34" s="1340" t="str">
        <f t="shared" si="11"/>
        <v>物业管理</v>
      </c>
      <c r="R34" s="698" t="s">
        <v>14</v>
      </c>
      <c r="S34" s="699">
        <f t="shared" si="12"/>
        <v>100</v>
      </c>
      <c r="T34" s="698" t="s">
        <v>14</v>
      </c>
      <c r="U34" s="699">
        <f t="shared" si="13"/>
        <v>100</v>
      </c>
      <c r="V34" s="698" t="s">
        <v>14</v>
      </c>
      <c r="W34" s="699">
        <f t="shared" si="14"/>
        <v>100</v>
      </c>
      <c r="X34" s="700"/>
      <c r="Y34" s="3714"/>
      <c r="Z34" s="52" t="str">
        <f t="shared" si="15"/>
        <v>物业管理</v>
      </c>
      <c r="AA34" s="701">
        <f t="shared" si="3"/>
        <v>1</v>
      </c>
      <c r="AB34" s="701">
        <f t="shared" si="4"/>
        <v>1</v>
      </c>
      <c r="AC34" s="701">
        <f t="shared" si="5"/>
        <v>1</v>
      </c>
    </row>
    <row r="35" spans="1:29" ht="15">
      <c r="A35" s="421"/>
      <c r="B35" s="373" t="s">
        <v>1787</v>
      </c>
      <c r="C35" s="409" t="s">
        <v>3530</v>
      </c>
      <c r="D35" s="384">
        <v>100</v>
      </c>
      <c r="E35" s="409" t="s">
        <v>3530</v>
      </c>
      <c r="F35" s="410">
        <f>SUMIF(102:102,E35,103:103)-SUMIF(102:102,C35,103:103)+100</f>
        <v>100</v>
      </c>
      <c r="G35" s="409" t="s">
        <v>3530</v>
      </c>
      <c r="H35" s="384">
        <f>SUMIF(102:102,G35,103:103)-SUMIF(102:102,C35,103:103)+100</f>
        <v>100</v>
      </c>
      <c r="I35" s="409" t="s">
        <v>3530</v>
      </c>
      <c r="J35" s="384">
        <f>SUMIF(102:102,I35,103:103)-SUMIF(102:102,C35,103:103)+100</f>
        <v>100</v>
      </c>
      <c r="K35" s="559">
        <v>1</v>
      </c>
      <c r="L35" s="920"/>
      <c r="M35" s="911"/>
      <c r="N35" s="911"/>
      <c r="O35" s="919"/>
      <c r="P35" s="3714" t="s">
        <v>1696</v>
      </c>
      <c r="Q35" s="1349" t="str">
        <f t="shared" si="11"/>
        <v>市政基础设施</v>
      </c>
      <c r="R35" s="702" t="s">
        <v>14</v>
      </c>
      <c r="S35" s="703">
        <f t="shared" si="12"/>
        <v>100</v>
      </c>
      <c r="T35" s="702" t="s">
        <v>14</v>
      </c>
      <c r="U35" s="703">
        <f t="shared" si="13"/>
        <v>100</v>
      </c>
      <c r="V35" s="702" t="s">
        <v>14</v>
      </c>
      <c r="W35" s="703">
        <f t="shared" si="14"/>
        <v>100</v>
      </c>
      <c r="X35" s="1352"/>
      <c r="Y35" s="3714" t="s">
        <v>1696</v>
      </c>
      <c r="Z35" s="1353" t="str">
        <f t="shared" si="15"/>
        <v>市政基础设施</v>
      </c>
      <c r="AA35" s="1350">
        <f t="shared" si="3"/>
        <v>1</v>
      </c>
      <c r="AB35" s="1350">
        <f t="shared" si="4"/>
        <v>1</v>
      </c>
      <c r="AC35" s="1350">
        <f t="shared" si="5"/>
        <v>1</v>
      </c>
    </row>
    <row r="36" spans="1:29" ht="15">
      <c r="A36" s="421"/>
      <c r="B36" s="373" t="s">
        <v>1792</v>
      </c>
      <c r="C36" s="409" t="s">
        <v>3525</v>
      </c>
      <c r="D36" s="384">
        <v>100</v>
      </c>
      <c r="E36" s="409" t="s">
        <v>3525</v>
      </c>
      <c r="F36" s="410">
        <f>SUMIF(104:104,E36,105:105)-SUMIF(104:104,C36,105:105)+100</f>
        <v>100</v>
      </c>
      <c r="G36" s="409" t="s">
        <v>3525</v>
      </c>
      <c r="H36" s="384">
        <f>SUMIF(104:104,G36,105:105)-SUMIF(104:104,C36,105:105)+100</f>
        <v>100</v>
      </c>
      <c r="I36" s="409" t="s">
        <v>3525</v>
      </c>
      <c r="J36" s="384">
        <f>SUMIF(104:104,I36,105:105)-SUMIF(104:104,C36,105:105)+100</f>
        <v>100</v>
      </c>
      <c r="K36" s="559">
        <v>2</v>
      </c>
      <c r="L36" s="920"/>
      <c r="M36" s="911"/>
      <c r="N36" s="911"/>
      <c r="O36" s="919"/>
      <c r="P36" s="3714"/>
      <c r="Q36" s="1349" t="str">
        <f t="shared" si="11"/>
        <v>内部装修</v>
      </c>
      <c r="R36" s="702" t="s">
        <v>14</v>
      </c>
      <c r="S36" s="703">
        <f t="shared" si="12"/>
        <v>100</v>
      </c>
      <c r="T36" s="702" t="s">
        <v>14</v>
      </c>
      <c r="U36" s="703">
        <f t="shared" si="13"/>
        <v>100</v>
      </c>
      <c r="V36" s="702" t="s">
        <v>14</v>
      </c>
      <c r="W36" s="703">
        <f t="shared" si="14"/>
        <v>100</v>
      </c>
      <c r="X36" s="1352"/>
      <c r="Y36" s="3714"/>
      <c r="Z36" s="1353" t="str">
        <f t="shared" si="15"/>
        <v>内部装修</v>
      </c>
      <c r="AA36" s="1350">
        <f t="shared" si="3"/>
        <v>1</v>
      </c>
      <c r="AB36" s="1350">
        <f t="shared" si="4"/>
        <v>1</v>
      </c>
      <c r="AC36" s="1350">
        <f t="shared" si="5"/>
        <v>1</v>
      </c>
    </row>
    <row r="37" spans="1:29" ht="15">
      <c r="A37" s="421"/>
      <c r="B37" s="373" t="s">
        <v>1828</v>
      </c>
      <c r="C37" s="563" t="s">
        <v>3418</v>
      </c>
      <c r="D37" s="384">
        <v>100</v>
      </c>
      <c r="E37" s="563" t="s">
        <v>3418</v>
      </c>
      <c r="F37" s="410">
        <f>SUMIF(106:106,E37,107:107)-SUMIF(106:106,C37,107:107)+100</f>
        <v>100</v>
      </c>
      <c r="G37" s="563" t="s">
        <v>3418</v>
      </c>
      <c r="H37" s="384">
        <f>SUMIF(106:106,G37,107:107)-SUMIF(106:106,C37,107:107)+100</f>
        <v>100</v>
      </c>
      <c r="I37" s="563" t="s">
        <v>3418</v>
      </c>
      <c r="J37" s="384">
        <f>SUMIF(106:106,I37,107:107)-SUMIF(106:106,C37,107:107)+100</f>
        <v>100</v>
      </c>
      <c r="K37" s="559">
        <v>2</v>
      </c>
      <c r="L37" s="920"/>
      <c r="M37" s="911"/>
      <c r="N37" s="911"/>
      <c r="O37" s="919"/>
      <c r="P37" s="3714"/>
      <c r="Q37" s="1349" t="str">
        <f t="shared" si="11"/>
        <v>内部装修状况</v>
      </c>
      <c r="R37" s="702" t="s">
        <v>14</v>
      </c>
      <c r="S37" s="703">
        <f t="shared" si="12"/>
        <v>100</v>
      </c>
      <c r="T37" s="702" t="s">
        <v>14</v>
      </c>
      <c r="U37" s="703">
        <f t="shared" si="13"/>
        <v>100</v>
      </c>
      <c r="V37" s="702" t="s">
        <v>14</v>
      </c>
      <c r="W37" s="703">
        <f t="shared" si="14"/>
        <v>100</v>
      </c>
      <c r="X37" s="1352"/>
      <c r="Y37" s="3714"/>
      <c r="Z37" s="1353" t="str">
        <f t="shared" si="15"/>
        <v>内部装修状况</v>
      </c>
      <c r="AA37" s="1350">
        <f t="shared" si="3"/>
        <v>1</v>
      </c>
      <c r="AB37" s="1350">
        <f t="shared" si="4"/>
        <v>1</v>
      </c>
      <c r="AC37" s="1350">
        <f t="shared" si="5"/>
        <v>1</v>
      </c>
    </row>
    <row r="38" spans="1:29" s="420" customFormat="1" ht="15.75" thickBot="1">
      <c r="A38" s="417"/>
      <c r="B38" s="3480" t="s">
        <v>3531</v>
      </c>
      <c r="C38" s="418">
        <f>ROUND('数据-汇总表'!G31/'数据-汇总表'!E3,2)</f>
        <v>0.15</v>
      </c>
      <c r="D38" s="384">
        <v>100</v>
      </c>
      <c r="E38" s="383">
        <v>0</v>
      </c>
      <c r="F38" s="410">
        <f>SUMIF(108:108,E38,109:109)-SUMIF(108:108,C38,109:109)+100</f>
        <v>112</v>
      </c>
      <c r="G38" s="418">
        <v>0</v>
      </c>
      <c r="H38" s="384">
        <f>SUMIF(108:108,G38,109:109)-SUMIF(108:108,C38,109:109)+100</f>
        <v>112</v>
      </c>
      <c r="I38" s="418">
        <v>0</v>
      </c>
      <c r="J38" s="384">
        <f>SUMIF(108:108,I38,109:1038)-SUMIF(108:108,C38,109:109)+100</f>
        <v>112</v>
      </c>
      <c r="K38" s="560"/>
      <c r="L38" s="3500">
        <f>'数据-基础表'!I13</f>
        <v>47667.279999999977</v>
      </c>
      <c r="M38" s="921">
        <v>38000</v>
      </c>
      <c r="N38" s="921">
        <f>(L38*M38+L41*M41)/L38</f>
        <v>39374.794618027292</v>
      </c>
      <c r="O38" s="922">
        <f>N38/M38</f>
        <v>1.0361788057375603</v>
      </c>
      <c r="P38" s="3714"/>
      <c r="Q38" s="704" t="str">
        <f t="shared" si="11"/>
        <v>地下占比</v>
      </c>
      <c r="R38" s="705" t="s">
        <v>14</v>
      </c>
      <c r="S38" s="706">
        <f t="shared" si="12"/>
        <v>112</v>
      </c>
      <c r="T38" s="705" t="s">
        <v>14</v>
      </c>
      <c r="U38" s="706">
        <f t="shared" si="13"/>
        <v>112</v>
      </c>
      <c r="V38" s="705" t="s">
        <v>14</v>
      </c>
      <c r="W38" s="706">
        <f t="shared" si="14"/>
        <v>112</v>
      </c>
      <c r="X38" s="707"/>
      <c r="Y38" s="3714"/>
      <c r="Z38" s="708" t="str">
        <f t="shared" si="15"/>
        <v>地下占比</v>
      </c>
      <c r="AA38" s="1350">
        <f t="shared" si="3"/>
        <v>0.8928571428571429</v>
      </c>
      <c r="AB38" s="1350">
        <f t="shared" si="4"/>
        <v>0.8928571428571429</v>
      </c>
      <c r="AC38" s="1350">
        <f t="shared" si="5"/>
        <v>0.8928571428571429</v>
      </c>
    </row>
    <row r="39" spans="1:29" ht="15" hidden="1">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714"/>
      <c r="Q39" s="1349">
        <f t="shared" si="11"/>
        <v>111</v>
      </c>
      <c r="R39" s="702" t="s">
        <v>14</v>
      </c>
      <c r="S39" s="703">
        <f t="shared" si="12"/>
        <v>100</v>
      </c>
      <c r="T39" s="702" t="s">
        <v>14</v>
      </c>
      <c r="U39" s="703">
        <f t="shared" si="13"/>
        <v>100</v>
      </c>
      <c r="V39" s="702" t="s">
        <v>14</v>
      </c>
      <c r="W39" s="703">
        <f t="shared" si="14"/>
        <v>100</v>
      </c>
      <c r="X39" s="1352"/>
      <c r="Y39" s="3714"/>
      <c r="Z39" s="1353">
        <f t="shared" si="15"/>
        <v>111</v>
      </c>
      <c r="AA39" s="1350">
        <f t="shared" si="3"/>
        <v>1</v>
      </c>
      <c r="AB39" s="1350">
        <f t="shared" si="4"/>
        <v>1</v>
      </c>
      <c r="AC39" s="1350">
        <f t="shared" si="5"/>
        <v>1</v>
      </c>
    </row>
    <row r="40" spans="1:29" ht="15.75" hidden="1"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715"/>
      <c r="Q40" s="1349">
        <f t="shared" si="11"/>
        <v>111</v>
      </c>
      <c r="R40" s="702" t="s">
        <v>14</v>
      </c>
      <c r="S40" s="703">
        <f t="shared" si="12"/>
        <v>100</v>
      </c>
      <c r="T40" s="702" t="s">
        <v>14</v>
      </c>
      <c r="U40" s="703">
        <f t="shared" si="13"/>
        <v>100</v>
      </c>
      <c r="V40" s="702" t="s">
        <v>14</v>
      </c>
      <c r="W40" s="703">
        <f t="shared" si="14"/>
        <v>100</v>
      </c>
      <c r="X40" s="1352"/>
      <c r="Y40" s="3715"/>
      <c r="Z40" s="1353">
        <f t="shared" si="15"/>
        <v>111</v>
      </c>
      <c r="AA40" s="1350">
        <f t="shared" si="3"/>
        <v>1</v>
      </c>
      <c r="AB40" s="1350">
        <f t="shared" si="4"/>
        <v>1</v>
      </c>
      <c r="AC40" s="1350">
        <f t="shared" si="5"/>
        <v>1</v>
      </c>
    </row>
    <row r="41" spans="1:29" ht="15">
      <c r="A41" s="428" t="s">
        <v>1708</v>
      </c>
      <c r="B41" s="429"/>
      <c r="C41" s="1151" t="s">
        <v>0</v>
      </c>
      <c r="D41" s="1152"/>
      <c r="E41" s="1153">
        <f>大宗案例!N20</f>
        <v>40000</v>
      </c>
      <c r="F41" s="1154"/>
      <c r="G41" s="1155">
        <f>大宗案例!N21</f>
        <v>38000</v>
      </c>
      <c r="H41" s="1156"/>
      <c r="I41" s="1153">
        <f>大宗案例!N22</f>
        <v>38301</v>
      </c>
      <c r="J41" s="1156"/>
      <c r="K41" s="711"/>
      <c r="L41" s="3500">
        <f>'数据-基础表'!K13</f>
        <v>8191.59</v>
      </c>
      <c r="M41" s="924">
        <v>8000</v>
      </c>
      <c r="N41" s="911"/>
      <c r="O41" s="924"/>
      <c r="P41" s="3706" t="str">
        <f>A41</f>
        <v>成交单价（元/平方米）</v>
      </c>
      <c r="Q41" s="3706"/>
      <c r="R41" s="3707">
        <f>E41</f>
        <v>40000</v>
      </c>
      <c r="S41" s="3707"/>
      <c r="T41" s="3707">
        <f>G41</f>
        <v>38000</v>
      </c>
      <c r="U41" s="3707"/>
      <c r="V41" s="3707">
        <f>I41</f>
        <v>38301</v>
      </c>
      <c r="W41" s="3707"/>
      <c r="X41" s="687"/>
      <c r="Y41" s="709"/>
      <c r="Z41" s="687"/>
      <c r="AA41" s="687"/>
      <c r="AB41" s="687"/>
      <c r="AC41" s="687"/>
    </row>
    <row r="42" spans="1:29" ht="15.75" thickBot="1">
      <c r="A42" s="435" t="s">
        <v>1793</v>
      </c>
      <c r="B42" s="436"/>
      <c r="C42" s="1157">
        <f>R43</f>
        <v>33978</v>
      </c>
      <c r="D42" s="2314" t="s">
        <v>2138</v>
      </c>
      <c r="E42" s="1158">
        <f>R42</f>
        <v>35014</v>
      </c>
      <c r="F42" s="2315"/>
      <c r="G42" s="1157">
        <f>T42</f>
        <v>33328</v>
      </c>
      <c r="H42" s="2315"/>
      <c r="I42" s="1158">
        <f>V42</f>
        <v>33592</v>
      </c>
      <c r="J42" s="2315"/>
      <c r="K42" s="2317">
        <f>F42+H42+J42</f>
        <v>0</v>
      </c>
      <c r="L42" s="923"/>
      <c r="M42" s="924"/>
      <c r="N42" s="911"/>
      <c r="O42" s="924"/>
      <c r="P42" s="3706" t="str">
        <f>A42</f>
        <v>比较价值（元/平方米）</v>
      </c>
      <c r="Q42" s="3706"/>
      <c r="R42" s="3707">
        <f>IF(F1="售价",ROUND(PRODUCT(R41,AA7:AA40),0),ROUND(PRODUCT(R41,AA7:AA40),1))</f>
        <v>35014</v>
      </c>
      <c r="S42" s="3707"/>
      <c r="T42" s="3707">
        <f>IF(F1="售价",ROUND(PRODUCT(T41,AB7:AB40),0),ROUND(PRODUCT(T41,AB7:AB40),1))</f>
        <v>33328</v>
      </c>
      <c r="U42" s="3707"/>
      <c r="V42" s="3707">
        <f>IF(F1="售价",ROUND(PRODUCT(V41,AC7:AC40),0),ROUND(PRODUCT(V41,AC7:AC40),1))</f>
        <v>33592</v>
      </c>
      <c r="W42" s="3707"/>
      <c r="X42" s="687"/>
      <c r="Y42" s="687"/>
      <c r="Z42" s="687"/>
      <c r="AA42" s="687"/>
      <c r="AB42" s="687"/>
      <c r="AC42" s="687"/>
    </row>
    <row r="43" spans="1:29" ht="15.75" thickBot="1">
      <c r="A43" s="439" t="s">
        <v>1794</v>
      </c>
      <c r="B43" s="440"/>
      <c r="C43" s="1160">
        <f>R43</f>
        <v>33978</v>
      </c>
      <c r="D43" s="1160"/>
      <c r="E43" s="1160"/>
      <c r="F43" s="1160"/>
      <c r="G43" s="1160"/>
      <c r="H43" s="1160"/>
      <c r="I43" s="1160"/>
      <c r="J43" s="1160"/>
      <c r="K43" s="712"/>
      <c r="L43" s="923"/>
      <c r="M43" s="924">
        <f>(L38*M38+L41*M41)/D3</f>
        <v>33600.5608419934</v>
      </c>
      <c r="N43" s="924"/>
      <c r="O43" s="924"/>
      <c r="P43" s="3708" t="str">
        <f>A43</f>
        <v>估价对象XX用房的比较价值（楼面单价，元/平方米）</v>
      </c>
      <c r="Q43" s="3709"/>
      <c r="R43" s="3710">
        <f>IF(F1="售价",ROUND(IF(D42="简单平均",AVERAGE(R42:V42),R42*F42+T42*H42+V42*J42),0),ROUND(IF(D42="简单平均",AVERAGE(R42:V42),R42*F42+T42*H42+V42*J42),1))</f>
        <v>33978</v>
      </c>
      <c r="S43" s="3710"/>
      <c r="T43" s="3710"/>
      <c r="U43" s="3710"/>
      <c r="V43" s="3710"/>
      <c r="W43" s="3710"/>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f>M43/M38</f>
        <v>0.88422528531561573</v>
      </c>
      <c r="N45" s="924"/>
      <c r="O45" s="924"/>
    </row>
    <row r="46" spans="1:29" ht="13.5" customHeight="1">
      <c r="A46" s="2721"/>
      <c r="B46" s="2721"/>
      <c r="C46" s="444" t="s">
        <v>1795</v>
      </c>
      <c r="D46" s="445"/>
      <c r="E46" s="446">
        <f>IF(E41&lt;E42,E42/E41-1,E41/E42-1)</f>
        <v>0.14240018278402933</v>
      </c>
      <c r="F46" s="447" t="str">
        <f>IF(OR(E46&gt;=0.3,E46&lt;=-0.3),"超过30%","")</f>
        <v/>
      </c>
      <c r="G46" s="446">
        <f>IF(G41&lt;G42,G42/G41-1,G41/G42-1)</f>
        <v>0.14018242918867019</v>
      </c>
      <c r="H46" s="447" t="str">
        <f>IF(OR(G46&gt;=0.3,G46&lt;=-0.3),"超过30%","")</f>
        <v/>
      </c>
      <c r="I46" s="446">
        <f>IF(I41&lt;I42,I42/I41-1,I41/I42-1)</f>
        <v>0.14018218623481782</v>
      </c>
      <c r="J46" s="447" t="str">
        <f>IF(OR(I46&gt;=0.3,I46&lt;=-0.3),"超过30%","")</f>
        <v/>
      </c>
      <c r="K46" s="2726"/>
      <c r="L46" s="886"/>
      <c r="M46" s="924"/>
      <c r="N46" s="924"/>
      <c r="O46" s="924"/>
    </row>
    <row r="47" spans="1:29" ht="13.5" customHeight="1">
      <c r="A47" s="2721"/>
      <c r="B47" s="2721"/>
      <c r="C47" s="444" t="s">
        <v>1796</v>
      </c>
      <c r="D47" s="448"/>
      <c r="E47" s="446">
        <f>IF(E42&lt;G42,G42/E42-1,E42/G42-1)</f>
        <v>5.0588094095055158E-2</v>
      </c>
      <c r="F47" s="447" t="str">
        <f>IF(OR(E47&gt;=0.2,E47&lt;=-0.2),"超过20%","")</f>
        <v/>
      </c>
      <c r="G47" s="446">
        <f>IF(G42&lt;I42,I42/G42-1,G42/I42-1)</f>
        <v>7.9212674027844265E-3</v>
      </c>
      <c r="H47" s="447" t="str">
        <f>IF(OR(G47&gt;=0.2,G47&lt;=-0.2),"超过20%","")</f>
        <v/>
      </c>
      <c r="I47" s="446">
        <f>IF(I42&lt;E42,E42/I42-1,I42/E42-1)</f>
        <v>4.2331507501786048E-2</v>
      </c>
      <c r="J47" s="447" t="str">
        <f>IF(OR(I47&gt;=0.2,I47&lt;=-0.2),"超过20%","")</f>
        <v/>
      </c>
      <c r="K47" s="2726"/>
      <c r="L47" s="886"/>
      <c r="M47" s="924"/>
      <c r="N47" s="924"/>
      <c r="O47" s="924"/>
    </row>
    <row r="48" spans="1:29" s="449" customFormat="1" ht="13.5" customHeight="1">
      <c r="A48" s="2724"/>
      <c r="B48" s="2724"/>
      <c r="C48" s="444" t="s">
        <v>1797</v>
      </c>
      <c r="D48" s="448"/>
      <c r="E48" s="446">
        <f>IF(E41&lt;G41,G41/E41-1,E41/G41-1)</f>
        <v>5.2631578947368363E-2</v>
      </c>
      <c r="F48" s="447" t="str">
        <f>IF(OR(E48&gt;=0.3,E48&lt;=-0.3),"超过30%","")</f>
        <v/>
      </c>
      <c r="G48" s="446">
        <f>IF(G41&lt;I41,I41/G41-1,G41/I41-1)</f>
        <v>7.9210526315789398E-3</v>
      </c>
      <c r="H48" s="447" t="str">
        <f>IF(OR(G48&gt;=0.3,G48&lt;=-0.3),"超过30%","")</f>
        <v/>
      </c>
      <c r="I48" s="446">
        <f>IF(I41&lt;E41,E41/I41-1,I41/E41-1)</f>
        <v>4.435915511344346E-2</v>
      </c>
      <c r="J48" s="447" t="str">
        <f>IF(OR(I48&gt;=0.3,I48&lt;=-0.3),"超过30%","")</f>
        <v/>
      </c>
      <c r="K48" s="2729"/>
      <c r="L48" s="927"/>
      <c r="M48" s="925"/>
      <c r="N48" s="925"/>
      <c r="O48" s="925"/>
    </row>
    <row r="49" spans="1:17" s="449"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2023-12</v>
      </c>
      <c r="D52" s="1182">
        <f>EDATE(C52,-1)</f>
        <v>45231</v>
      </c>
      <c r="E52" s="1182">
        <f t="shared" ref="E52:O52" si="16">EDATE(D52,-1)</f>
        <v>45200</v>
      </c>
      <c r="F52" s="1182">
        <f t="shared" si="16"/>
        <v>45170</v>
      </c>
      <c r="G52" s="1182">
        <f t="shared" si="16"/>
        <v>45139</v>
      </c>
      <c r="H52" s="1182">
        <f t="shared" si="16"/>
        <v>45108</v>
      </c>
      <c r="I52" s="1182">
        <f t="shared" si="16"/>
        <v>45078</v>
      </c>
      <c r="J52" s="1182">
        <f t="shared" si="16"/>
        <v>45047</v>
      </c>
      <c r="K52" s="1182">
        <f t="shared" si="16"/>
        <v>45017</v>
      </c>
      <c r="L52" s="1182">
        <f t="shared" si="16"/>
        <v>44986</v>
      </c>
      <c r="M52" s="1182">
        <f t="shared" si="16"/>
        <v>44958</v>
      </c>
      <c r="N52" s="1182">
        <f t="shared" si="16"/>
        <v>44927</v>
      </c>
      <c r="O52" s="1182">
        <f t="shared" si="16"/>
        <v>44896</v>
      </c>
      <c r="P52" s="454" t="s">
        <v>3539</v>
      </c>
      <c r="Q52" s="455" t="s">
        <v>3540</v>
      </c>
    </row>
    <row r="53" spans="1:17" s="108" customFormat="1" ht="15">
      <c r="A53" s="456"/>
      <c r="B53" s="457"/>
      <c r="C53" s="1180">
        <v>100</v>
      </c>
      <c r="D53" s="459"/>
      <c r="E53" s="459"/>
      <c r="F53" s="459"/>
      <c r="G53" s="459"/>
      <c r="H53" s="459"/>
      <c r="I53" s="459"/>
      <c r="J53" s="459"/>
      <c r="K53" s="459"/>
      <c r="L53" s="459"/>
      <c r="M53" s="460"/>
      <c r="N53" s="459"/>
      <c r="P53" s="108">
        <v>100</v>
      </c>
      <c r="Q53" s="108">
        <v>100</v>
      </c>
    </row>
    <row r="54" spans="1:17" s="108" customFormat="1" ht="15.75" thickBot="1">
      <c r="A54" s="462" t="s">
        <v>1716</v>
      </c>
      <c r="B54" s="463"/>
      <c r="C54" s="464"/>
      <c r="D54" s="465"/>
      <c r="E54" s="465"/>
      <c r="F54" s="465"/>
      <c r="G54" s="465"/>
      <c r="H54" s="465"/>
      <c r="I54" s="465"/>
      <c r="J54" s="465"/>
      <c r="K54" s="465"/>
      <c r="L54" s="465"/>
      <c r="M54" s="466"/>
      <c r="N54" s="2766"/>
      <c r="O54" s="2767"/>
      <c r="P54" s="451"/>
      <c r="Q54" s="451"/>
    </row>
    <row r="55" spans="1:17" s="108" customFormat="1" ht="15">
      <c r="A55" s="468" t="s">
        <v>1681</v>
      </c>
      <c r="B55" s="457"/>
      <c r="C55" s="469" t="s">
        <v>1776</v>
      </c>
      <c r="D55" s="470"/>
      <c r="E55" s="470"/>
      <c r="F55" s="470"/>
      <c r="G55" s="470"/>
      <c r="H55" s="470"/>
      <c r="I55" s="470"/>
      <c r="J55" s="470"/>
      <c r="K55" s="470"/>
      <c r="L55" s="471"/>
      <c r="M55" s="472"/>
      <c r="N55" s="929"/>
      <c r="O55" s="929"/>
      <c r="P55" s="473"/>
      <c r="Q55" s="451"/>
    </row>
    <row r="56" spans="1:17" s="108"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t="str">
        <f>C9</f>
        <v>科研办公</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t="s">
        <v>3518</v>
      </c>
      <c r="D59" s="530" t="s">
        <v>3519</v>
      </c>
      <c r="E59" s="530" t="s">
        <v>3520</v>
      </c>
      <c r="F59" s="3475" t="s">
        <v>3521</v>
      </c>
      <c r="G59" s="530"/>
      <c r="H59" s="530"/>
      <c r="I59" s="530"/>
      <c r="J59" s="530"/>
      <c r="K59" s="531"/>
      <c r="L59" s="532"/>
      <c r="M59" s="533"/>
      <c r="N59" s="930"/>
      <c r="O59" s="930"/>
      <c r="P59" s="42"/>
      <c r="Q59" s="451"/>
    </row>
    <row r="60" spans="1:17" ht="15.75" thickBot="1">
      <c r="A60" s="481"/>
      <c r="B60" s="490"/>
      <c r="C60" s="483">
        <v>100</v>
      </c>
      <c r="D60" s="483">
        <f>C60-3</f>
        <v>97</v>
      </c>
      <c r="E60" s="483">
        <f t="shared" ref="E60:F60" si="17">D60-3</f>
        <v>94</v>
      </c>
      <c r="F60" s="483">
        <f t="shared" si="17"/>
        <v>91</v>
      </c>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8">D62&amp;"（含）"&amp;"-"&amp;E62</f>
        <v>2（含）-</v>
      </c>
      <c r="E61" s="494" t="str">
        <f t="shared" si="18"/>
        <v>（含）-</v>
      </c>
      <c r="F61" s="494" t="str">
        <f t="shared" si="18"/>
        <v>（含）-</v>
      </c>
      <c r="G61" s="494" t="str">
        <f t="shared" si="18"/>
        <v>（含）-</v>
      </c>
      <c r="H61" s="494" t="str">
        <f t="shared" si="18"/>
        <v>（含）-</v>
      </c>
      <c r="I61" s="494" t="str">
        <f t="shared" si="18"/>
        <v>（含）-</v>
      </c>
      <c r="J61" s="494" t="str">
        <f t="shared" si="18"/>
        <v>（含）-</v>
      </c>
      <c r="K61" s="494" t="str">
        <f t="shared" si="18"/>
        <v>（含）-</v>
      </c>
      <c r="L61" s="494" t="str">
        <f t="shared" si="18"/>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9">C63-$K11</f>
        <v>100</v>
      </c>
      <c r="E63" s="491">
        <f t="shared" si="19"/>
        <v>100</v>
      </c>
      <c r="F63" s="491">
        <f t="shared" si="19"/>
        <v>100</v>
      </c>
      <c r="G63" s="491">
        <f t="shared" si="19"/>
        <v>100</v>
      </c>
      <c r="H63" s="491">
        <f t="shared" si="19"/>
        <v>100</v>
      </c>
      <c r="I63" s="491">
        <f t="shared" si="19"/>
        <v>100</v>
      </c>
      <c r="J63" s="491">
        <f t="shared" si="19"/>
        <v>100</v>
      </c>
      <c r="K63" s="491">
        <f t="shared" si="19"/>
        <v>100</v>
      </c>
      <c r="L63" s="491">
        <f t="shared" si="19"/>
        <v>100</v>
      </c>
      <c r="M63" s="492">
        <f t="shared" si="19"/>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95</v>
      </c>
      <c r="E71" s="491">
        <f>D71-$K15</f>
        <v>90</v>
      </c>
      <c r="F71" s="491">
        <f>E71-$K15</f>
        <v>85</v>
      </c>
      <c r="G71" s="491">
        <f>F71-$K15</f>
        <v>80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95</v>
      </c>
      <c r="E73" s="491">
        <f>D73-$K17</f>
        <v>90</v>
      </c>
      <c r="F73" s="491">
        <f>E73-$K17</f>
        <v>85</v>
      </c>
      <c r="G73" s="491">
        <f>F73-$K17</f>
        <v>80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95</v>
      </c>
      <c r="E75" s="491">
        <f>D75-$K19</f>
        <v>90</v>
      </c>
      <c r="F75" s="491">
        <f>E75-$K19</f>
        <v>85</v>
      </c>
      <c r="G75" s="491">
        <f>F75-$K19</f>
        <v>80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95</v>
      </c>
      <c r="E79" s="491">
        <f>D79-$K23</f>
        <v>90</v>
      </c>
      <c r="F79" s="491">
        <f>E79-$K23</f>
        <v>85</v>
      </c>
      <c r="G79" s="491">
        <f>F79-$K23</f>
        <v>80</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3476" t="s">
        <v>3522</v>
      </c>
      <c r="D88" s="3476" t="s">
        <v>3523</v>
      </c>
      <c r="E88" s="477"/>
      <c r="F88" s="477"/>
      <c r="G88" s="477"/>
      <c r="H88" s="477"/>
      <c r="I88" s="477"/>
      <c r="J88" s="477"/>
      <c r="K88" s="478"/>
      <c r="L88" s="479"/>
      <c r="M88" s="480"/>
      <c r="N88" s="930"/>
      <c r="O88" s="930"/>
      <c r="P88" s="42"/>
      <c r="Q88" s="451"/>
    </row>
    <row r="89" spans="1:17" ht="15.75" thickBot="1">
      <c r="A89" s="481"/>
      <c r="B89" s="490"/>
      <c r="C89" s="491">
        <v>100</v>
      </c>
      <c r="D89" s="491">
        <f t="shared" ref="D89:M89" si="20">C89-$K29</f>
        <v>95</v>
      </c>
      <c r="E89" s="491">
        <f t="shared" si="20"/>
        <v>90</v>
      </c>
      <c r="F89" s="491">
        <f t="shared" si="20"/>
        <v>85</v>
      </c>
      <c r="G89" s="491">
        <f t="shared" si="20"/>
        <v>80</v>
      </c>
      <c r="H89" s="491">
        <f t="shared" si="20"/>
        <v>75</v>
      </c>
      <c r="I89" s="491">
        <f t="shared" si="20"/>
        <v>70</v>
      </c>
      <c r="J89" s="491">
        <f t="shared" si="20"/>
        <v>65</v>
      </c>
      <c r="K89" s="491">
        <f t="shared" si="20"/>
        <v>60</v>
      </c>
      <c r="L89" s="491">
        <f t="shared" si="20"/>
        <v>55</v>
      </c>
      <c r="M89" s="492">
        <f t="shared" si="20"/>
        <v>50</v>
      </c>
      <c r="N89" s="931"/>
      <c r="O89" s="931"/>
      <c r="P89" s="42"/>
      <c r="Q89" s="451"/>
    </row>
    <row r="90" spans="1:17" ht="29.25" thickTop="1">
      <c r="A90" s="481"/>
      <c r="B90" s="485" t="s">
        <v>1737</v>
      </c>
      <c r="C90" s="525" t="str">
        <f>C91&amp;"(含)"&amp;"-"&amp;D91</f>
        <v>0(含)-5000</v>
      </c>
      <c r="D90" s="525" t="str">
        <f t="shared" ref="D90:L90" si="21">D91&amp;"(含)"&amp;"-"&amp;E91</f>
        <v>5000(含)-10000</v>
      </c>
      <c r="E90" s="525" t="str">
        <f t="shared" si="21"/>
        <v>10000(含)-30000</v>
      </c>
      <c r="F90" s="525" t="str">
        <f t="shared" si="21"/>
        <v>30000(含)-80000</v>
      </c>
      <c r="G90" s="525" t="str">
        <f t="shared" si="21"/>
        <v>80000(含)-150000</v>
      </c>
      <c r="H90" s="525" t="str">
        <f t="shared" si="21"/>
        <v>150000(含)-</v>
      </c>
      <c r="I90" s="525" t="str">
        <f t="shared" si="21"/>
        <v>(含)-</v>
      </c>
      <c r="J90" s="525" t="str">
        <f t="shared" si="21"/>
        <v>(含)-</v>
      </c>
      <c r="K90" s="525" t="str">
        <f t="shared" si="21"/>
        <v>(含)-</v>
      </c>
      <c r="L90" s="525" t="str">
        <f t="shared" si="21"/>
        <v>(含)-</v>
      </c>
      <c r="M90" s="568" t="str">
        <f>M91&amp;"(含)"&amp;"-"&amp;P91</f>
        <v>(含)-</v>
      </c>
      <c r="N90" s="929"/>
      <c r="O90" s="929"/>
      <c r="P90" s="42"/>
      <c r="Q90" s="451"/>
    </row>
    <row r="91" spans="1:17" s="420" customFormat="1">
      <c r="A91" s="540"/>
      <c r="B91" s="541"/>
      <c r="C91" s="542">
        <v>0</v>
      </c>
      <c r="D91" s="542">
        <v>5000</v>
      </c>
      <c r="E91" s="542">
        <v>10000</v>
      </c>
      <c r="F91" s="542">
        <v>30000</v>
      </c>
      <c r="G91" s="542">
        <v>80000</v>
      </c>
      <c r="H91" s="542">
        <v>150000</v>
      </c>
      <c r="I91" s="542"/>
      <c r="J91" s="543"/>
      <c r="K91" s="543"/>
      <c r="L91" s="544"/>
      <c r="M91" s="545"/>
      <c r="N91" s="932"/>
      <c r="O91" s="932"/>
      <c r="P91" s="505"/>
      <c r="Q91" s="506"/>
    </row>
    <row r="92" spans="1:17" s="420" customFormat="1" ht="15.75" thickBot="1">
      <c r="A92" s="500"/>
      <c r="B92" s="490"/>
      <c r="C92" s="483">
        <f t="shared" ref="C92:D92" si="22">D92+2</f>
        <v>106</v>
      </c>
      <c r="D92" s="483">
        <f t="shared" si="22"/>
        <v>104</v>
      </c>
      <c r="E92" s="483">
        <f>F92+2</f>
        <v>102</v>
      </c>
      <c r="F92" s="483">
        <v>100</v>
      </c>
      <c r="G92" s="483">
        <f>F92-2</f>
        <v>98</v>
      </c>
      <c r="H92" s="483">
        <f>G92-2</f>
        <v>96</v>
      </c>
      <c r="I92" s="483"/>
      <c r="J92" s="483"/>
      <c r="K92" s="483"/>
      <c r="L92" s="483"/>
      <c r="M92" s="484"/>
      <c r="N92" s="931"/>
      <c r="O92" s="931"/>
      <c r="P92" s="505"/>
      <c r="Q92" s="506"/>
    </row>
    <row r="93" spans="1:17" ht="15" thickTop="1">
      <c r="A93" s="546"/>
      <c r="B93" s="485" t="s">
        <v>1738</v>
      </c>
      <c r="C93" s="3477" t="s">
        <v>3524</v>
      </c>
      <c r="D93" s="3477" t="s">
        <v>3525</v>
      </c>
      <c r="E93" s="3477" t="s">
        <v>3526</v>
      </c>
      <c r="F93" s="3478" t="s">
        <v>3527</v>
      </c>
      <c r="G93" s="530"/>
      <c r="H93" s="530"/>
      <c r="I93" s="530"/>
      <c r="J93" s="530"/>
      <c r="K93" s="531"/>
      <c r="L93" s="532"/>
      <c r="M93" s="533"/>
      <c r="N93" s="930"/>
      <c r="O93" s="930"/>
      <c r="P93" s="42"/>
      <c r="Q93" s="451"/>
    </row>
    <row r="94" spans="1:17" ht="15.75" thickBot="1">
      <c r="A94" s="481"/>
      <c r="B94" s="490"/>
      <c r="C94" s="491">
        <v>100</v>
      </c>
      <c r="D94" s="491">
        <f t="shared" ref="D94:M94" si="23">C94-$K31</f>
        <v>98</v>
      </c>
      <c r="E94" s="491">
        <f t="shared" si="23"/>
        <v>96</v>
      </c>
      <c r="F94" s="491">
        <f t="shared" si="23"/>
        <v>94</v>
      </c>
      <c r="G94" s="491">
        <f t="shared" si="23"/>
        <v>92</v>
      </c>
      <c r="H94" s="491">
        <f t="shared" si="23"/>
        <v>90</v>
      </c>
      <c r="I94" s="491">
        <f t="shared" si="23"/>
        <v>88</v>
      </c>
      <c r="J94" s="491">
        <f t="shared" si="23"/>
        <v>86</v>
      </c>
      <c r="K94" s="491">
        <f t="shared" si="23"/>
        <v>84</v>
      </c>
      <c r="L94" s="491">
        <f t="shared" si="23"/>
        <v>82</v>
      </c>
      <c r="M94" s="492">
        <f t="shared" si="23"/>
        <v>80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4">C96-$K32</f>
        <v>98</v>
      </c>
      <c r="E96" s="491">
        <f t="shared" si="24"/>
        <v>96</v>
      </c>
      <c r="F96" s="491">
        <f t="shared" si="24"/>
        <v>94</v>
      </c>
      <c r="G96" s="491">
        <f t="shared" si="24"/>
        <v>92</v>
      </c>
      <c r="H96" s="491">
        <f t="shared" si="24"/>
        <v>90</v>
      </c>
      <c r="I96" s="491">
        <f t="shared" si="24"/>
        <v>88</v>
      </c>
      <c r="J96" s="491">
        <f t="shared" si="24"/>
        <v>86</v>
      </c>
      <c r="K96" s="491">
        <f t="shared" si="24"/>
        <v>84</v>
      </c>
      <c r="L96" s="491">
        <f t="shared" si="24"/>
        <v>82</v>
      </c>
      <c r="M96" s="492">
        <f t="shared" si="24"/>
        <v>80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102</v>
      </c>
      <c r="E99" s="491">
        <f t="shared" ref="E99:M99" si="25">D99+$K33</f>
        <v>104</v>
      </c>
      <c r="F99" s="491">
        <f t="shared" si="25"/>
        <v>106</v>
      </c>
      <c r="G99" s="491">
        <f t="shared" si="25"/>
        <v>108</v>
      </c>
      <c r="H99" s="491">
        <f t="shared" si="25"/>
        <v>110</v>
      </c>
      <c r="I99" s="491">
        <f t="shared" si="25"/>
        <v>112</v>
      </c>
      <c r="J99" s="491">
        <f t="shared" si="25"/>
        <v>114</v>
      </c>
      <c r="K99" s="491">
        <f t="shared" si="25"/>
        <v>116</v>
      </c>
      <c r="L99" s="491">
        <f t="shared" si="25"/>
        <v>118</v>
      </c>
      <c r="M99" s="491">
        <f t="shared" si="25"/>
        <v>120</v>
      </c>
      <c r="N99" s="931"/>
      <c r="O99" s="931"/>
      <c r="P99" s="42"/>
      <c r="Q99" s="451"/>
    </row>
    <row r="100" spans="1:17" s="420" customFormat="1" ht="15" thickTop="1">
      <c r="A100" s="540"/>
      <c r="B100" s="485" t="s">
        <v>1741</v>
      </c>
      <c r="C100" s="3477" t="s">
        <v>3528</v>
      </c>
      <c r="D100" s="3477" t="s">
        <v>3529</v>
      </c>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98</v>
      </c>
      <c r="E101" s="491">
        <f t="shared" ref="E101:M101" si="26">D101-$K34</f>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2"/>
      <c r="O101" s="932"/>
      <c r="P101" s="505"/>
      <c r="Q101" s="506"/>
    </row>
    <row r="102" spans="1:17" ht="15" thickTop="1">
      <c r="A102" s="546"/>
      <c r="B102" s="485" t="s">
        <v>1742</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7">C103-$K35</f>
        <v>99</v>
      </c>
      <c r="E103" s="491">
        <f t="shared" si="27"/>
        <v>98</v>
      </c>
      <c r="F103" s="491">
        <f t="shared" si="27"/>
        <v>97</v>
      </c>
      <c r="G103" s="491">
        <f t="shared" si="27"/>
        <v>96</v>
      </c>
      <c r="H103" s="491">
        <f t="shared" si="27"/>
        <v>95</v>
      </c>
      <c r="I103" s="491">
        <f t="shared" si="27"/>
        <v>94</v>
      </c>
      <c r="J103" s="491">
        <f t="shared" si="27"/>
        <v>93</v>
      </c>
      <c r="K103" s="491">
        <f t="shared" si="27"/>
        <v>92</v>
      </c>
      <c r="L103" s="491">
        <f t="shared" si="27"/>
        <v>91</v>
      </c>
      <c r="M103" s="492">
        <f t="shared" si="27"/>
        <v>90</v>
      </c>
      <c r="N103" s="931"/>
      <c r="O103" s="931"/>
      <c r="P103" s="42"/>
      <c r="Q103" s="451"/>
    </row>
    <row r="104" spans="1:17" ht="15" thickTop="1">
      <c r="A104" s="546"/>
      <c r="B104" s="485" t="s">
        <v>1744</v>
      </c>
      <c r="C104" s="501">
        <f>C95</f>
        <v>0</v>
      </c>
      <c r="D104" s="501">
        <f>D95</f>
        <v>0</v>
      </c>
      <c r="E104" s="501">
        <f>E95</f>
        <v>0</v>
      </c>
      <c r="F104" s="501">
        <f>F95</f>
        <v>0</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8">C107-$K37</f>
        <v>98</v>
      </c>
      <c r="E107" s="491">
        <f t="shared" si="28"/>
        <v>96</v>
      </c>
      <c r="F107" s="491">
        <f t="shared" si="28"/>
        <v>94</v>
      </c>
      <c r="G107" s="491">
        <f t="shared" si="28"/>
        <v>92</v>
      </c>
      <c r="H107" s="491">
        <f t="shared" si="28"/>
        <v>90</v>
      </c>
      <c r="I107" s="491">
        <f t="shared" si="28"/>
        <v>88</v>
      </c>
      <c r="J107" s="491">
        <f t="shared" si="28"/>
        <v>86</v>
      </c>
      <c r="K107" s="491">
        <f t="shared" si="28"/>
        <v>84</v>
      </c>
      <c r="L107" s="491">
        <f t="shared" si="28"/>
        <v>82</v>
      </c>
      <c r="M107" s="491">
        <f t="shared" si="28"/>
        <v>80</v>
      </c>
      <c r="N107" s="931"/>
      <c r="O107" s="931"/>
      <c r="P107" s="42"/>
      <c r="Q107" s="451"/>
    </row>
    <row r="108" spans="1:17" s="420" customFormat="1" ht="15" thickTop="1">
      <c r="A108" s="540"/>
      <c r="B108" s="485" t="str">
        <f>B38</f>
        <v>地下占比</v>
      </c>
      <c r="C108" s="3479">
        <v>0</v>
      </c>
      <c r="D108" s="3479">
        <v>0.15</v>
      </c>
      <c r="E108" s="501"/>
      <c r="F108" s="501"/>
      <c r="G108" s="501"/>
      <c r="H108" s="502"/>
      <c r="I108" s="502"/>
      <c r="J108" s="502"/>
      <c r="K108" s="502"/>
      <c r="L108" s="503"/>
      <c r="M108" s="504"/>
      <c r="N108" s="932"/>
      <c r="O108" s="932"/>
      <c r="P108" s="505"/>
      <c r="Q108" s="506"/>
    </row>
    <row r="109" spans="1:17" s="420" customFormat="1" ht="15.75" thickBot="1">
      <c r="A109" s="500"/>
      <c r="B109" s="482"/>
      <c r="C109" s="507">
        <v>100</v>
      </c>
      <c r="D109" s="483">
        <v>88</v>
      </c>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3548</v>
      </c>
      <c r="D1" s="1359" t="s">
        <v>43</v>
      </c>
      <c r="E1" s="1360" t="s">
        <v>678</v>
      </c>
      <c r="F1" s="1059">
        <f ca="1">J53</f>
        <v>35.6</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177490</v>
      </c>
      <c r="C2" s="1384" t="s">
        <v>805</v>
      </c>
      <c r="D2" s="1384"/>
      <c r="E2" s="1385"/>
      <c r="F2" s="1386"/>
      <c r="G2" s="2702"/>
      <c r="H2" s="2691"/>
      <c r="I2" s="2691"/>
      <c r="J2" s="2691"/>
      <c r="K2" s="2692"/>
      <c r="L2" s="2691"/>
      <c r="M2" s="2691"/>
    </row>
    <row r="3" spans="1:37" ht="18" customHeight="1" thickBot="1">
      <c r="A3" s="1387" t="s">
        <v>806</v>
      </c>
      <c r="B3" s="1388">
        <f ca="1">IF(ISERROR(B2*10000/F43),0,ROUND(B2*10000/F43,0))</f>
        <v>31775</v>
      </c>
      <c r="C3" s="1384" t="s">
        <v>807</v>
      </c>
      <c r="D3" s="1384"/>
      <c r="E3" s="1385"/>
      <c r="F3" s="1386"/>
      <c r="G3" s="2702"/>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10661</v>
      </c>
      <c r="D5" s="1361" t="s">
        <v>693</v>
      </c>
      <c r="E5" s="1068"/>
      <c r="F5" s="1069"/>
      <c r="G5" s="1381"/>
      <c r="H5" s="297">
        <v>1</v>
      </c>
      <c r="I5" s="298" t="s">
        <v>692</v>
      </c>
      <c r="J5" s="1067">
        <f ca="1">J6+J10+J12</f>
        <v>0</v>
      </c>
      <c r="K5" s="1361" t="s">
        <v>693</v>
      </c>
      <c r="L5" s="1068"/>
      <c r="M5" s="1069"/>
    </row>
    <row r="6" spans="1:37" ht="18" customHeight="1">
      <c r="A6" s="1066" t="s">
        <v>398</v>
      </c>
      <c r="B6" s="3750" t="s">
        <v>694</v>
      </c>
      <c r="C6" s="1071">
        <f ca="1">ROUND(F6*F8*F7*(1-F9)/10000,0)</f>
        <v>10648</v>
      </c>
      <c r="D6" s="153" t="s">
        <v>2109</v>
      </c>
      <c r="E6" s="300" t="s">
        <v>696</v>
      </c>
      <c r="F6" s="301">
        <f ca="1">INDIRECT("'数据-取费表'!u"&amp;$G$1)</f>
        <v>6.8</v>
      </c>
      <c r="G6" s="1381"/>
      <c r="H6" s="1066" t="s">
        <v>398</v>
      </c>
      <c r="I6" s="3750" t="s">
        <v>694</v>
      </c>
      <c r="J6" s="299">
        <f ca="1">ROUND(M6*M8*M7*(1-M9)/10000,0)</f>
        <v>0</v>
      </c>
      <c r="K6" s="153" t="s">
        <v>2108</v>
      </c>
      <c r="L6" s="300" t="s">
        <v>696</v>
      </c>
      <c r="M6" s="301">
        <f ca="1">INDIRECT("'数据-取费表'!z"&amp;$G$1)</f>
        <v>0</v>
      </c>
    </row>
    <row r="7" spans="1:37" ht="18" customHeight="1">
      <c r="A7" s="1070"/>
      <c r="B7" s="3751"/>
      <c r="C7" s="1072"/>
      <c r="D7" s="305"/>
      <c r="E7" s="1073" t="s">
        <v>697</v>
      </c>
      <c r="F7" s="301">
        <f ca="1">IF(INDIRECT("'数据-取费表'!ah"&amp;$G$1)="",INDIRECT("'数据-取费表'!k"&amp;$G$1),INDIRECT("'数据-取费表'!ah"&amp;$G$1))</f>
        <v>47667.279999999977</v>
      </c>
      <c r="G7" s="1381"/>
      <c r="H7" s="302"/>
      <c r="I7" s="3751"/>
      <c r="J7" s="304"/>
      <c r="K7" s="305"/>
      <c r="L7" s="300" t="s">
        <v>697</v>
      </c>
      <c r="M7" s="301">
        <f ca="1">F7</f>
        <v>47667.279999999977</v>
      </c>
    </row>
    <row r="8" spans="1:37" ht="18" customHeight="1">
      <c r="A8" s="302"/>
      <c r="B8" s="3751"/>
      <c r="C8" s="304"/>
      <c r="D8" s="305"/>
      <c r="E8" s="300" t="s">
        <v>698</v>
      </c>
      <c r="F8" s="301">
        <f ca="1">INDIRECT("'数据-取费表'!ai"&amp;$G$1)</f>
        <v>365</v>
      </c>
      <c r="G8" s="1381"/>
      <c r="H8" s="302"/>
      <c r="I8" s="3751"/>
      <c r="J8" s="304"/>
      <c r="K8" s="305"/>
      <c r="L8" s="300" t="s">
        <v>698</v>
      </c>
      <c r="M8" s="301">
        <f ca="1">INDIRECT("'数据-取费表'!ai"&amp;$G$1)</f>
        <v>365</v>
      </c>
    </row>
    <row r="9" spans="1:37" ht="18" customHeight="1">
      <c r="A9" s="302"/>
      <c r="B9" s="3752"/>
      <c r="C9" s="304"/>
      <c r="D9" s="305"/>
      <c r="E9" s="300" t="s">
        <v>699</v>
      </c>
      <c r="F9" s="310">
        <f ca="1">INDIRECT("'数据-取费表'!w"&amp;$G$1)</f>
        <v>0.1</v>
      </c>
      <c r="G9" s="1381"/>
      <c r="H9" s="302"/>
      <c r="I9" s="3752"/>
      <c r="J9" s="304"/>
      <c r="K9" s="305"/>
      <c r="L9" s="311" t="s">
        <v>699</v>
      </c>
      <c r="M9" s="312">
        <f ca="1">INDIRECT("'数据-取费表'!ab"&amp;$G$1)</f>
        <v>0</v>
      </c>
    </row>
    <row r="10" spans="1:37" ht="18" customHeight="1">
      <c r="A10" s="1066" t="s">
        <v>402</v>
      </c>
      <c r="B10" s="1362" t="s">
        <v>700</v>
      </c>
      <c r="C10" s="314">
        <f ca="1">ROUND(IF(F10="押一",C6/12*F11,IF(F10="押二",C6/12*2*F11,IF(F10="押三",C6/12*3*F11,C11*F11))),0)</f>
        <v>13</v>
      </c>
      <c r="D10" s="1363" t="s">
        <v>2117</v>
      </c>
      <c r="E10" s="311" t="s">
        <v>701</v>
      </c>
      <c r="F10" s="1113" t="s">
        <v>3404</v>
      </c>
      <c r="G10" s="1381"/>
      <c r="H10" s="1066" t="s">
        <v>402</v>
      </c>
      <c r="I10" s="1362" t="s">
        <v>700</v>
      </c>
      <c r="J10" s="299">
        <f ca="1">ROUND(IF(M10="押一",J6/12*M11,IF(M10="押二",J6/12*2*M11,IF(M10="押三",J6/12*3*M11,J11*M11))),0)</f>
        <v>0</v>
      </c>
      <c r="K10" s="1363" t="s">
        <v>2116</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39086</v>
      </c>
      <c r="D13" s="1078" t="s">
        <v>705</v>
      </c>
      <c r="E13" s="1078" t="s">
        <v>706</v>
      </c>
      <c r="F13" s="1079">
        <f ca="1">INDIRECT("'数据-取费表'!y"&amp;$G$1)</f>
        <v>0.87</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30722</v>
      </c>
      <c r="D14" s="1342" t="s">
        <v>708</v>
      </c>
      <c r="E14" s="1339"/>
      <c r="F14" s="317"/>
      <c r="G14" s="1381"/>
      <c r="H14" s="979" t="s">
        <v>398</v>
      </c>
      <c r="I14" s="300" t="s">
        <v>709</v>
      </c>
      <c r="J14" s="21">
        <f ca="1">C29</f>
        <v>44927</v>
      </c>
      <c r="K14" s="12"/>
      <c r="L14" s="804"/>
      <c r="M14" s="805"/>
    </row>
    <row r="15" spans="1:37" s="1394" customFormat="1" ht="18" customHeight="1" thickBot="1">
      <c r="A15" s="979" t="s">
        <v>399</v>
      </c>
      <c r="B15" s="300" t="s">
        <v>710</v>
      </c>
      <c r="C15" s="21">
        <f ca="1">ROUND(C14*F15,0)</f>
        <v>1536</v>
      </c>
      <c r="D15" s="318" t="s">
        <v>711</v>
      </c>
      <c r="E15" s="318" t="s">
        <v>712</v>
      </c>
      <c r="F15" s="319">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449</v>
      </c>
      <c r="K16" s="1084" t="s">
        <v>715</v>
      </c>
      <c r="L16" s="1085"/>
      <c r="M16" s="1069"/>
    </row>
    <row r="17" spans="1:37" s="1394" customFormat="1" ht="18" customHeight="1">
      <c r="A17" s="979" t="s">
        <v>681</v>
      </c>
      <c r="B17" s="300" t="s">
        <v>716</v>
      </c>
      <c r="C17" s="21">
        <f ca="1">ROUND(F17*(F43+INDIRECT("'数据-取费表'!S"&amp;$G$1))/10000,0)</f>
        <v>1117</v>
      </c>
      <c r="D17" s="300" t="s">
        <v>717</v>
      </c>
      <c r="E17" s="300" t="s">
        <v>718</v>
      </c>
      <c r="F17" s="23">
        <f>'数据-取费表'!B35</f>
        <v>200</v>
      </c>
      <c r="G17" s="1393"/>
      <c r="H17" s="979" t="s">
        <v>398</v>
      </c>
      <c r="I17" s="300"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614</v>
      </c>
      <c r="D18" s="300" t="s">
        <v>711</v>
      </c>
      <c r="E18" s="300" t="s">
        <v>712</v>
      </c>
      <c r="F18" s="320">
        <f>'数据-取费表'!B36</f>
        <v>0.02</v>
      </c>
      <c r="G18" s="1393"/>
      <c r="H18" s="979" t="s">
        <v>397</v>
      </c>
      <c r="I18" s="300" t="s">
        <v>723</v>
      </c>
      <c r="J18" s="21">
        <f ca="1">ROUND(J6*M18/(1+'数据-取费表'!C42),2)</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33989</v>
      </c>
      <c r="D19" s="129" t="s">
        <v>726</v>
      </c>
      <c r="E19" s="1357"/>
      <c r="F19" s="23"/>
      <c r="G19" s="1381"/>
      <c r="H19" s="979" t="s">
        <v>399</v>
      </c>
      <c r="I19" s="300" t="s">
        <v>727</v>
      </c>
      <c r="J19" s="21">
        <f ca="1">IF(K19="按租金收入计税",ROUND(J6*M19/(1+'数据-取费表'!C42),2),ROUND(C29*M19*0.7,2))</f>
        <v>0</v>
      </c>
      <c r="K19" s="1367" t="s">
        <v>3340</v>
      </c>
      <c r="L19" s="300" t="s">
        <v>712</v>
      </c>
      <c r="M19" s="320">
        <f>IF(K19="按租金收入计税",'数据-取费表'!B51,'数据-取费表'!B50)</f>
        <v>0.12</v>
      </c>
    </row>
    <row r="20" spans="1:37" s="1394" customFormat="1" ht="18" customHeight="1">
      <c r="A20" s="979" t="s">
        <v>402</v>
      </c>
      <c r="B20" s="300" t="s">
        <v>728</v>
      </c>
      <c r="C20" s="21">
        <f ca="1">ROUND(C19*F20,0)</f>
        <v>1020</v>
      </c>
      <c r="D20" s="321" t="s">
        <v>729</v>
      </c>
      <c r="E20" s="300" t="s">
        <v>712</v>
      </c>
      <c r="F20" s="320">
        <f>'数据-取费表'!B37</f>
        <v>0.03</v>
      </c>
      <c r="G20" s="1393"/>
      <c r="H20" s="979" t="s">
        <v>680</v>
      </c>
      <c r="I20" s="153" t="s">
        <v>730</v>
      </c>
      <c r="J20" s="22">
        <f ca="1">ROUND(M20*M21/10000,2)</f>
        <v>0</v>
      </c>
      <c r="K20" s="322" t="s">
        <v>731</v>
      </c>
      <c r="L20" s="300" t="s">
        <v>732</v>
      </c>
      <c r="M20" s="323">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ROUND(J14*M22,2)</f>
        <v>449.27</v>
      </c>
      <c r="K22" s="1341" t="s">
        <v>739</v>
      </c>
      <c r="L22" s="300" t="s">
        <v>712</v>
      </c>
      <c r="M22" s="326">
        <f ca="1">INDIRECT("'数据-取费表'!Ak"&amp;$G$1)</f>
        <v>0.01</v>
      </c>
    </row>
    <row r="23" spans="1:37" s="1394" customFormat="1" ht="18" customHeight="1">
      <c r="A23" s="979" t="s">
        <v>397</v>
      </c>
      <c r="B23" s="300" t="s">
        <v>740</v>
      </c>
      <c r="C23" s="21">
        <f ca="1">IF('数据-取费表'!B22&lt;=1,ROUND(C19*F24*F23/2,0)+ROUND(C20*F24*F23/2,0),ROUND(C19*(POWER((1+F24),F23/2)-1),0)+ROUND(C20*(POWER((1+F24),F23/2)-1),0))</f>
        <v>1208</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ROUND(J13*M23,2)</f>
        <v>0</v>
      </c>
      <c r="K23" s="1341" t="s">
        <v>743</v>
      </c>
      <c r="L23" s="300" t="s">
        <v>744</v>
      </c>
      <c r="M23" s="328">
        <f ca="1">INDIRECT("'数据-取费表'!Al"&amp;$G$1)</f>
        <v>2E-3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ROUND(J5*M24,2)</f>
        <v>0</v>
      </c>
      <c r="K24" s="1089" t="s">
        <v>748</v>
      </c>
      <c r="L24" s="1087" t="s">
        <v>744</v>
      </c>
      <c r="M24" s="1083">
        <f ca="1">INDIRECT("'数据-取费表'!Am"&amp;$G$1)</f>
        <v>1.0999999999999999E-2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-449</v>
      </c>
      <c r="K25" s="1092" t="s">
        <v>753</v>
      </c>
      <c r="L25" s="1093"/>
      <c r="M25" s="1094"/>
    </row>
    <row r="26" spans="1:37">
      <c r="A26" s="979" t="s">
        <v>397</v>
      </c>
      <c r="B26" s="300" t="s">
        <v>754</v>
      </c>
      <c r="C26" s="21">
        <f ca="1">ROUND((C19+C20)*F26,0)</f>
        <v>5251</v>
      </c>
      <c r="D26" s="321" t="s">
        <v>755</v>
      </c>
      <c r="E26" s="311" t="s">
        <v>756</v>
      </c>
      <c r="F26" s="310">
        <f ca="1">INDIRECT("'数据-取费表'!q"&amp;$G$1)</f>
        <v>0.15</v>
      </c>
      <c r="G26" s="1381"/>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3.0000000000000001E-3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44927</v>
      </c>
      <c r="D29" s="1089"/>
      <c r="E29" s="1087"/>
      <c r="F29" s="1090"/>
      <c r="G29" s="1393"/>
      <c r="H29" s="332" t="s">
        <v>396</v>
      </c>
      <c r="I29" s="333" t="s">
        <v>768</v>
      </c>
      <c r="J29" s="334">
        <f ca="1">ROUND(J26/(1+F40)^F41,0)</f>
        <v>0</v>
      </c>
      <c r="K29" s="335" t="s">
        <v>769</v>
      </c>
      <c r="L29" s="336"/>
      <c r="M29" s="337">
        <f ca="1">INDIRECT("'数据-取费表'!k"&amp;$G$1)</f>
        <v>55858.869999999981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2430</v>
      </c>
      <c r="D30" s="1084" t="s">
        <v>715</v>
      </c>
      <c r="E30" s="1085"/>
      <c r="F30" s="1069"/>
      <c r="G30" s="1381"/>
      <c r="H30" s="2693"/>
      <c r="I30" s="1395"/>
      <c r="J30" s="1396"/>
      <c r="K30" s="2472"/>
      <c r="L30" s="2694"/>
      <c r="M30" s="2695"/>
    </row>
    <row r="31" spans="1:37" ht="18" customHeight="1">
      <c r="A31" s="979" t="s">
        <v>398</v>
      </c>
      <c r="B31" s="300" t="s">
        <v>719</v>
      </c>
      <c r="C31" s="2313">
        <f ca="1">ROUND(IF(AND(项目基本情况!B11="自然人",项目基本情况!B10="北京市"),C6*F31/(1+'数据-取费表'!C42),C32+C33+C34),2)</f>
        <v>1784.8</v>
      </c>
      <c r="D31" s="1342" t="s">
        <v>720</v>
      </c>
      <c r="E31" s="1341" t="s">
        <v>770</v>
      </c>
      <c r="F31" s="2312" t="str">
        <f>IF(项目基本情况!B11="企业","——",IF(M47="住宅",IF(F6*F7*F8/12/(1+'数据-取费表'!F30)&gt;100000,4%,2.5%),IF(F6*F7*F8/12/(1+'数据-取费表'!F30)&gt;100000,12%,7%)))</f>
        <v>——</v>
      </c>
      <c r="G31" s="1381"/>
      <c r="H31" s="2804" t="s">
        <v>2310</v>
      </c>
      <c r="I31" s="1395"/>
      <c r="J31" s="1396"/>
      <c r="K31" s="2472"/>
      <c r="L31" s="2694"/>
      <c r="M31" s="2695"/>
    </row>
    <row r="32" spans="1:37" ht="18" customHeight="1">
      <c r="A32" s="979" t="s">
        <v>397</v>
      </c>
      <c r="B32" s="300" t="s">
        <v>723</v>
      </c>
      <c r="C32" s="21">
        <f ca="1">IF(项目基本情况!B11="自然人","——",ROUND(C6*F32/(1+'数据-取费表'!C42),2))</f>
        <v>567.89</v>
      </c>
      <c r="D32" s="1341" t="s">
        <v>724</v>
      </c>
      <c r="E32" s="300" t="s">
        <v>712</v>
      </c>
      <c r="F32" s="329">
        <f>'数据-取费表'!B41</f>
        <v>5.6000000000000001E-2</v>
      </c>
      <c r="G32" s="1381"/>
      <c r="H32" s="2693"/>
      <c r="I32" s="1395"/>
      <c r="J32" s="1396"/>
      <c r="K32" s="2472"/>
      <c r="L32" s="2694"/>
      <c r="M32" s="2695"/>
    </row>
    <row r="33" spans="1:18" ht="18" customHeight="1">
      <c r="A33" s="979" t="s">
        <v>399</v>
      </c>
      <c r="B33" s="300" t="s">
        <v>727</v>
      </c>
      <c r="C33" s="21">
        <f ca="1">IF(项目基本情况!B11="自然人","——",IF(D33="按租金收入计税",ROUND(C6*F33/(1+'数据-取费表'!C42),2),IF(D33="按房产原值计税",ROUND(C29*F33*0.7,2),INDIRECT("'数据-取费表'!Aj"&amp;$G$1))))</f>
        <v>1216.9100000000001</v>
      </c>
      <c r="D33" s="1367" t="s">
        <v>3340</v>
      </c>
      <c r="E33" s="300" t="s">
        <v>712</v>
      </c>
      <c r="F33" s="320">
        <f>IF(D33="按票据","——",IF(D33="按租金收入计税",'数据-取费表'!B51,'数据-取费表'!B50))</f>
        <v>0.12</v>
      </c>
      <c r="G33" s="1381"/>
      <c r="H33" s="2696"/>
      <c r="I33" s="1395"/>
      <c r="J33" s="1396"/>
      <c r="K33" s="2697"/>
      <c r="L33" s="2696"/>
      <c r="M33" s="2696"/>
    </row>
    <row r="34" spans="1:18" ht="18" customHeight="1">
      <c r="A34" s="1066" t="s">
        <v>680</v>
      </c>
      <c r="B34" s="153" t="s">
        <v>730</v>
      </c>
      <c r="C34" s="22">
        <f ca="1">IF(项目基本情况!B11="自然人","——",ROUND(F34*F35/10000,2))</f>
        <v>0</v>
      </c>
      <c r="D34" s="322" t="s">
        <v>731</v>
      </c>
      <c r="E34" s="300" t="s">
        <v>732</v>
      </c>
      <c r="F34" s="323">
        <f>'数据-取费表'!B52</f>
        <v>0</v>
      </c>
      <c r="G34" s="1381"/>
      <c r="H34" s="2693"/>
      <c r="I34" s="1395" t="s">
        <v>3707</v>
      </c>
      <c r="J34" s="1396"/>
      <c r="K34" s="2698"/>
      <c r="L34" s="2699"/>
      <c r="M34" s="2699"/>
    </row>
    <row r="35" spans="1:18" ht="18" customHeight="1">
      <c r="A35" s="1100"/>
      <c r="B35" s="1098"/>
      <c r="C35" s="26"/>
      <c r="D35" s="325"/>
      <c r="E35" s="300" t="s">
        <v>736</v>
      </c>
      <c r="F35" s="301">
        <f ca="1">INDIRECT("'数据-取费表'!r"&amp;$G$1)</f>
        <v>0</v>
      </c>
      <c r="G35" s="1381"/>
      <c r="H35" s="2693"/>
      <c r="I35" s="1395"/>
      <c r="J35" s="1396"/>
      <c r="K35" s="2697"/>
      <c r="L35" s="2696"/>
      <c r="M35" s="2696"/>
    </row>
    <row r="36" spans="1:18" ht="18" customHeight="1">
      <c r="A36" s="1099" t="s">
        <v>402</v>
      </c>
      <c r="B36" s="300" t="s">
        <v>738</v>
      </c>
      <c r="C36" s="21">
        <f ca="1">ROUND(C29*F36,2)</f>
        <v>449.27</v>
      </c>
      <c r="D36" s="1341" t="s">
        <v>771</v>
      </c>
      <c r="E36" s="300" t="s">
        <v>712</v>
      </c>
      <c r="F36" s="326">
        <f ca="1">INDIRECT("'数据-取费表'!Ak"&amp;$G$1)</f>
        <v>0.01</v>
      </c>
      <c r="G36" s="1381"/>
      <c r="H36" s="2696"/>
      <c r="I36" s="1395"/>
      <c r="J36" s="1396"/>
      <c r="K36" s="2541"/>
      <c r="L36" s="2696"/>
      <c r="M36" s="2696"/>
    </row>
    <row r="37" spans="1:18" ht="18" customHeight="1">
      <c r="A37" s="979" t="s">
        <v>437</v>
      </c>
      <c r="B37" s="300" t="s">
        <v>742</v>
      </c>
      <c r="C37" s="21">
        <f ca="1">ROUND(C13*F37,2)</f>
        <v>78.17</v>
      </c>
      <c r="D37" s="1341" t="s">
        <v>743</v>
      </c>
      <c r="E37" s="300" t="s">
        <v>744</v>
      </c>
      <c r="F37" s="328">
        <f ca="1">INDIRECT("'数据-取费表'!Al"&amp;$G$1)</f>
        <v>2E-3</v>
      </c>
      <c r="G37" s="1381"/>
      <c r="H37" s="2696"/>
      <c r="I37" s="1395"/>
      <c r="J37" s="1396"/>
      <c r="K37" s="2541"/>
      <c r="L37" s="2696"/>
      <c r="M37" s="2696"/>
    </row>
    <row r="38" spans="1:18" ht="18" customHeight="1" thickBot="1">
      <c r="A38" s="1086" t="s">
        <v>684</v>
      </c>
      <c r="B38" s="1087" t="s">
        <v>728</v>
      </c>
      <c r="C38" s="1088">
        <f ca="1">ROUND(C5*F38,2)</f>
        <v>117.27</v>
      </c>
      <c r="D38" s="1089" t="s">
        <v>748</v>
      </c>
      <c r="E38" s="1087" t="s">
        <v>744</v>
      </c>
      <c r="F38" s="1083">
        <f ca="1">INDIRECT("'数据-取费表'!Am"&amp;$G$1)</f>
        <v>1.0999999999999999E-2</v>
      </c>
      <c r="G38" s="1381"/>
      <c r="H38" s="2696"/>
      <c r="I38" s="1395"/>
      <c r="J38" s="1396"/>
      <c r="K38" s="2700"/>
      <c r="L38" s="2696"/>
      <c r="M38" s="2696"/>
    </row>
    <row r="39" spans="1:18" ht="24.6" customHeight="1" thickTop="1">
      <c r="A39" s="1076" t="s">
        <v>394</v>
      </c>
      <c r="B39" s="1091" t="s">
        <v>772</v>
      </c>
      <c r="C39" s="308">
        <f ca="1">C5-C30</f>
        <v>8231</v>
      </c>
      <c r="D39" s="1092" t="s">
        <v>773</v>
      </c>
      <c r="E39" s="1093"/>
      <c r="F39" s="1094"/>
      <c r="G39" s="1381"/>
      <c r="H39" s="2696"/>
      <c r="I39" s="1395">
        <f ca="1">C39/C6</f>
        <v>0.77300901577761083</v>
      </c>
      <c r="J39" s="1396"/>
      <c r="K39" s="2700"/>
      <c r="L39" s="2696"/>
      <c r="M39" s="2696"/>
    </row>
    <row r="40" spans="1:18" ht="18" customHeight="1">
      <c r="A40" s="297" t="s">
        <v>395</v>
      </c>
      <c r="B40" s="298" t="s">
        <v>774</v>
      </c>
      <c r="C40" s="299">
        <f ca="1">ROUND(C39*(1-((1+F42)/(1+F40))^F41)/(F40-F42),0)</f>
        <v>176121</v>
      </c>
      <c r="D40" s="322" t="s">
        <v>758</v>
      </c>
      <c r="E40" s="300" t="s">
        <v>759</v>
      </c>
      <c r="F40" s="310">
        <f ca="1">INDIRECT("'数据-取费表'!I"&amp;$G$1)</f>
        <v>5.5E-2</v>
      </c>
      <c r="G40" s="1381"/>
      <c r="H40" s="1458"/>
      <c r="I40" s="1395"/>
      <c r="J40" s="1396"/>
      <c r="K40" s="2700"/>
      <c r="L40" s="1458"/>
      <c r="M40" s="1458"/>
    </row>
    <row r="41" spans="1:18" ht="18" customHeight="1">
      <c r="A41" s="302"/>
      <c r="B41" s="303"/>
      <c r="C41" s="304"/>
      <c r="D41" s="330" t="s">
        <v>775</v>
      </c>
      <c r="E41" s="300" t="s">
        <v>763</v>
      </c>
      <c r="F41" s="331">
        <f ca="1">IF(INDIRECT("'数据-取费表'!af"&amp;$G$1)=0,INDIRECT("'数据-取费表'!ae"&amp;$G$1),INDIRECT("'数据-取费表'!af"&amp;$G$1))</f>
        <v>35.6</v>
      </c>
      <c r="G41" s="1381"/>
      <c r="H41" s="1188"/>
      <c r="I41" s="1395"/>
      <c r="J41" s="1396"/>
      <c r="K41" s="2541"/>
      <c r="L41" s="1188"/>
      <c r="M41" s="1188"/>
    </row>
    <row r="42" spans="1:18" ht="18" customHeight="1">
      <c r="A42" s="306"/>
      <c r="B42" s="307"/>
      <c r="C42" s="308"/>
      <c r="D42" s="325"/>
      <c r="E42" s="300" t="s">
        <v>766</v>
      </c>
      <c r="F42" s="310">
        <f ca="1">INDIRECT("'数据-取费表'!v"&amp;$G$1)</f>
        <v>2.5000000000000001E-2</v>
      </c>
      <c r="G42" s="1381"/>
      <c r="H42" s="1188"/>
      <c r="I42" s="1395"/>
      <c r="J42" s="1396"/>
      <c r="K42" s="2541"/>
      <c r="L42" s="1188"/>
      <c r="M42" s="1188"/>
    </row>
    <row r="43" spans="1:18" ht="18" customHeight="1" thickBot="1">
      <c r="A43" s="332" t="s">
        <v>396</v>
      </c>
      <c r="B43" s="333" t="s">
        <v>776</v>
      </c>
      <c r="C43" s="334">
        <f ca="1">ROUND(C40*10000/F43,0)</f>
        <v>31530</v>
      </c>
      <c r="D43" s="335" t="s">
        <v>777</v>
      </c>
      <c r="E43" s="336" t="s">
        <v>778</v>
      </c>
      <c r="F43" s="337">
        <f ca="1">INDIRECT("'数据-取费表'!k"&amp;$G$1)</f>
        <v>55858.869999999981</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f ca="1">C68-C40</f>
        <v>-184278</v>
      </c>
      <c r="D46" s="1403" t="str">
        <f>C2</f>
        <v>万元</v>
      </c>
      <c r="E46" s="1397"/>
      <c r="F46" s="1397"/>
      <c r="I46" s="1404" t="s">
        <v>810</v>
      </c>
      <c r="J46" s="1405"/>
      <c r="K46" s="1406"/>
      <c r="L46" s="1407">
        <f ca="1">IF(M47="住宅",0,IF(L48&gt;J51,L60,J60))</f>
        <v>1369</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3405</v>
      </c>
      <c r="K47" s="1413" t="s">
        <v>816</v>
      </c>
      <c r="L47" s="1414">
        <f ca="1">INDIRECT("'数据-取费表'!d"&amp;$G$1)</f>
        <v>50</v>
      </c>
      <c r="M47" s="1377" t="str">
        <f>IF(ISNUMBER(FIND("住宅",C1)),"住宅","非住宅")</f>
        <v>非住宅</v>
      </c>
      <c r="O47" s="1415" t="s">
        <v>403</v>
      </c>
      <c r="P47" s="1416" t="s">
        <v>817</v>
      </c>
      <c r="Q47" s="1417">
        <f ca="1">C40+J29</f>
        <v>176121</v>
      </c>
      <c r="R47" s="1417" t="s">
        <v>818</v>
      </c>
    </row>
    <row r="48" spans="1:18" s="1381" customFormat="1" ht="28.5" thickBot="1">
      <c r="A48" s="1107" t="s">
        <v>438</v>
      </c>
      <c r="B48" s="298" t="s">
        <v>692</v>
      </c>
      <c r="C48" s="1356">
        <f ca="1">C49+C53+C55</f>
        <v>0</v>
      </c>
      <c r="D48" s="1109"/>
      <c r="E48" s="1110"/>
      <c r="F48" s="959"/>
      <c r="G48" s="719"/>
      <c r="H48" s="720"/>
      <c r="I48" s="1418" t="s">
        <v>819</v>
      </c>
      <c r="J48" s="1419" t="s">
        <v>3406</v>
      </c>
      <c r="K48" s="1420" t="s">
        <v>820</v>
      </c>
      <c r="L48" s="1421">
        <f ca="1">INDIRECT("'数据-取费表'!f"&amp;$G$1)</f>
        <v>35.6</v>
      </c>
      <c r="O48" s="1415" t="s">
        <v>404</v>
      </c>
      <c r="P48" s="1416" t="s">
        <v>821</v>
      </c>
      <c r="Q48" s="1417">
        <f ca="1">J60</f>
        <v>1369</v>
      </c>
      <c r="R48" s="1417" t="s">
        <v>822</v>
      </c>
    </row>
    <row r="49" spans="1:18" s="1381" customFormat="1" ht="13.5" thickBot="1">
      <c r="A49" s="972" t="s">
        <v>439</v>
      </c>
      <c r="B49" s="1368" t="s">
        <v>779</v>
      </c>
      <c r="C49" s="1111">
        <f ca="1">ROUND(F49*F51*F50*(1-F52)/10000,0)</f>
        <v>0</v>
      </c>
      <c r="D49" s="1052" t="s">
        <v>2110</v>
      </c>
      <c r="E49" s="1369" t="s">
        <v>780</v>
      </c>
      <c r="F49" s="1057"/>
      <c r="G49" s="1422"/>
      <c r="H49" s="720"/>
      <c r="I49" s="1418" t="s">
        <v>823</v>
      </c>
      <c r="J49" s="1423">
        <f>'数据-取费表'!M19</f>
        <v>2015</v>
      </c>
      <c r="K49" s="1420" t="s">
        <v>824</v>
      </c>
      <c r="L49" s="1424"/>
      <c r="O49" s="1425" t="s">
        <v>405</v>
      </c>
      <c r="P49" s="1416" t="s">
        <v>825</v>
      </c>
      <c r="Q49" s="1417">
        <f ca="1">C29</f>
        <v>44927</v>
      </c>
      <c r="R49" s="1417" t="s">
        <v>818</v>
      </c>
    </row>
    <row r="50" spans="1:18" s="1381" customFormat="1" ht="13.5" thickBot="1">
      <c r="A50" s="973"/>
      <c r="B50" s="976"/>
      <c r="C50" s="1115"/>
      <c r="D50" s="950"/>
      <c r="E50" s="1053" t="s">
        <v>697</v>
      </c>
      <c r="F50" s="1054">
        <f ca="1">F7</f>
        <v>47667.279999999977</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52</v>
      </c>
      <c r="K51" s="1431" t="s">
        <v>830</v>
      </c>
      <c r="L51" s="1432">
        <f ca="1">ROUND(-PV(INDIRECT("'数据-取费表'!h"&amp;$G$1),J51,(C39-C13*C76),0),0)</f>
        <v>101207</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35.6</v>
      </c>
      <c r="R52" s="1417" t="s">
        <v>835</v>
      </c>
    </row>
    <row r="53" spans="1:18" s="1381" customFormat="1" ht="24.75" thickBot="1">
      <c r="A53" s="1149" t="s">
        <v>440</v>
      </c>
      <c r="B53" s="1370"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35.6</v>
      </c>
      <c r="K53" s="3748" t="s">
        <v>837</v>
      </c>
      <c r="L53" s="3749"/>
      <c r="O53" s="1415" t="s">
        <v>409</v>
      </c>
      <c r="P53" s="1416" t="s">
        <v>838</v>
      </c>
      <c r="Q53" s="1417">
        <f ca="1">Q47+Q48</f>
        <v>177490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0.27300000000000002</v>
      </c>
      <c r="K55" s="1442" t="s">
        <v>841</v>
      </c>
      <c r="L55" s="1443"/>
      <c r="O55" s="1408" t="s">
        <v>811</v>
      </c>
      <c r="P55" s="1409" t="s">
        <v>812</v>
      </c>
      <c r="Q55" s="1410" t="s">
        <v>813</v>
      </c>
      <c r="R55" s="1410" t="s">
        <v>814</v>
      </c>
    </row>
    <row r="56" spans="1:18" s="1381" customFormat="1" ht="25.5" thickTop="1" thickBot="1">
      <c r="A56" s="954">
        <v>2</v>
      </c>
      <c r="B56" s="955" t="s">
        <v>704</v>
      </c>
      <c r="C56" s="230">
        <f ca="1">C13</f>
        <v>39086</v>
      </c>
      <c r="D56" s="1444"/>
      <c r="E56" s="1445"/>
      <c r="F56" s="1437"/>
      <c r="I56" s="1446" t="s">
        <v>842</v>
      </c>
      <c r="J56" s="1447" t="s">
        <v>3407</v>
      </c>
      <c r="K56" s="1418" t="s">
        <v>843</v>
      </c>
      <c r="L56" s="1421" t="str">
        <f ca="1">IF(L48&lt;J51,"——",L48-J53)</f>
        <v>——</v>
      </c>
      <c r="O56" s="1415" t="s">
        <v>403</v>
      </c>
      <c r="P56" s="1416" t="s">
        <v>817</v>
      </c>
      <c r="Q56" s="1417">
        <f ca="1">C40+J29</f>
        <v>176121</v>
      </c>
      <c r="R56" s="1417" t="s">
        <v>818</v>
      </c>
    </row>
    <row r="57" spans="1:18" s="1381" customFormat="1" ht="24.75" thickBot="1">
      <c r="A57" s="1448"/>
      <c r="B57" s="947" t="s">
        <v>767</v>
      </c>
      <c r="C57" s="236">
        <f ca="1">C29</f>
        <v>44927</v>
      </c>
      <c r="D57" s="1449"/>
      <c r="E57" s="1450"/>
      <c r="F57" s="1451"/>
      <c r="I57" s="1452" t="s">
        <v>844</v>
      </c>
      <c r="J57" s="1453">
        <f ca="1">IF(OR(M47="住宅",J51&lt;L48,J56="是"),"——",J51-L48)</f>
        <v>16.399999999999999</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527</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17971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29">
        <f t="shared" ref="F60:F66" si="0">F32</f>
        <v>5.6000000000000001E-2</v>
      </c>
      <c r="I60" s="1455" t="s">
        <v>853</v>
      </c>
      <c r="J60" s="1456">
        <f ca="1">IF(OR(M47="住宅",J51&lt;L48,J56="是"),"0",ROUND(J59/(1+J52)^J53,0))</f>
        <v>1369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3340</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3">
        <f t="shared" si="0"/>
        <v>0</v>
      </c>
      <c r="I62" s="1459" t="s">
        <v>858</v>
      </c>
      <c r="J62" s="1460" t="s">
        <v>859</v>
      </c>
      <c r="K62" s="1460" t="s">
        <v>860</v>
      </c>
      <c r="L62" s="1460" t="s">
        <v>861</v>
      </c>
      <c r="M62" s="1461" t="s">
        <v>862</v>
      </c>
      <c r="O62" s="1415" t="s">
        <v>409</v>
      </c>
      <c r="P62" s="1416" t="s">
        <v>863</v>
      </c>
      <c r="Q62" s="1417">
        <f ca="1">Q56+Q57</f>
        <v>176121</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449.27</v>
      </c>
      <c r="D64" s="961" t="s">
        <v>791</v>
      </c>
      <c r="E64" s="947" t="s">
        <v>783</v>
      </c>
      <c r="F64" s="326">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78.17</v>
      </c>
      <c r="D65" s="961" t="s">
        <v>743</v>
      </c>
      <c r="E65" s="947" t="s">
        <v>744</v>
      </c>
      <c r="F65" s="328">
        <f t="shared" ca="1" si="0"/>
        <v>2E-3</v>
      </c>
      <c r="I65" s="1459" t="s">
        <v>867</v>
      </c>
      <c r="J65" s="1460">
        <v>40</v>
      </c>
      <c r="K65" s="1460">
        <v>30</v>
      </c>
      <c r="L65" s="1460">
        <v>50</v>
      </c>
      <c r="M65" s="1462">
        <v>0.02</v>
      </c>
      <c r="O65" s="1415" t="s">
        <v>403</v>
      </c>
      <c r="P65" s="1416" t="s">
        <v>868</v>
      </c>
      <c r="Q65" s="1417">
        <f ca="1">C40+J29</f>
        <v>176121</v>
      </c>
      <c r="R65" s="1417" t="s">
        <v>818</v>
      </c>
    </row>
    <row r="66" spans="1:18" s="1381" customFormat="1" ht="16.5" thickBot="1">
      <c r="A66" s="979" t="s">
        <v>793</v>
      </c>
      <c r="B66" s="947" t="s">
        <v>728</v>
      </c>
      <c r="C66" s="21">
        <f ca="1">ROUND(C48*F66,2)</f>
        <v>0</v>
      </c>
      <c r="D66" s="961" t="s">
        <v>794</v>
      </c>
      <c r="E66" s="947" t="s">
        <v>712</v>
      </c>
      <c r="F66" s="310">
        <f t="shared" ca="1" si="0"/>
        <v>1.0999999999999999E-2</v>
      </c>
      <c r="O66" s="1415" t="s">
        <v>404</v>
      </c>
      <c r="P66" s="1416" t="s">
        <v>846</v>
      </c>
      <c r="Q66" s="1417">
        <f ca="1">L60</f>
        <v>0</v>
      </c>
      <c r="R66" s="1417" t="s">
        <v>869</v>
      </c>
    </row>
    <row r="67" spans="1:18" s="1381" customFormat="1" ht="16.5" thickBot="1">
      <c r="A67" s="954" t="s">
        <v>394</v>
      </c>
      <c r="B67" s="964" t="s">
        <v>752</v>
      </c>
      <c r="C67" s="314">
        <f ca="1">C48-C58</f>
        <v>-527</v>
      </c>
      <c r="D67" s="960" t="s">
        <v>753</v>
      </c>
      <c r="E67" s="965"/>
      <c r="F67" s="966"/>
      <c r="O67" s="1425" t="s">
        <v>405</v>
      </c>
      <c r="P67" s="1416" t="s">
        <v>850</v>
      </c>
      <c r="Q67" s="1463">
        <f ca="1">L51</f>
        <v>101207</v>
      </c>
      <c r="R67" s="1417" t="s">
        <v>870</v>
      </c>
    </row>
    <row r="68" spans="1:18" s="1381" customFormat="1" ht="16.5" thickBot="1">
      <c r="A68" s="944" t="s">
        <v>395</v>
      </c>
      <c r="B68" s="945" t="s">
        <v>774</v>
      </c>
      <c r="C68" s="299">
        <f ca="1">ROUND(C67*(1-((1+F70)/(1+F68))^F69)/(F68-F70),0)</f>
        <v>-8157</v>
      </c>
      <c r="D68" s="962" t="s">
        <v>758</v>
      </c>
      <c r="E68" s="947" t="s">
        <v>759</v>
      </c>
      <c r="F68" s="310">
        <f ca="1">F40</f>
        <v>5.5E-2</v>
      </c>
      <c r="O68" s="1425" t="s">
        <v>406</v>
      </c>
      <c r="P68" s="1464" t="s">
        <v>871</v>
      </c>
      <c r="Q68" s="1417">
        <f ca="1">ROUND(Q69-Q70*Q71,0)</f>
        <v>5495</v>
      </c>
      <c r="R68" s="1417" t="s">
        <v>414</v>
      </c>
    </row>
    <row r="69" spans="1:18" s="1381" customFormat="1" ht="13.5" thickBot="1">
      <c r="A69" s="948"/>
      <c r="B69" s="949"/>
      <c r="C69" s="304"/>
      <c r="D69" s="967" t="s">
        <v>762</v>
      </c>
      <c r="E69" s="947" t="s">
        <v>763</v>
      </c>
      <c r="F69" s="331">
        <f ca="1">F41</f>
        <v>35.6</v>
      </c>
      <c r="O69" s="1425" t="s">
        <v>411</v>
      </c>
      <c r="P69" s="1464" t="s">
        <v>872</v>
      </c>
      <c r="Q69" s="1417">
        <f ca="1">C39</f>
        <v>8231</v>
      </c>
      <c r="R69" s="1417" t="s">
        <v>818</v>
      </c>
    </row>
    <row r="70" spans="1:18" s="1381" customFormat="1" ht="13.5" thickBot="1">
      <c r="A70" s="951"/>
      <c r="B70" s="952"/>
      <c r="C70" s="308"/>
      <c r="D70" s="963"/>
      <c r="E70" s="947" t="s">
        <v>766</v>
      </c>
      <c r="F70" s="1051"/>
      <c r="O70" s="1425" t="s">
        <v>412</v>
      </c>
      <c r="P70" s="1464" t="s">
        <v>873</v>
      </c>
      <c r="Q70" s="1417">
        <f ca="1">C13</f>
        <v>39086</v>
      </c>
      <c r="R70" s="1417" t="s">
        <v>818</v>
      </c>
    </row>
    <row r="71" spans="1:18" s="1381" customFormat="1" ht="13.5" thickBot="1">
      <c r="A71" s="968" t="s">
        <v>396</v>
      </c>
      <c r="B71" s="969" t="s">
        <v>776</v>
      </c>
      <c r="C71" s="334">
        <f ca="1">ROUND(C68*10000/F71,0)</f>
        <v>-1460</v>
      </c>
      <c r="D71" s="970" t="s">
        <v>777</v>
      </c>
      <c r="E71" s="971" t="s">
        <v>778</v>
      </c>
      <c r="F71" s="337">
        <f ca="1">F43</f>
        <v>55858.869999999981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2736</v>
      </c>
      <c r="D75" s="1381"/>
      <c r="E75" s="1381"/>
      <c r="F75" s="1381"/>
      <c r="K75" s="1399"/>
      <c r="L75" s="1381"/>
      <c r="O75" s="1415" t="s">
        <v>409</v>
      </c>
      <c r="P75" s="1416" t="s">
        <v>838</v>
      </c>
      <c r="Q75" s="1417">
        <f ca="1">Q65+Q66</f>
        <v>176121</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0.66799999999999993</v>
      </c>
    </row>
    <row r="80" spans="1:18">
      <c r="B80" s="338" t="s">
        <v>800</v>
      </c>
      <c r="C80" s="272">
        <f ca="1">ROUND(C75/C39,3)</f>
        <v>0.33200000000000002</v>
      </c>
    </row>
    <row r="81" spans="2:3">
      <c r="B81" s="268" t="s">
        <v>801</v>
      </c>
      <c r="C81" s="236"/>
    </row>
    <row r="82" spans="2:3">
      <c r="B82" s="271" t="s">
        <v>802</v>
      </c>
      <c r="C82" s="273">
        <f ca="1">1-C83</f>
        <v>0.77800000000000002</v>
      </c>
    </row>
    <row r="83" spans="2:3">
      <c r="B83" s="271" t="s">
        <v>803</v>
      </c>
      <c r="C83" s="272">
        <f ca="1">ROUND(C13/C40,3)</f>
        <v>0.222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c r="D1" s="1359" t="s">
        <v>43</v>
      </c>
      <c r="E1" s="1360" t="s">
        <v>678</v>
      </c>
      <c r="F1" s="1059">
        <f ca="1">J53</f>
        <v>0</v>
      </c>
      <c r="G1" s="1375">
        <f>MATCH(C1,'数据-取费表'!A6:A16,0)+5</f>
        <v>7</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0</v>
      </c>
      <c r="D5" s="1361" t="s">
        <v>889</v>
      </c>
      <c r="E5" s="1068"/>
      <c r="F5" s="1069"/>
      <c r="G5" s="1381"/>
      <c r="H5" s="297">
        <v>1</v>
      </c>
      <c r="I5" s="298" t="s">
        <v>888</v>
      </c>
      <c r="J5" s="1067">
        <f ca="1">J6+J10+J12</f>
        <v>0</v>
      </c>
      <c r="K5" s="1361" t="s">
        <v>889</v>
      </c>
      <c r="L5" s="1068"/>
      <c r="M5" s="1069"/>
    </row>
    <row r="6" spans="1:37" ht="18" customHeight="1">
      <c r="A6" s="1066" t="s">
        <v>398</v>
      </c>
      <c r="B6" s="3750" t="s">
        <v>694</v>
      </c>
      <c r="C6" s="1071">
        <f ca="1">ROUND(F6*F8*F7*(1-F9),0)</f>
        <v>0</v>
      </c>
      <c r="D6" s="153" t="s">
        <v>2106</v>
      </c>
      <c r="E6" s="300" t="s">
        <v>696</v>
      </c>
      <c r="F6" s="301">
        <f ca="1">INDIRECT("'数据-取费表'!u"&amp;$G$1)</f>
        <v>0</v>
      </c>
      <c r="G6" s="1381"/>
      <c r="H6" s="1066" t="s">
        <v>398</v>
      </c>
      <c r="I6" s="3750" t="s">
        <v>694</v>
      </c>
      <c r="J6" s="299">
        <f ca="1">ROUND(M6*M8*M7*(1-M9),0)</f>
        <v>0</v>
      </c>
      <c r="K6" s="1373" t="s">
        <v>2107</v>
      </c>
      <c r="L6" s="300" t="s">
        <v>696</v>
      </c>
      <c r="M6" s="301">
        <f ca="1">INDIRECT("'数据-取费表'!z"&amp;$G$1)</f>
        <v>0</v>
      </c>
    </row>
    <row r="7" spans="1:37" ht="18" customHeight="1">
      <c r="A7" s="1070"/>
      <c r="B7" s="3751"/>
      <c r="C7" s="1072"/>
      <c r="D7" s="305"/>
      <c r="E7" s="1073" t="s">
        <v>697</v>
      </c>
      <c r="F7" s="301">
        <f ca="1">IF(INDIRECT("'数据-取费表'!ah"&amp;$G$1)="",INDIRECT("'数据-取费表'!k"&amp;$G$1),INDIRECT("'数据-取费表'!ah"&amp;$G$1))</f>
        <v>0</v>
      </c>
      <c r="G7" s="1381"/>
      <c r="H7" s="302"/>
      <c r="I7" s="3751"/>
      <c r="J7" s="304"/>
      <c r="K7" s="305"/>
      <c r="L7" s="300" t="s">
        <v>697</v>
      </c>
      <c r="M7" s="301">
        <f ca="1">F7</f>
        <v>0</v>
      </c>
    </row>
    <row r="8" spans="1:37" ht="18" customHeight="1">
      <c r="A8" s="302"/>
      <c r="B8" s="3751"/>
      <c r="C8" s="304"/>
      <c r="D8" s="305"/>
      <c r="E8" s="300" t="s">
        <v>698</v>
      </c>
      <c r="F8" s="301">
        <f ca="1">INDIRECT("'数据-取费表'!ai"&amp;$G$1)</f>
        <v>0</v>
      </c>
      <c r="G8" s="1381"/>
      <c r="H8" s="302"/>
      <c r="I8" s="3751"/>
      <c r="J8" s="304"/>
      <c r="K8" s="305"/>
      <c r="L8" s="300" t="s">
        <v>698</v>
      </c>
      <c r="M8" s="301">
        <f ca="1">INDIRECT("'数据-取费表'!ai"&amp;$G$1)</f>
        <v>0</v>
      </c>
    </row>
    <row r="9" spans="1:37" ht="18" customHeight="1">
      <c r="A9" s="302"/>
      <c r="B9" s="3752"/>
      <c r="C9" s="304"/>
      <c r="D9" s="305"/>
      <c r="E9" s="300" t="s">
        <v>699</v>
      </c>
      <c r="F9" s="310">
        <f ca="1">INDIRECT("'数据-取费表'!w"&amp;$G$1)</f>
        <v>0</v>
      </c>
      <c r="G9" s="1381"/>
      <c r="H9" s="302"/>
      <c r="I9" s="3752"/>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2116</v>
      </c>
      <c r="E10" s="311" t="s">
        <v>701</v>
      </c>
      <c r="F10" s="1113"/>
      <c r="G10" s="1381"/>
      <c r="H10" s="1066" t="s">
        <v>402</v>
      </c>
      <c r="I10" s="1362" t="s">
        <v>700</v>
      </c>
      <c r="J10" s="299">
        <f ca="1">ROUND(IF(M10="押一",J6/12*M11,IF(M10="押二",J6/12*2*M11,IF(M10="押三",J6/12*3*M11,J11*M11))),0)</f>
        <v>0</v>
      </c>
      <c r="K10" s="1374" t="s">
        <v>2118</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0</v>
      </c>
      <c r="D14" s="1342" t="s">
        <v>708</v>
      </c>
      <c r="E14" s="1339"/>
      <c r="F14" s="317"/>
      <c r="G14" s="1381"/>
      <c r="H14" s="979" t="s">
        <v>398</v>
      </c>
      <c r="I14" s="300" t="s">
        <v>709</v>
      </c>
      <c r="J14" s="21">
        <f ca="1">C29</f>
        <v>0</v>
      </c>
      <c r="K14" s="12"/>
      <c r="L14" s="804"/>
      <c r="M14" s="805"/>
    </row>
    <row r="15" spans="1:37" s="1394" customFormat="1" ht="18" customHeight="1" thickBot="1">
      <c r="A15" s="979" t="s">
        <v>399</v>
      </c>
      <c r="B15" s="300" t="s">
        <v>710</v>
      </c>
      <c r="C15" s="21">
        <f ca="1">ROUND(C14*F15,0)</f>
        <v>0</v>
      </c>
      <c r="D15" s="318" t="s">
        <v>711</v>
      </c>
      <c r="E15" s="318" t="s">
        <v>712</v>
      </c>
      <c r="F15" s="319">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0</v>
      </c>
      <c r="K16" s="1084" t="s">
        <v>715</v>
      </c>
      <c r="L16" s="1085"/>
      <c r="M16" s="1069"/>
    </row>
    <row r="17" spans="1:37" s="1394" customFormat="1" ht="18" customHeight="1">
      <c r="A17" s="979" t="s">
        <v>681</v>
      </c>
      <c r="B17" s="300" t="s">
        <v>716</v>
      </c>
      <c r="C17" s="21">
        <f ca="1">ROUND(F17*(F43+INDIRECT("'数据-取费表'!S"&amp;$G$1)),0)</f>
        <v>0</v>
      </c>
      <c r="D17" s="300" t="s">
        <v>717</v>
      </c>
      <c r="E17" s="300" t="s">
        <v>718</v>
      </c>
      <c r="F17" s="23">
        <f>'数据-取费表'!B35</f>
        <v>200</v>
      </c>
      <c r="G17" s="1393"/>
      <c r="H17" s="979" t="s">
        <v>398</v>
      </c>
      <c r="I17" s="300"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0</v>
      </c>
      <c r="D18" s="300" t="s">
        <v>711</v>
      </c>
      <c r="E18" s="300" t="s">
        <v>712</v>
      </c>
      <c r="F18" s="320">
        <f>'数据-取费表'!B36</f>
        <v>0.02</v>
      </c>
      <c r="G18" s="1393"/>
      <c r="H18" s="979" t="s">
        <v>397</v>
      </c>
      <c r="I18" s="300" t="s">
        <v>723</v>
      </c>
      <c r="J18" s="21">
        <f ca="1">ROUND(J6*M18/(1+'数据-取费表'!C42),0)</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0</v>
      </c>
      <c r="D19" s="129" t="s">
        <v>726</v>
      </c>
      <c r="E19" s="1357"/>
      <c r="F19" s="23"/>
      <c r="G19" s="1381"/>
      <c r="H19" s="979" t="s">
        <v>399</v>
      </c>
      <c r="I19" s="300" t="s">
        <v>727</v>
      </c>
      <c r="J19" s="21">
        <f ca="1">IF(K19="按租金收入计税",ROUND(J6*M19/(1+'数据-取费表'!C42),0),ROUND(C29*M19*0.7,0))</f>
        <v>0</v>
      </c>
      <c r="K19" s="1367" t="s">
        <v>3340</v>
      </c>
      <c r="L19" s="300" t="s">
        <v>712</v>
      </c>
      <c r="M19" s="320">
        <f>IF(K19="按租金收入计税",'数据-取费表'!B51,'数据-取费表'!B50)</f>
        <v>0.12</v>
      </c>
    </row>
    <row r="20" spans="1:37" s="1394" customFormat="1" ht="18" customHeight="1">
      <c r="A20" s="979" t="s">
        <v>402</v>
      </c>
      <c r="B20" s="300" t="s">
        <v>728</v>
      </c>
      <c r="C20" s="21">
        <f ca="1">ROUND(C19*F20,0)</f>
        <v>0</v>
      </c>
      <c r="D20" s="321" t="s">
        <v>729</v>
      </c>
      <c r="E20" s="300" t="s">
        <v>712</v>
      </c>
      <c r="F20" s="320">
        <f>'数据-取费表'!B37</f>
        <v>0.03</v>
      </c>
      <c r="G20" s="1393"/>
      <c r="H20" s="979" t="s">
        <v>680</v>
      </c>
      <c r="I20" s="153" t="s">
        <v>730</v>
      </c>
      <c r="J20" s="22">
        <f ca="1">ROUND(M20*M21,0)</f>
        <v>0</v>
      </c>
      <c r="K20" s="322" t="s">
        <v>731</v>
      </c>
      <c r="L20" s="300" t="s">
        <v>732</v>
      </c>
      <c r="M20" s="323">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ROUND(J14*M22,0)</f>
        <v>0</v>
      </c>
      <c r="K22" s="1341" t="s">
        <v>739</v>
      </c>
      <c r="L22" s="300" t="s">
        <v>712</v>
      </c>
      <c r="M22" s="326">
        <f ca="1">INDIRECT("'数据-取费表'!Ak"&amp;$G$1)</f>
        <v>0</v>
      </c>
    </row>
    <row r="23" spans="1:37" s="1394" customFormat="1" ht="18" customHeight="1">
      <c r="A23" s="979"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ROUND(J13*M23,0)</f>
        <v>0</v>
      </c>
      <c r="K23" s="1341" t="s">
        <v>743</v>
      </c>
      <c r="L23" s="300" t="s">
        <v>744</v>
      </c>
      <c r="M23" s="328">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0</v>
      </c>
      <c r="K25" s="1092" t="s">
        <v>753</v>
      </c>
      <c r="L25" s="1093"/>
      <c r="M25" s="1094"/>
    </row>
    <row r="26" spans="1:37" ht="18" customHeight="1">
      <c r="A26" s="979" t="s">
        <v>397</v>
      </c>
      <c r="B26" s="300" t="s">
        <v>754</v>
      </c>
      <c r="C26" s="21">
        <f ca="1">ROUND((C19+C20)*F26,0)</f>
        <v>0</v>
      </c>
      <c r="D26" s="321" t="s">
        <v>755</v>
      </c>
      <c r="E26" s="311" t="s">
        <v>756</v>
      </c>
      <c r="F26" s="310">
        <f ca="1">INDIRECT("'数据-取费表'!q"&amp;$G$1)</f>
        <v>0</v>
      </c>
      <c r="G26" s="1381"/>
      <c r="H26" s="297" t="s">
        <v>395</v>
      </c>
      <c r="I26" s="298" t="s">
        <v>757</v>
      </c>
      <c r="J26" s="299">
        <f ca="1">IF(J5&lt;&gt;0,ROUND(J25*(1-((1+M28)/(1+M26))^M27)/(M26-M28),0),0)</f>
        <v>0</v>
      </c>
      <c r="K26" s="322" t="s">
        <v>758</v>
      </c>
      <c r="L26" s="300" t="s">
        <v>759</v>
      </c>
      <c r="M26" s="310">
        <f ca="1">INDIRECT("'数据-取费表'!I"&amp;$G$1)</f>
        <v>0</v>
      </c>
    </row>
    <row r="27" spans="1:37" ht="18" customHeight="1">
      <c r="A27" s="979" t="s">
        <v>399</v>
      </c>
      <c r="B27" s="300" t="s">
        <v>760</v>
      </c>
      <c r="C27" s="21">
        <f ca="1">ROUND(F21*F26,4)</f>
        <v>0</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2" t="s">
        <v>396</v>
      </c>
      <c r="I29" s="333" t="s">
        <v>768</v>
      </c>
      <c r="J29" s="334">
        <f ca="1">ROUND(J26/(1+F40)^F41,0)</f>
        <v>0</v>
      </c>
      <c r="K29" s="335" t="s">
        <v>769</v>
      </c>
      <c r="L29" s="336"/>
      <c r="M29" s="337">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0</v>
      </c>
      <c r="D30" s="1084" t="s">
        <v>715</v>
      </c>
      <c r="E30" s="1085"/>
      <c r="F30" s="1069"/>
      <c r="G30" s="1381"/>
      <c r="H30" s="2693"/>
      <c r="I30" s="1395"/>
      <c r="J30" s="1396"/>
      <c r="K30" s="2472"/>
      <c r="L30" s="2694"/>
      <c r="M30" s="2695"/>
    </row>
    <row r="31" spans="1:37" ht="18" customHeight="1">
      <c r="A31" s="979" t="s">
        <v>398</v>
      </c>
      <c r="B31" s="300"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4" t="s">
        <v>2310</v>
      </c>
      <c r="I31" s="1395"/>
      <c r="J31" s="1396"/>
      <c r="K31" s="2472"/>
      <c r="L31" s="2694"/>
      <c r="M31" s="2695"/>
    </row>
    <row r="32" spans="1:37" ht="18" customHeight="1">
      <c r="A32" s="979" t="s">
        <v>397</v>
      </c>
      <c r="B32" s="300" t="s">
        <v>723</v>
      </c>
      <c r="C32" s="21">
        <f ca="1">IF(项目基本情况!B11="自然人","——",ROUND(C6*F32/(1+'数据-取费表'!C42),0))</f>
        <v>0</v>
      </c>
      <c r="D32" s="1341" t="s">
        <v>724</v>
      </c>
      <c r="E32" s="300" t="s">
        <v>712</v>
      </c>
      <c r="F32" s="329">
        <f>'数据-取费表'!B41</f>
        <v>5.6000000000000001E-2</v>
      </c>
      <c r="G32" s="1381"/>
      <c r="H32" s="2693"/>
      <c r="I32" s="1395"/>
      <c r="J32" s="1396"/>
      <c r="K32" s="2472"/>
      <c r="L32" s="2694"/>
      <c r="M32" s="2695"/>
    </row>
    <row r="33" spans="1:18" ht="18" customHeight="1">
      <c r="A33" s="979" t="s">
        <v>399</v>
      </c>
      <c r="B33" s="300" t="s">
        <v>727</v>
      </c>
      <c r="C33" s="21">
        <f ca="1">IF(项目基本情况!B11="自然人","——",IF(D33="按租金收入计税",ROUND(C6*F33/(1+'数据-取费表'!C42),0),IF(D33="按房产原值计税",ROUND(C29*F33*0.7,0),INDIRECT("'数据-取费表'!Aj"&amp;$G$1))))</f>
        <v>0</v>
      </c>
      <c r="D33" s="1367" t="s">
        <v>3340</v>
      </c>
      <c r="E33" s="300" t="s">
        <v>712</v>
      </c>
      <c r="F33" s="320">
        <f>IF(D33="按票据","——",IF(D33="按租金收入计税",'数据-取费表'!B51,'数据-取费表'!B50))</f>
        <v>0.12</v>
      </c>
      <c r="G33" s="1381"/>
      <c r="H33" s="2696"/>
      <c r="I33" s="1395"/>
      <c r="J33" s="1396"/>
      <c r="K33" s="2697"/>
      <c r="L33" s="2696"/>
      <c r="M33" s="2696"/>
    </row>
    <row r="34" spans="1:18" ht="18" customHeight="1">
      <c r="A34" s="1066" t="s">
        <v>680</v>
      </c>
      <c r="B34" s="153" t="s">
        <v>730</v>
      </c>
      <c r="C34" s="22">
        <f ca="1">IF(项目基本情况!B11="自然人","——",ROUND(F34*F35,0))</f>
        <v>0</v>
      </c>
      <c r="D34" s="322" t="s">
        <v>731</v>
      </c>
      <c r="E34" s="300" t="s">
        <v>732</v>
      </c>
      <c r="F34" s="323">
        <f>'数据-取费表'!B52</f>
        <v>0</v>
      </c>
      <c r="G34" s="1381"/>
      <c r="H34" s="2693"/>
      <c r="I34" s="1395"/>
      <c r="J34" s="1396"/>
      <c r="K34" s="2698"/>
      <c r="L34" s="2699"/>
      <c r="M34" s="2699"/>
    </row>
    <row r="35" spans="1:18" ht="18" customHeight="1">
      <c r="A35" s="1100"/>
      <c r="B35" s="1098"/>
      <c r="C35" s="26"/>
      <c r="D35" s="325"/>
      <c r="E35" s="300" t="s">
        <v>736</v>
      </c>
      <c r="F35" s="301">
        <f ca="1">INDIRECT("'数据-取费表'!r"&amp;$G$1)</f>
        <v>0</v>
      </c>
      <c r="G35" s="1381"/>
      <c r="H35" s="2693"/>
      <c r="I35" s="1395"/>
      <c r="J35" s="1396"/>
      <c r="K35" s="2697"/>
      <c r="L35" s="2696"/>
      <c r="M35" s="2696"/>
    </row>
    <row r="36" spans="1:18" ht="18" customHeight="1">
      <c r="A36" s="1099" t="s">
        <v>402</v>
      </c>
      <c r="B36" s="300" t="s">
        <v>738</v>
      </c>
      <c r="C36" s="21">
        <f ca="1">ROUND(C29*F36,0)</f>
        <v>0</v>
      </c>
      <c r="D36" s="1341" t="s">
        <v>771</v>
      </c>
      <c r="E36" s="300" t="s">
        <v>712</v>
      </c>
      <c r="F36" s="326">
        <f ca="1">INDIRECT("'数据-取费表'!Ak"&amp;$G$1)</f>
        <v>0</v>
      </c>
      <c r="G36" s="1381"/>
      <c r="H36" s="2696"/>
      <c r="I36" s="1395"/>
      <c r="J36" s="1396"/>
      <c r="K36" s="2541"/>
      <c r="L36" s="2696"/>
      <c r="M36" s="2696"/>
    </row>
    <row r="37" spans="1:18" ht="18" customHeight="1">
      <c r="A37" s="979" t="s">
        <v>437</v>
      </c>
      <c r="B37" s="300" t="s">
        <v>742</v>
      </c>
      <c r="C37" s="21">
        <f ca="1">ROUND(C13*F37,0)</f>
        <v>0</v>
      </c>
      <c r="D37" s="1341" t="s">
        <v>743</v>
      </c>
      <c r="E37" s="300" t="s">
        <v>744</v>
      </c>
      <c r="F37" s="328">
        <f ca="1">INDIRECT("'数据-取费表'!Al"&amp;$G$1)</f>
        <v>0</v>
      </c>
      <c r="G37" s="1381"/>
      <c r="H37" s="2696"/>
      <c r="I37" s="1395"/>
      <c r="J37" s="1396"/>
      <c r="K37" s="2541"/>
      <c r="L37" s="2696"/>
      <c r="M37" s="2696"/>
    </row>
    <row r="38" spans="1:18" ht="18" customHeight="1" thickBot="1">
      <c r="A38" s="1086" t="s">
        <v>684</v>
      </c>
      <c r="B38" s="1087" t="s">
        <v>728</v>
      </c>
      <c r="C38" s="1088">
        <f ca="1">ROUND(C5*F38,0)</f>
        <v>0</v>
      </c>
      <c r="D38" s="1089" t="s">
        <v>748</v>
      </c>
      <c r="E38" s="1087" t="s">
        <v>744</v>
      </c>
      <c r="F38" s="1083">
        <f ca="1">INDIRECT("'数据-取费表'!Am"&amp;$G$1)</f>
        <v>0</v>
      </c>
      <c r="G38" s="1381"/>
      <c r="H38" s="2696"/>
      <c r="I38" s="1395"/>
      <c r="J38" s="1396"/>
      <c r="K38" s="2700"/>
      <c r="L38" s="2696"/>
      <c r="M38" s="2696"/>
    </row>
    <row r="39" spans="1:18" ht="24.6" customHeight="1" thickTop="1">
      <c r="A39" s="1076" t="s">
        <v>394</v>
      </c>
      <c r="B39" s="1091" t="s">
        <v>772</v>
      </c>
      <c r="C39" s="308">
        <f ca="1">C5-C30</f>
        <v>0</v>
      </c>
      <c r="D39" s="1092" t="s">
        <v>773</v>
      </c>
      <c r="E39" s="1093"/>
      <c r="F39" s="1094"/>
      <c r="G39" s="1381"/>
      <c r="H39" s="2696"/>
      <c r="I39" s="1395"/>
      <c r="J39" s="1396"/>
      <c r="K39" s="2700"/>
      <c r="L39" s="2696"/>
      <c r="M39" s="2696"/>
    </row>
    <row r="40" spans="1:18" ht="18" customHeight="1">
      <c r="A40" s="297" t="s">
        <v>395</v>
      </c>
      <c r="B40" s="298" t="s">
        <v>774</v>
      </c>
      <c r="C40" s="299" t="e">
        <f ca="1">ROUND(C39*(1-((1+F42)/(1+F40))^F41)/(F40-F42),0)</f>
        <v>#DIV/0!</v>
      </c>
      <c r="D40" s="322" t="s">
        <v>758</v>
      </c>
      <c r="E40" s="300" t="s">
        <v>759</v>
      </c>
      <c r="F40" s="310">
        <f ca="1">INDIRECT("'数据-取费表'!I"&amp;$G$1)</f>
        <v>0</v>
      </c>
      <c r="G40" s="1381"/>
      <c r="H40" s="1458"/>
      <c r="I40" s="1395"/>
      <c r="J40" s="1396"/>
      <c r="K40" s="2700"/>
      <c r="L40" s="1458"/>
      <c r="M40" s="1458"/>
    </row>
    <row r="41" spans="1:18" ht="18" customHeight="1">
      <c r="A41" s="302"/>
      <c r="B41" s="303"/>
      <c r="C41" s="304"/>
      <c r="D41" s="330" t="s">
        <v>775</v>
      </c>
      <c r="E41" s="300" t="s">
        <v>763</v>
      </c>
      <c r="F41" s="331">
        <f ca="1">IF(INDIRECT("'数据-取费表'!af"&amp;$G$1)=0,INDIRECT("'数据-取费表'!ae"&amp;$G$1),INDIRECT("'数据-取费表'!af"&amp;$G$1))</f>
        <v>0</v>
      </c>
      <c r="G41" s="1381"/>
      <c r="H41" s="1188"/>
      <c r="I41" s="1395"/>
      <c r="J41" s="1396"/>
      <c r="K41" s="2541"/>
      <c r="L41" s="1188"/>
      <c r="M41" s="1188"/>
    </row>
    <row r="42" spans="1:18" ht="18" customHeight="1">
      <c r="A42" s="306"/>
      <c r="B42" s="307"/>
      <c r="C42" s="308"/>
      <c r="D42" s="325"/>
      <c r="E42" s="300" t="s">
        <v>766</v>
      </c>
      <c r="F42" s="310">
        <f ca="1">INDIRECT("'数据-取费表'!v"&amp;$G$1)</f>
        <v>0</v>
      </c>
      <c r="G42" s="1381"/>
      <c r="H42" s="1188"/>
      <c r="I42" s="1395"/>
      <c r="J42" s="1396"/>
      <c r="K42" s="2541"/>
      <c r="L42" s="1188"/>
      <c r="M42" s="1188"/>
    </row>
    <row r="43" spans="1:18" ht="18" customHeight="1" thickBot="1">
      <c r="A43" s="332" t="s">
        <v>396</v>
      </c>
      <c r="B43" s="333" t="s">
        <v>776</v>
      </c>
      <c r="C43" s="334" t="e">
        <f ca="1">ROUND(C40/F43,0)</f>
        <v>#DIV/0!</v>
      </c>
      <c r="D43" s="335" t="s">
        <v>777</v>
      </c>
      <c r="E43" s="336" t="s">
        <v>778</v>
      </c>
      <c r="F43" s="337">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7" t="s">
        <v>3356</v>
      </c>
      <c r="B45" s="1397"/>
      <c r="C45" s="1469" t="e">
        <f ca="1">ROUND((C68-C40)/10000,4)</f>
        <v>#DIV/0!</v>
      </c>
      <c r="D45" s="3428" t="s">
        <v>3357</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8"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1">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1" t="s">
        <v>700</v>
      </c>
      <c r="C53" s="314">
        <f ca="1">ROUND(IF(F53="押一",C49/12*F11,IF(F53="押二",C49/12*2*F11,IF(F53="押三",C49/12*3*F11,C54*F11))),0)</f>
        <v>0</v>
      </c>
      <c r="D53" s="1363" t="s">
        <v>2119</v>
      </c>
      <c r="E53" s="311" t="s">
        <v>701</v>
      </c>
      <c r="F53" s="1113"/>
      <c r="I53" s="1436" t="s">
        <v>836</v>
      </c>
      <c r="J53" s="2165">
        <f ca="1">IF(M47="住宅",IF(D1="——",MAX(J51,L48),MAX(J51,L48-'数据-取费表'!B24)),IF(D1="——",MIN(J51,L48),MIN(J51,L48-'数据-取费表'!B24)))</f>
        <v>0</v>
      </c>
      <c r="K53" s="3748" t="s">
        <v>837</v>
      </c>
      <c r="L53" s="3749"/>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6">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3" t="s">
        <v>393</v>
      </c>
      <c r="B58" s="955" t="s">
        <v>714</v>
      </c>
      <c r="C58" s="314">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29">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3340</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3">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6">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28">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0">
        <f t="shared" ca="1" si="0"/>
        <v>0</v>
      </c>
      <c r="O66" s="1415" t="s">
        <v>404</v>
      </c>
      <c r="P66" s="1416" t="s">
        <v>846</v>
      </c>
      <c r="Q66" s="1417" t="e">
        <f ca="1">L60</f>
        <v>#DIV/0!</v>
      </c>
      <c r="R66" s="1417" t="s">
        <v>869</v>
      </c>
    </row>
    <row r="67" spans="1:18" s="1381" customFormat="1" ht="16.5" thickBot="1">
      <c r="A67" s="954" t="s">
        <v>394</v>
      </c>
      <c r="B67" s="964" t="s">
        <v>752</v>
      </c>
      <c r="C67" s="314">
        <f ca="1">C48-C58</f>
        <v>0</v>
      </c>
      <c r="D67" s="960" t="s">
        <v>753</v>
      </c>
      <c r="E67" s="965"/>
      <c r="F67" s="966"/>
      <c r="O67" s="1425" t="s">
        <v>405</v>
      </c>
      <c r="P67" s="1416" t="s">
        <v>850</v>
      </c>
      <c r="Q67" s="1463">
        <f ca="1">L51</f>
        <v>0</v>
      </c>
      <c r="R67" s="1417" t="s">
        <v>870</v>
      </c>
    </row>
    <row r="68" spans="1:18" s="1381" customFormat="1" ht="16.5" thickBot="1">
      <c r="A68" s="944" t="s">
        <v>395</v>
      </c>
      <c r="B68" s="945" t="s">
        <v>774</v>
      </c>
      <c r="C68" s="299" t="e">
        <f ca="1">ROUND(C67*(1-((1+F70)/(1+F68))^F69)/(F68-F70),0)</f>
        <v>#DIV/0!</v>
      </c>
      <c r="D68" s="962" t="s">
        <v>758</v>
      </c>
      <c r="E68" s="947" t="s">
        <v>759</v>
      </c>
      <c r="F68" s="310">
        <f ca="1">F40</f>
        <v>0</v>
      </c>
      <c r="O68" s="1425" t="s">
        <v>406</v>
      </c>
      <c r="P68" s="1464" t="s">
        <v>871</v>
      </c>
      <c r="Q68" s="1417">
        <f ca="1">ROUND(Q69-Q70*Q71,0)</f>
        <v>0</v>
      </c>
      <c r="R68" s="1417" t="s">
        <v>414</v>
      </c>
    </row>
    <row r="69" spans="1:18" s="1381" customFormat="1" ht="13.5" thickBot="1">
      <c r="A69" s="948"/>
      <c r="B69" s="949"/>
      <c r="C69" s="304"/>
      <c r="D69" s="967" t="s">
        <v>762</v>
      </c>
      <c r="E69" s="947" t="s">
        <v>763</v>
      </c>
      <c r="F69" s="331">
        <f ca="1">F41</f>
        <v>0</v>
      </c>
      <c r="O69" s="1425" t="s">
        <v>411</v>
      </c>
      <c r="P69" s="1464" t="s">
        <v>872</v>
      </c>
      <c r="Q69" s="1417">
        <f ca="1">C39</f>
        <v>0</v>
      </c>
      <c r="R69" s="1417" t="s">
        <v>818</v>
      </c>
    </row>
    <row r="70" spans="1:18" s="1381" customFormat="1" ht="13.5" thickBot="1">
      <c r="A70" s="951"/>
      <c r="B70" s="952"/>
      <c r="C70" s="308"/>
      <c r="D70" s="963"/>
      <c r="E70" s="947" t="s">
        <v>766</v>
      </c>
      <c r="F70" s="1051"/>
      <c r="O70" s="1425" t="s">
        <v>412</v>
      </c>
      <c r="P70" s="1464" t="s">
        <v>873</v>
      </c>
      <c r="Q70" s="1417">
        <f ca="1">C13</f>
        <v>0</v>
      </c>
      <c r="R70" s="1417" t="s">
        <v>818</v>
      </c>
    </row>
    <row r="71" spans="1:18" s="1381" customFormat="1" ht="13.5" thickBot="1">
      <c r="A71" s="968" t="s">
        <v>396</v>
      </c>
      <c r="B71" s="969" t="s">
        <v>776</v>
      </c>
      <c r="C71" s="334" t="e">
        <f ca="1">ROUND(C68/F71,0)</f>
        <v>#DIV/0!</v>
      </c>
      <c r="D71" s="970" t="s">
        <v>777</v>
      </c>
      <c r="E71" s="971" t="s">
        <v>778</v>
      </c>
      <c r="F71" s="337">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0</v>
      </c>
      <c r="D75" s="1381"/>
      <c r="E75" s="1381"/>
      <c r="F75" s="1381"/>
      <c r="K75" s="1399"/>
      <c r="L75" s="1381"/>
      <c r="O75" s="1415" t="s">
        <v>409</v>
      </c>
      <c r="P75" s="1416" t="s">
        <v>838</v>
      </c>
      <c r="Q75" s="1417" t="e">
        <f ca="1">Q65+Q66</f>
        <v>#DIV/0!</v>
      </c>
      <c r="R75" s="1417" t="s">
        <v>410</v>
      </c>
    </row>
    <row r="76" spans="1:18">
      <c r="B76" s="340" t="s">
        <v>796</v>
      </c>
      <c r="C76" s="341">
        <f ca="1">INDIRECT("'数据-取费表'!j"&amp;$G$1)</f>
        <v>0</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2" t="s">
        <v>2319</v>
      </c>
      <c r="B2" s="2839" t="e">
        <f>IF(D2="——",C40,C40+E2)</f>
        <v>#DIV/0!</v>
      </c>
      <c r="C2" s="2840" t="s">
        <v>2320</v>
      </c>
      <c r="D2" s="3439" t="s">
        <v>3363</v>
      </c>
      <c r="E2" s="3440"/>
      <c r="F2" s="2842"/>
      <c r="G2" s="2843"/>
      <c r="H2" s="2844"/>
      <c r="I2" s="2845"/>
      <c r="J2" s="3759" t="s">
        <v>2321</v>
      </c>
      <c r="K2" s="3760"/>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61" t="s">
        <v>2331</v>
      </c>
      <c r="K3" s="3762"/>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61" t="s">
        <v>2333</v>
      </c>
      <c r="K4" s="3762"/>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67" t="s">
        <v>2337</v>
      </c>
      <c r="B6" s="3768"/>
      <c r="C6" s="3769"/>
      <c r="D6" s="2866"/>
      <c r="E6" s="2867"/>
      <c r="F6" s="2868"/>
      <c r="G6" s="2869"/>
      <c r="H6" s="2844"/>
      <c r="I6" s="2845"/>
      <c r="J6" s="3753">
        <v>1</v>
      </c>
      <c r="K6" s="3754"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53"/>
      <c r="K7" s="3755"/>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70" t="s">
        <v>2351</v>
      </c>
      <c r="C8" s="3771"/>
      <c r="D8" s="2885" t="s">
        <v>2352</v>
      </c>
      <c r="E8" s="2886" t="s">
        <v>2353</v>
      </c>
      <c r="F8" s="2887" t="s">
        <v>2354</v>
      </c>
      <c r="G8" s="2888"/>
      <c r="H8" s="2844"/>
      <c r="I8" s="2845"/>
      <c r="J8" s="3753"/>
      <c r="K8" s="3755"/>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70" t="s">
        <v>2357</v>
      </c>
      <c r="C9" s="3771"/>
      <c r="D9" s="2885">
        <f>ROUND(D6*E9,0)</f>
        <v>0</v>
      </c>
      <c r="E9" s="2889"/>
      <c r="F9" s="2890" t="s">
        <v>2358</v>
      </c>
      <c r="G9" s="2869"/>
      <c r="H9" s="2844"/>
      <c r="I9" s="2845"/>
      <c r="J9" s="3753"/>
      <c r="K9" s="3755"/>
      <c r="L9" s="2879" t="s">
        <v>2359</v>
      </c>
      <c r="M9" s="2880"/>
      <c r="N9" s="2856"/>
      <c r="O9" s="2881"/>
      <c r="P9" s="2881"/>
      <c r="Q9" s="2882">
        <v>365</v>
      </c>
      <c r="R9" s="2883">
        <f t="shared" si="0"/>
        <v>0</v>
      </c>
      <c r="S9" s="2837"/>
      <c r="T9" s="2837"/>
      <c r="U9" s="2837"/>
      <c r="V9" s="2845"/>
    </row>
    <row r="10" spans="1:22" s="2849" customFormat="1" ht="13.15" customHeight="1">
      <c r="A10" s="2884">
        <v>2</v>
      </c>
      <c r="B10" s="3770" t="s">
        <v>2360</v>
      </c>
      <c r="C10" s="3771"/>
      <c r="D10" s="2885">
        <f>ROUND(D6*E10,0)</f>
        <v>0</v>
      </c>
      <c r="E10" s="2889"/>
      <c r="F10" s="2890" t="s">
        <v>2361</v>
      </c>
      <c r="G10" s="2869"/>
      <c r="H10" s="2844"/>
      <c r="I10" s="2845"/>
      <c r="J10" s="3753"/>
      <c r="K10" s="3755"/>
      <c r="L10" s="2879" t="s">
        <v>2362</v>
      </c>
      <c r="M10" s="2880"/>
      <c r="N10" s="2856"/>
      <c r="O10" s="2881"/>
      <c r="P10" s="2881"/>
      <c r="Q10" s="2882">
        <v>365</v>
      </c>
      <c r="R10" s="2883">
        <f t="shared" si="0"/>
        <v>0</v>
      </c>
      <c r="S10" s="2837"/>
      <c r="T10" s="2837"/>
      <c r="U10" s="2837"/>
      <c r="V10" s="2845"/>
    </row>
    <row r="11" spans="1:22" s="2849" customFormat="1" ht="13.15" customHeight="1">
      <c r="A11" s="2884">
        <v>3</v>
      </c>
      <c r="B11" s="3770" t="s">
        <v>2363</v>
      </c>
      <c r="C11" s="3771"/>
      <c r="D11" s="2885">
        <f>D12+D14+D15+D16</f>
        <v>0</v>
      </c>
      <c r="E11" s="2891" t="e">
        <f>D11/D6</f>
        <v>#DIV/0!</v>
      </c>
      <c r="F11" s="2887"/>
      <c r="G11" s="2888"/>
      <c r="H11" s="2844"/>
      <c r="I11" s="2845"/>
      <c r="J11" s="3753"/>
      <c r="K11" s="3755"/>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63" t="s">
        <v>2366</v>
      </c>
      <c r="C12" s="3764"/>
      <c r="D12" s="2893">
        <f>ROUND(D13*1.2%*(1-30%),0)</f>
        <v>0</v>
      </c>
      <c r="E12" s="2894">
        <v>1.2E-2</v>
      </c>
      <c r="F12" s="2887" t="s">
        <v>2367</v>
      </c>
      <c r="G12" s="2888"/>
      <c r="H12" s="2844"/>
      <c r="I12" s="2845"/>
      <c r="J12" s="3753"/>
      <c r="K12" s="3755"/>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53"/>
      <c r="K13" s="3755"/>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63" t="s">
        <v>2372</v>
      </c>
      <c r="C14" s="3764"/>
      <c r="D14" s="2893">
        <f>ROUND(E14*B5/10000,0)</f>
        <v>0</v>
      </c>
      <c r="E14" s="2882"/>
      <c r="F14" s="2887" t="s">
        <v>2373</v>
      </c>
      <c r="G14" s="2888"/>
      <c r="H14" s="2844"/>
      <c r="I14" s="2845"/>
      <c r="J14" s="3753"/>
      <c r="K14" s="3756"/>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63" t="s">
        <v>2376</v>
      </c>
      <c r="C15" s="3764"/>
      <c r="D15" s="2893">
        <f>ROUND(D6*E15,0)</f>
        <v>0</v>
      </c>
      <c r="E15" s="2894">
        <v>5.5E-2</v>
      </c>
      <c r="F15" s="2887" t="s">
        <v>2377</v>
      </c>
      <c r="G15" s="2869"/>
      <c r="H15" s="2844"/>
      <c r="I15" s="2845"/>
      <c r="J15" s="3753">
        <v>2</v>
      </c>
      <c r="K15" s="3754"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63" t="s">
        <v>2385</v>
      </c>
      <c r="C16" s="3764"/>
      <c r="D16" s="2904">
        <f>D6*E16</f>
        <v>0</v>
      </c>
      <c r="E16" s="2905"/>
      <c r="F16" s="2890" t="s">
        <v>2386</v>
      </c>
      <c r="G16" s="2869"/>
      <c r="H16" s="2844"/>
      <c r="I16" s="2845"/>
      <c r="J16" s="3753"/>
      <c r="K16" s="3755"/>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65" t="s">
        <v>2388</v>
      </c>
      <c r="C17" s="3766"/>
      <c r="D17" s="2907">
        <f>ROUND(D6*E17,0)</f>
        <v>0</v>
      </c>
      <c r="E17" s="2908"/>
      <c r="F17" s="2909" t="s">
        <v>2389</v>
      </c>
      <c r="G17" s="2869"/>
      <c r="H17" s="2844"/>
      <c r="I17" s="2845"/>
      <c r="J17" s="3753"/>
      <c r="K17" s="3755"/>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53"/>
      <c r="K18" s="3755"/>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53"/>
      <c r="K19" s="3756"/>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3">
        <v>3</v>
      </c>
      <c r="K20" s="3754"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53"/>
      <c r="K21" s="3755"/>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53"/>
      <c r="K22" s="3755"/>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53"/>
      <c r="K23" s="3755"/>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53"/>
      <c r="K24" s="3756"/>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57">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5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59" t="s">
        <v>2321</v>
      </c>
      <c r="K32" s="3760"/>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61" t="s">
        <v>2331</v>
      </c>
      <c r="K33" s="3762"/>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61" t="s">
        <v>2333</v>
      </c>
      <c r="K34" s="376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53">
        <v>1</v>
      </c>
      <c r="K36" s="3754"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53"/>
      <c r="K37" s="3755"/>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3"/>
      <c r="K38" s="3755"/>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53"/>
      <c r="K39" s="3755"/>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53"/>
      <c r="K40" s="3756"/>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7">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5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177490</v>
      </c>
      <c r="C2" s="1869" t="s">
        <v>1651</v>
      </c>
      <c r="D2" s="1870" t="s">
        <v>1652</v>
      </c>
      <c r="E2" s="2604">
        <f>SUM(E6:E13)</f>
        <v>55858.869999999981</v>
      </c>
      <c r="F2" s="2703"/>
      <c r="G2" s="1486"/>
      <c r="H2" s="1486"/>
      <c r="I2" s="1486"/>
      <c r="J2" s="1486"/>
      <c r="K2" s="1486"/>
      <c r="L2" s="1486"/>
      <c r="M2" s="1486"/>
      <c r="N2" s="1486"/>
      <c r="O2" s="1486"/>
      <c r="P2" s="1486"/>
      <c r="Q2" s="1486"/>
      <c r="R2" s="1486"/>
      <c r="S2" s="1486"/>
    </row>
    <row r="3" spans="1:22" ht="15.75">
      <c r="A3" s="1867" t="s">
        <v>686</v>
      </c>
      <c r="B3" s="2598">
        <f ca="1">ROUND(B2*10000/E2,0)</f>
        <v>31775</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600" t="s">
        <v>1653</v>
      </c>
      <c r="B5" s="3772" t="s">
        <v>1654</v>
      </c>
      <c r="C5" s="3773"/>
      <c r="D5" s="2704"/>
      <c r="E5" s="1871" t="s">
        <v>1655</v>
      </c>
      <c r="F5" s="1872" t="s">
        <v>1656</v>
      </c>
      <c r="G5" s="1486"/>
      <c r="H5" s="1486"/>
      <c r="I5" s="1486"/>
      <c r="J5" s="1486"/>
      <c r="K5" s="1486"/>
      <c r="L5" s="1486"/>
      <c r="M5" s="1486"/>
      <c r="N5" s="1486"/>
      <c r="O5" s="1486"/>
      <c r="P5" s="1486"/>
      <c r="Q5" s="1486"/>
      <c r="R5" s="1486"/>
      <c r="S5" s="1486"/>
    </row>
    <row r="6" spans="1:22">
      <c r="A6" s="2601" t="str">
        <f>'数据-取费表'!AN6</f>
        <v>收益法</v>
      </c>
      <c r="B6" s="2599">
        <f ca="1">IF(F6="是",'数据-取费表'!AO6,0)</f>
        <v>177490</v>
      </c>
      <c r="C6" s="1869" t="s">
        <v>1651</v>
      </c>
      <c r="D6" s="2705"/>
      <c r="E6" s="2603">
        <f>IF(OR(A6=0,F6="否"),0,'数据-取费表'!K6+'数据-取费表'!S6)</f>
        <v>55858.869999999981</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5"/>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5"/>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5"/>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5"/>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5"/>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5"/>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6"/>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23"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9"/>
      <c r="M2" s="2710"/>
      <c r="N2" s="2710"/>
      <c r="O2" s="2710"/>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55858.869999999981</v>
      </c>
      <c r="E3" s="904"/>
      <c r="F3" s="1885"/>
      <c r="G3" s="904"/>
      <c r="H3" s="904"/>
      <c r="I3" s="904"/>
      <c r="J3" s="904"/>
      <c r="K3" s="1881"/>
      <c r="L3" s="2709"/>
      <c r="M3" s="2710"/>
      <c r="N3" s="2710"/>
      <c r="O3" s="2710"/>
      <c r="P3" s="1882"/>
      <c r="Q3" s="1883"/>
      <c r="R3" s="1883"/>
      <c r="S3" s="1883"/>
      <c r="T3" s="1883"/>
      <c r="U3" s="1883"/>
      <c r="V3" s="1883"/>
      <c r="W3" s="1883"/>
      <c r="X3" s="1883"/>
      <c r="Y3" s="1883"/>
      <c r="Z3" s="1883"/>
      <c r="AA3" s="1883"/>
      <c r="AB3" s="1883"/>
      <c r="AC3" s="1058"/>
    </row>
    <row r="4" spans="1:29" ht="15">
      <c r="A4" s="353" t="s">
        <v>1666</v>
      </c>
      <c r="B4" s="354"/>
      <c r="C4" s="3719" t="s">
        <v>1667</v>
      </c>
      <c r="D4" s="3720"/>
      <c r="E4" s="3721" t="s">
        <v>1668</v>
      </c>
      <c r="F4" s="3722"/>
      <c r="G4" s="3719" t="s">
        <v>1669</v>
      </c>
      <c r="H4" s="3720"/>
      <c r="I4" s="3719" t="s">
        <v>1670</v>
      </c>
      <c r="J4" s="3720"/>
      <c r="K4" s="1886" t="s">
        <v>1671</v>
      </c>
      <c r="L4" s="2711"/>
      <c r="M4" s="2712"/>
      <c r="N4" s="2712"/>
      <c r="O4" s="2712"/>
      <c r="P4" s="3723" t="s">
        <v>1672</v>
      </c>
      <c r="Q4" s="3724"/>
      <c r="R4" s="3729" t="s">
        <v>1668</v>
      </c>
      <c r="S4" s="3730"/>
      <c r="T4" s="3729" t="s">
        <v>1669</v>
      </c>
      <c r="U4" s="3730"/>
      <c r="V4" s="3735" t="s">
        <v>1670</v>
      </c>
      <c r="W4" s="3735"/>
      <c r="X4" s="1352"/>
      <c r="Y4" s="3729" t="s">
        <v>1672</v>
      </c>
      <c r="Z4" s="3730"/>
      <c r="AA4" s="3716" t="s">
        <v>1668</v>
      </c>
      <c r="AB4" s="3716" t="s">
        <v>1669</v>
      </c>
      <c r="AC4" s="3716" t="s">
        <v>1670</v>
      </c>
    </row>
    <row r="5" spans="1:29" ht="15">
      <c r="A5" s="356"/>
      <c r="B5" s="357"/>
      <c r="C5" s="3738" t="s">
        <v>1673</v>
      </c>
      <c r="D5" s="3739"/>
      <c r="E5" s="3746" t="s">
        <v>1674</v>
      </c>
      <c r="F5" s="3747"/>
      <c r="G5" s="3738" t="s">
        <v>1675</v>
      </c>
      <c r="H5" s="3739"/>
      <c r="I5" s="3738" t="s">
        <v>1676</v>
      </c>
      <c r="J5" s="3739"/>
      <c r="K5" s="1887"/>
      <c r="L5" s="2711"/>
      <c r="M5" s="2712"/>
      <c r="N5" s="2712"/>
      <c r="O5" s="2712"/>
      <c r="P5" s="3725"/>
      <c r="Q5" s="3726"/>
      <c r="R5" s="3731"/>
      <c r="S5" s="3732"/>
      <c r="T5" s="3731"/>
      <c r="U5" s="3732"/>
      <c r="V5" s="3735"/>
      <c r="W5" s="3735"/>
      <c r="X5" s="1352"/>
      <c r="Y5" s="3731"/>
      <c r="Z5" s="3732"/>
      <c r="AA5" s="3717"/>
      <c r="AB5" s="3717"/>
      <c r="AC5" s="3717"/>
    </row>
    <row r="6" spans="1:29" ht="15.75" thickBot="1">
      <c r="A6" s="358"/>
      <c r="B6" s="359"/>
      <c r="C6" s="3736" t="s">
        <v>1677</v>
      </c>
      <c r="D6" s="3737"/>
      <c r="E6" s="3744" t="s">
        <v>1677</v>
      </c>
      <c r="F6" s="3745"/>
      <c r="G6" s="3736" t="s">
        <v>1677</v>
      </c>
      <c r="H6" s="3737"/>
      <c r="I6" s="3736" t="s">
        <v>1677</v>
      </c>
      <c r="J6" s="3737"/>
      <c r="K6" s="1887" t="s">
        <v>1678</v>
      </c>
      <c r="L6" s="2711"/>
      <c r="M6" s="2712"/>
      <c r="N6" s="2712"/>
      <c r="O6" s="2712"/>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64"/>
      <c r="F7" s="365">
        <f>SUMIF(58:58,YEAR(E7)&amp;"-"&amp;MONTH(E7),59:59)</f>
        <v>0</v>
      </c>
      <c r="G7" s="364"/>
      <c r="H7" s="363">
        <f>SUMIF(58:58,YEAR(G7)&amp;"-"&amp;MONTH(G7),59:59)</f>
        <v>0</v>
      </c>
      <c r="I7" s="364"/>
      <c r="J7" s="363">
        <f>SUMIF(58:58,YEAR(I7)&amp;"-"&amp;MONTH(I7),59:59)</f>
        <v>0</v>
      </c>
      <c r="K7" s="1888"/>
      <c r="L7" s="2713"/>
      <c r="M7" s="2714"/>
      <c r="N7" s="2714"/>
      <c r="O7" s="2714"/>
      <c r="P7" s="3740" t="s">
        <v>1680</v>
      </c>
      <c r="Q7" s="3742"/>
      <c r="R7" s="698" t="s">
        <v>20</v>
      </c>
      <c r="S7" s="699">
        <f t="shared" ref="S7:S15" si="0">F7</f>
        <v>0</v>
      </c>
      <c r="T7" s="698" t="s">
        <v>20</v>
      </c>
      <c r="U7" s="699">
        <f t="shared" ref="U7:U15" si="1">H7</f>
        <v>0</v>
      </c>
      <c r="V7" s="698" t="s">
        <v>20</v>
      </c>
      <c r="W7" s="699">
        <f t="shared" ref="W7:W15" si="2">J7</f>
        <v>0</v>
      </c>
      <c r="X7" s="700"/>
      <c r="Y7" s="3740" t="s">
        <v>1680</v>
      </c>
      <c r="Z7" s="3741"/>
      <c r="AA7" s="701" t="e">
        <f>D7/F7</f>
        <v>#DIV/0!</v>
      </c>
      <c r="AB7" s="701" t="e">
        <f>D7/H7</f>
        <v>#DIV/0!</v>
      </c>
      <c r="AC7" s="701" t="e">
        <f>D7/J7</f>
        <v>#DIV/0!</v>
      </c>
    </row>
    <row r="8" spans="1:29" s="108"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3"/>
      <c r="M8" s="2714"/>
      <c r="N8" s="2714"/>
      <c r="O8" s="2714"/>
      <c r="P8" s="3740" t="s">
        <v>1683</v>
      </c>
      <c r="Q8" s="3741"/>
      <c r="R8" s="698" t="s">
        <v>20</v>
      </c>
      <c r="S8" s="699">
        <f t="shared" si="0"/>
        <v>100</v>
      </c>
      <c r="T8" s="698" t="s">
        <v>20</v>
      </c>
      <c r="U8" s="699">
        <f t="shared" si="1"/>
        <v>100</v>
      </c>
      <c r="V8" s="698" t="s">
        <v>20</v>
      </c>
      <c r="W8" s="699">
        <f t="shared" si="2"/>
        <v>100</v>
      </c>
      <c r="X8" s="700"/>
      <c r="Y8" s="3740" t="s">
        <v>1683</v>
      </c>
      <c r="Z8" s="3741"/>
      <c r="AA8" s="701">
        <f t="shared" ref="AA8:AA19" si="3">D8/F8</f>
        <v>1</v>
      </c>
      <c r="AB8" s="701">
        <f t="shared" ref="AB8:AB19" si="4">D8/H8</f>
        <v>1</v>
      </c>
      <c r="AC8" s="701">
        <f t="shared" ref="AC8:AC19" si="5">D8/J8</f>
        <v>1</v>
      </c>
    </row>
    <row r="9" spans="1:29" s="108"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3"/>
      <c r="M9" s="2714"/>
      <c r="N9" s="2714"/>
      <c r="O9" s="2714"/>
      <c r="P9" s="3779"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1888"/>
      <c r="L10" s="2715"/>
      <c r="M10" s="2716"/>
      <c r="N10" s="2716"/>
      <c r="O10" s="2716"/>
      <c r="P10" s="3779"/>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7"/>
      <c r="M11" s="2712"/>
      <c r="N11" s="2712"/>
      <c r="O11" s="2712"/>
      <c r="P11" s="3779"/>
      <c r="Q11" s="1340" t="str">
        <f t="shared" si="6"/>
        <v>容积率</v>
      </c>
      <c r="R11" s="698" t="s">
        <v>18</v>
      </c>
      <c r="S11" s="699" t="e">
        <f t="shared" si="0"/>
        <v>#N/A</v>
      </c>
      <c r="T11" s="698" t="s">
        <v>18</v>
      </c>
      <c r="U11" s="699" t="e">
        <f t="shared" si="1"/>
        <v>#N/A</v>
      </c>
      <c r="V11" s="698" t="s">
        <v>18</v>
      </c>
      <c r="W11" s="699" t="e">
        <f t="shared" si="2"/>
        <v>#N/A</v>
      </c>
      <c r="X11" s="700"/>
      <c r="Y11" s="3610"/>
      <c r="Z11" s="52" t="str">
        <f t="shared" si="7"/>
        <v>容积率</v>
      </c>
      <c r="AA11" s="701" t="e">
        <f t="shared" si="3"/>
        <v>#N/A</v>
      </c>
      <c r="AB11" s="701" t="e">
        <f t="shared" si="4"/>
        <v>#N/A</v>
      </c>
      <c r="AC11" s="701" t="e">
        <f t="shared" si="5"/>
        <v>#N/A</v>
      </c>
    </row>
    <row r="12" spans="1:29" s="108"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3"/>
      <c r="M12" s="2714"/>
      <c r="N12" s="2714"/>
      <c r="O12" s="2714"/>
      <c r="P12" s="3779"/>
      <c r="Q12" s="1340">
        <f t="shared" si="6"/>
        <v>111</v>
      </c>
      <c r="R12" s="698" t="s">
        <v>18</v>
      </c>
      <c r="S12" s="699">
        <f t="shared" si="0"/>
        <v>100</v>
      </c>
      <c r="T12" s="698" t="s">
        <v>18</v>
      </c>
      <c r="U12" s="699">
        <f t="shared" si="1"/>
        <v>100</v>
      </c>
      <c r="V12" s="698" t="s">
        <v>18</v>
      </c>
      <c r="W12" s="699">
        <f t="shared" si="2"/>
        <v>100</v>
      </c>
      <c r="X12" s="700"/>
      <c r="Y12" s="3610"/>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8"/>
      <c r="M13" s="2712"/>
      <c r="N13" s="2712"/>
      <c r="O13" s="2712"/>
      <c r="P13" s="3779"/>
      <c r="Q13" s="1340">
        <f t="shared" si="6"/>
        <v>111</v>
      </c>
      <c r="R13" s="698" t="s">
        <v>18</v>
      </c>
      <c r="S13" s="699">
        <f t="shared" si="0"/>
        <v>100</v>
      </c>
      <c r="T13" s="698" t="s">
        <v>18</v>
      </c>
      <c r="U13" s="699">
        <f t="shared" si="1"/>
        <v>100</v>
      </c>
      <c r="V13" s="698" t="s">
        <v>18</v>
      </c>
      <c r="W13" s="699">
        <f t="shared" si="2"/>
        <v>100</v>
      </c>
      <c r="X13" s="700"/>
      <c r="Y13" s="3610"/>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8"/>
      <c r="M14" s="2712"/>
      <c r="N14" s="2712"/>
      <c r="O14" s="2712"/>
      <c r="P14" s="3779"/>
      <c r="Q14" s="1340">
        <f t="shared" si="6"/>
        <v>111</v>
      </c>
      <c r="R14" s="698" t="s">
        <v>18</v>
      </c>
      <c r="S14" s="699">
        <f t="shared" si="0"/>
        <v>100</v>
      </c>
      <c r="T14" s="698" t="s">
        <v>18</v>
      </c>
      <c r="U14" s="699">
        <f t="shared" si="1"/>
        <v>100</v>
      </c>
      <c r="V14" s="698" t="s">
        <v>18</v>
      </c>
      <c r="W14" s="699">
        <f t="shared" si="2"/>
        <v>100</v>
      </c>
      <c r="X14" s="700"/>
      <c r="Y14" s="3610"/>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8"/>
      <c r="M15" s="2712"/>
      <c r="N15" s="2712"/>
      <c r="O15" s="2712"/>
      <c r="P15" s="3777" t="s">
        <v>1691</v>
      </c>
      <c r="Q15" s="1349" t="str">
        <f t="shared" si="6"/>
        <v>居住社区成熟度</v>
      </c>
      <c r="R15" s="702" t="s">
        <v>18</v>
      </c>
      <c r="S15" s="703">
        <f t="shared" si="0"/>
        <v>100</v>
      </c>
      <c r="T15" s="702" t="s">
        <v>18</v>
      </c>
      <c r="U15" s="703">
        <f t="shared" si="1"/>
        <v>100</v>
      </c>
      <c r="V15" s="702" t="s">
        <v>18</v>
      </c>
      <c r="W15" s="703">
        <f t="shared" si="2"/>
        <v>100</v>
      </c>
      <c r="X15" s="1352"/>
      <c r="Y15" s="3711"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8"/>
      <c r="M16" s="2712"/>
      <c r="N16" s="2712"/>
      <c r="O16" s="2712"/>
      <c r="P16" s="3778"/>
      <c r="Q16" s="1349"/>
      <c r="R16" s="702"/>
      <c r="S16" s="703"/>
      <c r="T16" s="702"/>
      <c r="U16" s="703"/>
      <c r="V16" s="702"/>
      <c r="W16" s="703"/>
      <c r="X16" s="1352"/>
      <c r="Y16" s="3712"/>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8"/>
      <c r="M17" s="2712"/>
      <c r="N17" s="2712"/>
      <c r="O17" s="2712"/>
      <c r="P17" s="3778"/>
      <c r="Q17" s="1349" t="str">
        <f>B17</f>
        <v>交通便捷度</v>
      </c>
      <c r="R17" s="702" t="s">
        <v>18</v>
      </c>
      <c r="S17" s="703">
        <f>F17</f>
        <v>100</v>
      </c>
      <c r="T17" s="702" t="s">
        <v>18</v>
      </c>
      <c r="U17" s="703">
        <f>H17</f>
        <v>100</v>
      </c>
      <c r="V17" s="702" t="s">
        <v>18</v>
      </c>
      <c r="W17" s="703">
        <f>J17</f>
        <v>100</v>
      </c>
      <c r="X17" s="1352"/>
      <c r="Y17" s="3712"/>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8"/>
      <c r="M18" s="2712"/>
      <c r="N18" s="2712"/>
      <c r="O18" s="2712"/>
      <c r="P18" s="3778"/>
      <c r="Q18" s="1349"/>
      <c r="R18" s="702"/>
      <c r="S18" s="703"/>
      <c r="T18" s="702"/>
      <c r="U18" s="703"/>
      <c r="V18" s="702"/>
      <c r="W18" s="703"/>
      <c r="X18" s="1352"/>
      <c r="Y18" s="3712"/>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8"/>
      <c r="M19" s="2712"/>
      <c r="N19" s="2712"/>
      <c r="O19" s="2712"/>
      <c r="P19" s="3778"/>
      <c r="Q19" s="1349" t="str">
        <f>B19</f>
        <v>公共配套设施</v>
      </c>
      <c r="R19" s="702" t="s">
        <v>18</v>
      </c>
      <c r="S19" s="703">
        <f>F19</f>
        <v>100</v>
      </c>
      <c r="T19" s="702" t="s">
        <v>18</v>
      </c>
      <c r="U19" s="703">
        <f>H19</f>
        <v>100</v>
      </c>
      <c r="V19" s="702" t="s">
        <v>18</v>
      </c>
      <c r="W19" s="703">
        <f>J19</f>
        <v>100</v>
      </c>
      <c r="X19" s="1352"/>
      <c r="Y19" s="3712"/>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8"/>
      <c r="M20" s="2712"/>
      <c r="N20" s="2712"/>
      <c r="O20" s="2712"/>
      <c r="P20" s="3778"/>
      <c r="Q20" s="1349"/>
      <c r="R20" s="702"/>
      <c r="S20" s="703"/>
      <c r="T20" s="702"/>
      <c r="U20" s="703"/>
      <c r="V20" s="702"/>
      <c r="W20" s="703"/>
      <c r="X20" s="1352"/>
      <c r="Y20" s="3712"/>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8"/>
      <c r="M21" s="2712"/>
      <c r="N21" s="2712"/>
      <c r="O21" s="2712"/>
      <c r="P21" s="3778"/>
      <c r="Q21" s="1349" t="str">
        <f>B21</f>
        <v>基础设施水平</v>
      </c>
      <c r="R21" s="702" t="s">
        <v>14</v>
      </c>
      <c r="S21" s="703">
        <f>F21</f>
        <v>100</v>
      </c>
      <c r="T21" s="702" t="s">
        <v>14</v>
      </c>
      <c r="U21" s="703">
        <f>H21</f>
        <v>100</v>
      </c>
      <c r="V21" s="702" t="s">
        <v>14</v>
      </c>
      <c r="W21" s="703">
        <f>J21</f>
        <v>100</v>
      </c>
      <c r="X21" s="1352"/>
      <c r="Y21" s="371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8"/>
      <c r="M22" s="2712"/>
      <c r="N22" s="2712"/>
      <c r="O22" s="2712"/>
      <c r="P22" s="3778"/>
      <c r="Q22" s="1349"/>
      <c r="R22" s="702"/>
      <c r="S22" s="703"/>
      <c r="T22" s="702"/>
      <c r="U22" s="703"/>
      <c r="V22" s="702"/>
      <c r="W22" s="703"/>
      <c r="X22" s="1352"/>
      <c r="Y22" s="3712"/>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8"/>
      <c r="M23" s="2712"/>
      <c r="N23" s="2712"/>
      <c r="O23" s="2712"/>
      <c r="P23" s="3778"/>
      <c r="Q23" s="1349" t="str">
        <f>B23</f>
        <v>自然及人文环境</v>
      </c>
      <c r="R23" s="702" t="s">
        <v>18</v>
      </c>
      <c r="S23" s="703">
        <f>F23</f>
        <v>100</v>
      </c>
      <c r="T23" s="702" t="s">
        <v>18</v>
      </c>
      <c r="U23" s="703">
        <f>H23</f>
        <v>100</v>
      </c>
      <c r="V23" s="702" t="s">
        <v>18</v>
      </c>
      <c r="W23" s="703">
        <f>J23</f>
        <v>100</v>
      </c>
      <c r="X23" s="1352"/>
      <c r="Y23" s="3712"/>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8"/>
      <c r="M24" s="2712"/>
      <c r="N24" s="2712"/>
      <c r="O24" s="2712"/>
      <c r="P24" s="3778"/>
      <c r="Q24" s="1349"/>
      <c r="R24" s="702"/>
      <c r="S24" s="703"/>
      <c r="T24" s="702"/>
      <c r="U24" s="703"/>
      <c r="V24" s="702"/>
      <c r="W24" s="703"/>
      <c r="X24" s="1352"/>
      <c r="Y24" s="3712"/>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8"/>
      <c r="M25" s="2712"/>
      <c r="N25" s="2712"/>
      <c r="O25" s="2712"/>
      <c r="P25" s="3778"/>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12"/>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8"/>
      <c r="M26" s="2712"/>
      <c r="N26" s="2712"/>
      <c r="O26" s="2712"/>
      <c r="P26" s="3778"/>
      <c r="Q26" s="1349" t="str">
        <f t="shared" si="11"/>
        <v>朝向</v>
      </c>
      <c r="R26" s="702" t="s">
        <v>18</v>
      </c>
      <c r="S26" s="703">
        <f t="shared" si="12"/>
        <v>100</v>
      </c>
      <c r="T26" s="702" t="s">
        <v>18</v>
      </c>
      <c r="U26" s="703">
        <f t="shared" si="13"/>
        <v>100</v>
      </c>
      <c r="V26" s="702" t="s">
        <v>18</v>
      </c>
      <c r="W26" s="703">
        <f t="shared" si="14"/>
        <v>100</v>
      </c>
      <c r="X26" s="1352"/>
      <c r="Y26" s="3712"/>
      <c r="Z26" s="1353" t="str">
        <f>Q26</f>
        <v>朝向</v>
      </c>
      <c r="AA26" s="1350">
        <f t="shared" si="15"/>
        <v>1</v>
      </c>
      <c r="AB26" s="1350">
        <f t="shared" si="16"/>
        <v>1</v>
      </c>
      <c r="AC26" s="1350">
        <f t="shared" si="17"/>
        <v>1</v>
      </c>
    </row>
    <row r="27" spans="1:29" s="108"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13"/>
      <c r="M27" s="2714"/>
      <c r="N27" s="2714"/>
      <c r="O27" s="2714"/>
      <c r="P27" s="3778"/>
      <c r="Q27" s="1340">
        <f t="shared" si="11"/>
        <v>111</v>
      </c>
      <c r="R27" s="698" t="s">
        <v>18</v>
      </c>
      <c r="S27" s="699">
        <f t="shared" si="12"/>
        <v>100</v>
      </c>
      <c r="T27" s="698" t="s">
        <v>18</v>
      </c>
      <c r="U27" s="699">
        <f t="shared" si="13"/>
        <v>100</v>
      </c>
      <c r="V27" s="698" t="s">
        <v>18</v>
      </c>
      <c r="W27" s="699">
        <f t="shared" si="14"/>
        <v>100</v>
      </c>
      <c r="X27" s="700"/>
      <c r="Y27" s="3712"/>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8"/>
      <c r="M28" s="2712"/>
      <c r="N28" s="2712"/>
      <c r="O28" s="2712"/>
      <c r="P28" s="3778"/>
      <c r="Q28" s="1349">
        <f t="shared" si="11"/>
        <v>111</v>
      </c>
      <c r="R28" s="702" t="s">
        <v>18</v>
      </c>
      <c r="S28" s="703">
        <f t="shared" si="12"/>
        <v>100</v>
      </c>
      <c r="T28" s="702" t="s">
        <v>18</v>
      </c>
      <c r="U28" s="703">
        <f t="shared" si="13"/>
        <v>100</v>
      </c>
      <c r="V28" s="702" t="s">
        <v>18</v>
      </c>
      <c r="W28" s="703">
        <f t="shared" si="14"/>
        <v>100</v>
      </c>
      <c r="X28" s="1352"/>
      <c r="Y28" s="3712"/>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8"/>
      <c r="M29" s="2712"/>
      <c r="N29" s="2712"/>
      <c r="O29" s="2712"/>
      <c r="P29" s="3778"/>
      <c r="Q29" s="1349">
        <f t="shared" si="11"/>
        <v>111</v>
      </c>
      <c r="R29" s="702" t="s">
        <v>18</v>
      </c>
      <c r="S29" s="703">
        <f t="shared" si="12"/>
        <v>100</v>
      </c>
      <c r="T29" s="702" t="s">
        <v>18</v>
      </c>
      <c r="U29" s="703">
        <f t="shared" si="13"/>
        <v>100</v>
      </c>
      <c r="V29" s="702" t="s">
        <v>18</v>
      </c>
      <c r="W29" s="703">
        <f t="shared" si="14"/>
        <v>100</v>
      </c>
      <c r="X29" s="1352"/>
      <c r="Y29" s="3712"/>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8"/>
      <c r="M30" s="2712"/>
      <c r="N30" s="2712"/>
      <c r="O30" s="2712"/>
      <c r="P30" s="3778"/>
      <c r="Q30" s="1349">
        <f t="shared" si="11"/>
        <v>111</v>
      </c>
      <c r="R30" s="702" t="s">
        <v>18</v>
      </c>
      <c r="S30" s="703">
        <f t="shared" si="12"/>
        <v>100</v>
      </c>
      <c r="T30" s="702" t="s">
        <v>18</v>
      </c>
      <c r="U30" s="703">
        <f t="shared" si="13"/>
        <v>100</v>
      </c>
      <c r="V30" s="702" t="s">
        <v>18</v>
      </c>
      <c r="W30" s="703">
        <f t="shared" si="14"/>
        <v>100</v>
      </c>
      <c r="X30" s="1352"/>
      <c r="Y30" s="3712"/>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8"/>
      <c r="M31" s="2712"/>
      <c r="N31" s="2712"/>
      <c r="O31" s="2712"/>
      <c r="P31" s="3778"/>
      <c r="Q31" s="1349">
        <f t="shared" si="11"/>
        <v>111</v>
      </c>
      <c r="R31" s="702" t="s">
        <v>18</v>
      </c>
      <c r="S31" s="703">
        <f t="shared" si="12"/>
        <v>100</v>
      </c>
      <c r="T31" s="702" t="s">
        <v>18</v>
      </c>
      <c r="U31" s="703">
        <f t="shared" si="13"/>
        <v>100</v>
      </c>
      <c r="V31" s="702" t="s">
        <v>18</v>
      </c>
      <c r="W31" s="703">
        <f t="shared" si="14"/>
        <v>100</v>
      </c>
      <c r="X31" s="1352"/>
      <c r="Y31" s="3712"/>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8"/>
      <c r="M32" s="2712"/>
      <c r="N32" s="2712"/>
      <c r="O32" s="2712"/>
      <c r="P32" s="3774" t="s">
        <v>1696</v>
      </c>
      <c r="Q32" s="1349" t="str">
        <f t="shared" si="11"/>
        <v>建筑类型</v>
      </c>
      <c r="R32" s="702" t="s">
        <v>18</v>
      </c>
      <c r="S32" s="703">
        <f t="shared" si="12"/>
        <v>100</v>
      </c>
      <c r="T32" s="702" t="s">
        <v>18</v>
      </c>
      <c r="U32" s="703">
        <f t="shared" si="13"/>
        <v>100</v>
      </c>
      <c r="V32" s="702" t="s">
        <v>18</v>
      </c>
      <c r="W32" s="703">
        <f t="shared" si="14"/>
        <v>100</v>
      </c>
      <c r="X32" s="1352"/>
      <c r="Y32" s="3714"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7"/>
      <c r="M33" s="2719"/>
      <c r="N33" s="2719"/>
      <c r="O33" s="2719"/>
      <c r="P33" s="3775"/>
      <c r="Q33" s="704" t="str">
        <f t="shared" si="11"/>
        <v>项目建筑规模</v>
      </c>
      <c r="R33" s="705" t="s">
        <v>18</v>
      </c>
      <c r="S33" s="706" t="e">
        <f t="shared" si="12"/>
        <v>#N/A</v>
      </c>
      <c r="T33" s="705" t="s">
        <v>18</v>
      </c>
      <c r="U33" s="706" t="e">
        <f t="shared" si="13"/>
        <v>#N/A</v>
      </c>
      <c r="V33" s="705" t="s">
        <v>18</v>
      </c>
      <c r="W33" s="706" t="e">
        <f t="shared" si="14"/>
        <v>#N/A</v>
      </c>
      <c r="X33" s="707"/>
      <c r="Y33" s="3714"/>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8"/>
      <c r="M34" s="2712"/>
      <c r="N34" s="2712"/>
      <c r="O34" s="2712"/>
      <c r="P34" s="3775"/>
      <c r="Q34" s="1349" t="str">
        <f t="shared" si="11"/>
        <v>建筑结构</v>
      </c>
      <c r="R34" s="702" t="s">
        <v>18</v>
      </c>
      <c r="S34" s="703">
        <f t="shared" si="12"/>
        <v>100</v>
      </c>
      <c r="T34" s="702" t="s">
        <v>18</v>
      </c>
      <c r="U34" s="703">
        <f t="shared" si="13"/>
        <v>100</v>
      </c>
      <c r="V34" s="702" t="s">
        <v>18</v>
      </c>
      <c r="W34" s="703">
        <f t="shared" si="14"/>
        <v>100</v>
      </c>
      <c r="X34" s="1352"/>
      <c r="Y34" s="3714"/>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8"/>
      <c r="M35" s="2712"/>
      <c r="N35" s="2712"/>
      <c r="O35" s="2712"/>
      <c r="P35" s="3775"/>
      <c r="Q35" s="1349" t="str">
        <f t="shared" si="11"/>
        <v>建筑品质</v>
      </c>
      <c r="R35" s="702" t="s">
        <v>18</v>
      </c>
      <c r="S35" s="703">
        <f t="shared" si="12"/>
        <v>100</v>
      </c>
      <c r="T35" s="702" t="s">
        <v>18</v>
      </c>
      <c r="U35" s="703">
        <f t="shared" si="13"/>
        <v>100</v>
      </c>
      <c r="V35" s="702" t="s">
        <v>18</v>
      </c>
      <c r="W35" s="703">
        <f t="shared" si="14"/>
        <v>100</v>
      </c>
      <c r="X35" s="1352"/>
      <c r="Y35" s="3714"/>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8"/>
      <c r="M36" s="2712"/>
      <c r="N36" s="2712"/>
      <c r="O36" s="2712"/>
      <c r="P36" s="3775"/>
      <c r="Q36" s="1349" t="str">
        <f t="shared" si="11"/>
        <v>公共部分装修</v>
      </c>
      <c r="R36" s="702" t="s">
        <v>18</v>
      </c>
      <c r="S36" s="703">
        <f t="shared" si="12"/>
        <v>100</v>
      </c>
      <c r="T36" s="702" t="s">
        <v>18</v>
      </c>
      <c r="U36" s="703">
        <f t="shared" si="13"/>
        <v>100</v>
      </c>
      <c r="V36" s="702" t="s">
        <v>18</v>
      </c>
      <c r="W36" s="703">
        <f t="shared" si="14"/>
        <v>100</v>
      </c>
      <c r="X36" s="1352"/>
      <c r="Y36" s="3714"/>
      <c r="Z36" s="1353" t="str">
        <f t="shared" si="18"/>
        <v>公共部分装修</v>
      </c>
      <c r="AA36" s="1350">
        <f t="shared" si="15"/>
        <v>1</v>
      </c>
      <c r="AB36" s="1350">
        <f t="shared" si="16"/>
        <v>1</v>
      </c>
      <c r="AC36" s="1350">
        <f t="shared" si="17"/>
        <v>1</v>
      </c>
    </row>
    <row r="37" spans="1:29" s="108"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3"/>
      <c r="M37" s="2714"/>
      <c r="N37" s="2714"/>
      <c r="O37" s="2714"/>
      <c r="P37" s="3775"/>
      <c r="Q37" s="1340" t="str">
        <f t="shared" si="11"/>
        <v>成新度</v>
      </c>
      <c r="R37" s="698" t="s">
        <v>18</v>
      </c>
      <c r="S37" s="699" t="e">
        <f t="shared" si="12"/>
        <v>#N/A</v>
      </c>
      <c r="T37" s="698" t="s">
        <v>18</v>
      </c>
      <c r="U37" s="699" t="e">
        <f t="shared" si="13"/>
        <v>#N/A</v>
      </c>
      <c r="V37" s="698" t="s">
        <v>18</v>
      </c>
      <c r="W37" s="699" t="e">
        <f t="shared" si="14"/>
        <v>#N/A</v>
      </c>
      <c r="X37" s="700"/>
      <c r="Y37" s="3714"/>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8"/>
      <c r="M38" s="2712"/>
      <c r="N38" s="2712"/>
      <c r="O38" s="2712"/>
      <c r="P38" s="3775" t="s">
        <v>1696</v>
      </c>
      <c r="Q38" s="1349" t="str">
        <f t="shared" si="11"/>
        <v>物业管理</v>
      </c>
      <c r="R38" s="702" t="s">
        <v>18</v>
      </c>
      <c r="S38" s="703">
        <f t="shared" si="12"/>
        <v>100</v>
      </c>
      <c r="T38" s="702" t="s">
        <v>18</v>
      </c>
      <c r="U38" s="703">
        <f t="shared" si="13"/>
        <v>100</v>
      </c>
      <c r="V38" s="702" t="s">
        <v>18</v>
      </c>
      <c r="W38" s="703">
        <f t="shared" si="14"/>
        <v>100</v>
      </c>
      <c r="X38" s="1352"/>
      <c r="Y38" s="3714"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8"/>
      <c r="M39" s="2712"/>
      <c r="N39" s="2712"/>
      <c r="O39" s="2712"/>
      <c r="P39" s="3775"/>
      <c r="Q39" s="1349" t="str">
        <f t="shared" si="11"/>
        <v>市政基础设施</v>
      </c>
      <c r="R39" s="702" t="s">
        <v>18</v>
      </c>
      <c r="S39" s="703">
        <f t="shared" si="12"/>
        <v>100</v>
      </c>
      <c r="T39" s="702" t="s">
        <v>18</v>
      </c>
      <c r="U39" s="703">
        <f t="shared" si="13"/>
        <v>100</v>
      </c>
      <c r="V39" s="702" t="s">
        <v>18</v>
      </c>
      <c r="W39" s="703">
        <f t="shared" si="14"/>
        <v>100</v>
      </c>
      <c r="X39" s="1352"/>
      <c r="Y39" s="3714"/>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8"/>
      <c r="M40" s="2712"/>
      <c r="N40" s="2712"/>
      <c r="O40" s="2712"/>
      <c r="P40" s="3775"/>
      <c r="Q40" s="1349" t="str">
        <f t="shared" si="11"/>
        <v>房型</v>
      </c>
      <c r="R40" s="702" t="s">
        <v>18</v>
      </c>
      <c r="S40" s="703">
        <f t="shared" si="12"/>
        <v>100</v>
      </c>
      <c r="T40" s="702" t="s">
        <v>18</v>
      </c>
      <c r="U40" s="703">
        <f t="shared" si="13"/>
        <v>100</v>
      </c>
      <c r="V40" s="702" t="s">
        <v>18</v>
      </c>
      <c r="W40" s="703">
        <f t="shared" si="14"/>
        <v>100</v>
      </c>
      <c r="X40" s="1352"/>
      <c r="Y40" s="3714"/>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7"/>
      <c r="M41" s="2719"/>
      <c r="N41" s="2719"/>
      <c r="O41" s="2719"/>
      <c r="P41" s="3775"/>
      <c r="Q41" s="704" t="str">
        <f t="shared" si="11"/>
        <v>单套/主力户型建筑面积</v>
      </c>
      <c r="R41" s="705" t="s">
        <v>18</v>
      </c>
      <c r="S41" s="706">
        <f t="shared" si="12"/>
        <v>100</v>
      </c>
      <c r="T41" s="705" t="s">
        <v>18</v>
      </c>
      <c r="U41" s="706">
        <f t="shared" si="13"/>
        <v>100</v>
      </c>
      <c r="V41" s="705" t="s">
        <v>18</v>
      </c>
      <c r="W41" s="706">
        <f t="shared" si="14"/>
        <v>100</v>
      </c>
      <c r="X41" s="707"/>
      <c r="Y41" s="3714"/>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8"/>
      <c r="M42" s="2712"/>
      <c r="N42" s="2712"/>
      <c r="O42" s="2712"/>
      <c r="P42" s="3775"/>
      <c r="Q42" s="1349" t="str">
        <f t="shared" si="11"/>
        <v>内部装修</v>
      </c>
      <c r="R42" s="702" t="s">
        <v>18</v>
      </c>
      <c r="S42" s="703">
        <f t="shared" si="12"/>
        <v>100</v>
      </c>
      <c r="T42" s="702" t="s">
        <v>18</v>
      </c>
      <c r="U42" s="703">
        <f t="shared" si="13"/>
        <v>100</v>
      </c>
      <c r="V42" s="702" t="s">
        <v>18</v>
      </c>
      <c r="W42" s="703">
        <f t="shared" si="14"/>
        <v>100</v>
      </c>
      <c r="X42" s="1352"/>
      <c r="Y42" s="3714"/>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8"/>
      <c r="M43" s="2712"/>
      <c r="N43" s="2712"/>
      <c r="O43" s="2712"/>
      <c r="P43" s="3775"/>
      <c r="Q43" s="1349" t="str">
        <f t="shared" si="11"/>
        <v>内部装修维护情况</v>
      </c>
      <c r="R43" s="702" t="s">
        <v>18</v>
      </c>
      <c r="S43" s="703">
        <f t="shared" si="12"/>
        <v>100</v>
      </c>
      <c r="T43" s="702" t="s">
        <v>18</v>
      </c>
      <c r="U43" s="703">
        <f t="shared" si="13"/>
        <v>100</v>
      </c>
      <c r="V43" s="702" t="s">
        <v>18</v>
      </c>
      <c r="W43" s="703">
        <f t="shared" si="14"/>
        <v>100</v>
      </c>
      <c r="X43" s="1352"/>
      <c r="Y43" s="3714"/>
      <c r="Z43" s="1353" t="str">
        <f t="shared" si="18"/>
        <v>内部装修维护情况</v>
      </c>
      <c r="AA43" s="1350">
        <f t="shared" si="15"/>
        <v>1</v>
      </c>
      <c r="AB43" s="1350">
        <f t="shared" si="16"/>
        <v>1</v>
      </c>
      <c r="AC43" s="1350">
        <f t="shared" si="17"/>
        <v>1</v>
      </c>
    </row>
    <row r="44" spans="1:29" s="108"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3"/>
      <c r="M44" s="2714"/>
      <c r="N44" s="2714"/>
      <c r="O44" s="2714"/>
      <c r="P44" s="3775"/>
      <c r="Q44" s="1340">
        <f t="shared" si="11"/>
        <v>111</v>
      </c>
      <c r="R44" s="698" t="s">
        <v>18</v>
      </c>
      <c r="S44" s="699">
        <f t="shared" si="12"/>
        <v>100</v>
      </c>
      <c r="T44" s="698" t="s">
        <v>18</v>
      </c>
      <c r="U44" s="699">
        <f t="shared" si="13"/>
        <v>100</v>
      </c>
      <c r="V44" s="698" t="s">
        <v>18</v>
      </c>
      <c r="W44" s="699">
        <f t="shared" si="14"/>
        <v>100</v>
      </c>
      <c r="X44" s="700"/>
      <c r="Y44" s="3714"/>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8"/>
      <c r="M45" s="2712"/>
      <c r="N45" s="2712"/>
      <c r="O45" s="2712"/>
      <c r="P45" s="3775"/>
      <c r="Q45" s="1349">
        <f t="shared" si="11"/>
        <v>111</v>
      </c>
      <c r="R45" s="702" t="s">
        <v>18</v>
      </c>
      <c r="S45" s="703">
        <f t="shared" si="12"/>
        <v>100</v>
      </c>
      <c r="T45" s="702" t="s">
        <v>18</v>
      </c>
      <c r="U45" s="703">
        <f t="shared" si="13"/>
        <v>100</v>
      </c>
      <c r="V45" s="702" t="s">
        <v>18</v>
      </c>
      <c r="W45" s="703">
        <f t="shared" si="14"/>
        <v>100</v>
      </c>
      <c r="X45" s="1352"/>
      <c r="Y45" s="3714"/>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8"/>
      <c r="M46" s="2712"/>
      <c r="N46" s="2712"/>
      <c r="O46" s="2712"/>
      <c r="P46" s="3776"/>
      <c r="Q46" s="1349">
        <f t="shared" si="11"/>
        <v>111</v>
      </c>
      <c r="R46" s="702" t="s">
        <v>17</v>
      </c>
      <c r="S46" s="703">
        <f t="shared" si="12"/>
        <v>100</v>
      </c>
      <c r="T46" s="702" t="s">
        <v>17</v>
      </c>
      <c r="U46" s="703">
        <f t="shared" si="13"/>
        <v>100</v>
      </c>
      <c r="V46" s="702" t="s">
        <v>17</v>
      </c>
      <c r="W46" s="703">
        <f t="shared" si="14"/>
        <v>100</v>
      </c>
      <c r="X46" s="1352"/>
      <c r="Y46" s="3715"/>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20"/>
      <c r="M47" s="2721"/>
      <c r="N47" s="2712"/>
      <c r="O47" s="2721"/>
      <c r="P47" s="3706" t="str">
        <f>A47</f>
        <v>成交单价（元/平方米）</v>
      </c>
      <c r="Q47" s="3706"/>
      <c r="R47" s="3707">
        <f>E47</f>
        <v>0</v>
      </c>
      <c r="S47" s="3707"/>
      <c r="T47" s="3707">
        <f>G47</f>
        <v>0</v>
      </c>
      <c r="U47" s="3707"/>
      <c r="V47" s="3707">
        <f>I47</f>
        <v>0</v>
      </c>
      <c r="W47" s="3707"/>
      <c r="X47" s="687"/>
      <c r="Y47" s="709"/>
      <c r="Z47" s="687"/>
      <c r="AA47" s="687"/>
      <c r="AB47" s="687"/>
      <c r="AC47" s="687"/>
    </row>
    <row r="48" spans="1:29" ht="15.75" thickBot="1">
      <c r="A48" s="435" t="s">
        <v>1709</v>
      </c>
      <c r="B48" s="436"/>
      <c r="C48" s="1157" t="e">
        <f>R49</f>
        <v>#DIV/0!</v>
      </c>
      <c r="D48" s="2314" t="s">
        <v>2138</v>
      </c>
      <c r="E48" s="1158" t="e">
        <f>R48</f>
        <v>#DIV/0!</v>
      </c>
      <c r="F48" s="2315"/>
      <c r="G48" s="1157" t="e">
        <f>T48</f>
        <v>#DIV/0!</v>
      </c>
      <c r="H48" s="2315"/>
      <c r="I48" s="1158" t="e">
        <f>V48</f>
        <v>#DIV/0!</v>
      </c>
      <c r="J48" s="2315"/>
      <c r="K48" s="2316">
        <f>F48+H48+J48</f>
        <v>0</v>
      </c>
      <c r="L48" s="2720"/>
      <c r="M48" s="2721"/>
      <c r="N48" s="2721"/>
      <c r="O48" s="2721"/>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20"/>
      <c r="M49" s="2721"/>
      <c r="N49" s="2721"/>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row>
    <row r="53" spans="1:29" ht="13.5" customHeight="1">
      <c r="A53" s="2721"/>
      <c r="B53" s="2721"/>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row>
    <row r="54" spans="1:29" s="449" customFormat="1" ht="13.5" customHeight="1">
      <c r="A54" s="2724"/>
      <c r="B54" s="2724"/>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1914"/>
    </row>
    <row r="55" spans="1:29" s="449"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2023-12</v>
      </c>
      <c r="D58" s="1182">
        <f>EDATE(C58,-1)</f>
        <v>45231</v>
      </c>
      <c r="E58" s="1182">
        <f>EDATE(D58,-1)</f>
        <v>45200</v>
      </c>
      <c r="F58" s="1182">
        <f t="shared" ref="F58:O58" si="19">EDATE(E58,-1)</f>
        <v>45170</v>
      </c>
      <c r="G58" s="1182">
        <f t="shared" si="19"/>
        <v>45139</v>
      </c>
      <c r="H58" s="1182">
        <f t="shared" si="19"/>
        <v>45108</v>
      </c>
      <c r="I58" s="1182">
        <f t="shared" si="19"/>
        <v>45078</v>
      </c>
      <c r="J58" s="1182">
        <f t="shared" si="19"/>
        <v>45047</v>
      </c>
      <c r="K58" s="1182">
        <f t="shared" si="19"/>
        <v>45017</v>
      </c>
      <c r="L58" s="1182">
        <f t="shared" si="19"/>
        <v>44986</v>
      </c>
      <c r="M58" s="1182">
        <f t="shared" si="19"/>
        <v>44958</v>
      </c>
      <c r="N58" s="1182">
        <f t="shared" si="19"/>
        <v>44927</v>
      </c>
      <c r="O58" s="1182">
        <f t="shared" si="19"/>
        <v>44896</v>
      </c>
      <c r="P58" s="1178"/>
    </row>
    <row r="59" spans="1:29" s="108" customFormat="1" ht="15">
      <c r="A59" s="456"/>
      <c r="B59" s="1916"/>
      <c r="C59" s="1180">
        <v>100</v>
      </c>
      <c r="D59" s="458"/>
      <c r="E59" s="459"/>
      <c r="F59" s="459"/>
      <c r="G59" s="459"/>
      <c r="H59" s="459"/>
      <c r="I59" s="459"/>
      <c r="J59" s="459"/>
      <c r="K59" s="459"/>
      <c r="L59" s="459"/>
      <c r="M59" s="460"/>
      <c r="N59" s="459"/>
      <c r="O59" s="460"/>
      <c r="P59" s="1917"/>
    </row>
    <row r="60" spans="1:29" s="108" customFormat="1" ht="15.75" thickBot="1">
      <c r="A60" s="462" t="s">
        <v>1716</v>
      </c>
      <c r="B60" s="463"/>
      <c r="C60" s="464"/>
      <c r="D60" s="465"/>
      <c r="E60" s="465"/>
      <c r="F60" s="465"/>
      <c r="G60" s="465"/>
      <c r="H60" s="465"/>
      <c r="I60" s="465"/>
      <c r="J60" s="465"/>
      <c r="K60" s="465"/>
      <c r="L60" s="465"/>
      <c r="M60" s="466"/>
      <c r="N60" s="465"/>
      <c r="O60" s="466"/>
      <c r="P60" s="1917"/>
      <c r="Q60" s="451"/>
    </row>
    <row r="61" spans="1:29" s="108" customFormat="1" ht="15">
      <c r="A61" s="468" t="s">
        <v>1717</v>
      </c>
      <c r="B61" s="457"/>
      <c r="C61" s="469" t="s">
        <v>1718</v>
      </c>
      <c r="D61" s="470"/>
      <c r="E61" s="470"/>
      <c r="F61" s="470"/>
      <c r="G61" s="470"/>
      <c r="H61" s="470"/>
      <c r="I61" s="470"/>
      <c r="J61" s="470"/>
      <c r="K61" s="470"/>
      <c r="L61" s="471"/>
      <c r="M61" s="472"/>
      <c r="N61" s="929"/>
      <c r="O61" s="929"/>
      <c r="P61" s="1918"/>
      <c r="Q61" s="451"/>
    </row>
    <row r="62" spans="1:29" s="108"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8" customFormat="1" ht="15.75" thickTop="1">
      <c r="A86" s="526"/>
      <c r="B86" s="485" t="s">
        <v>1734</v>
      </c>
      <c r="C86" s="501"/>
      <c r="D86" s="501"/>
      <c r="E86" s="501"/>
      <c r="F86" s="501"/>
      <c r="G86" s="501"/>
      <c r="H86" s="501"/>
      <c r="I86" s="501"/>
      <c r="J86" s="501"/>
      <c r="K86" s="501"/>
      <c r="L86" s="527"/>
      <c r="M86" s="528"/>
      <c r="N86" s="929"/>
      <c r="O86" s="929"/>
      <c r="P86" s="1919"/>
      <c r="Q86" s="451"/>
    </row>
    <row r="87" spans="1:17" s="108"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8" customFormat="1" ht="15.75" thickTop="1">
      <c r="A88" s="526"/>
      <c r="B88" s="485" t="s">
        <v>1735</v>
      </c>
      <c r="C88" s="501"/>
      <c r="D88" s="501"/>
      <c r="E88" s="501"/>
      <c r="F88" s="1924"/>
      <c r="G88" s="501"/>
      <c r="H88" s="501"/>
      <c r="I88" s="501"/>
      <c r="J88" s="501"/>
      <c r="K88" s="501"/>
      <c r="L88" s="501"/>
      <c r="M88" s="528"/>
      <c r="N88" s="929"/>
      <c r="O88" s="929"/>
      <c r="P88" s="1919"/>
      <c r="Q88" s="451"/>
    </row>
    <row r="89" spans="1:17" s="108"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0</v>
      </c>
      <c r="C3" s="352" t="s">
        <v>1768</v>
      </c>
      <c r="D3" s="351">
        <f>IF(D1="",'数据-汇总表'!E3,SUMIF('数据-汇总表'!$C19:$C33,D1,'数据-汇总表'!$E19:$E33))</f>
        <v>55858.869999999981</v>
      </c>
      <c r="E3" s="1951"/>
      <c r="F3" s="906"/>
      <c r="G3" s="905"/>
      <c r="H3" s="905"/>
      <c r="I3" s="905"/>
      <c r="J3" s="905"/>
      <c r="K3" s="907"/>
      <c r="L3" s="2730"/>
      <c r="M3" s="2731"/>
      <c r="N3" s="2731"/>
      <c r="O3" s="2731"/>
      <c r="P3" s="1949"/>
      <c r="Q3" s="909"/>
      <c r="R3" s="909"/>
      <c r="S3" s="909"/>
      <c r="T3" s="909"/>
      <c r="U3" s="909"/>
      <c r="V3" s="909"/>
      <c r="W3" s="909"/>
      <c r="X3" s="909"/>
      <c r="Y3" s="909"/>
      <c r="Z3" s="909"/>
      <c r="AA3" s="909"/>
      <c r="AB3" s="909"/>
      <c r="AC3" s="1951"/>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35" t="s">
        <v>1772</v>
      </c>
      <c r="AC4" s="3716" t="s">
        <v>1773</v>
      </c>
    </row>
    <row r="5" spans="1:29"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35"/>
      <c r="AC5" s="3717"/>
    </row>
    <row r="6" spans="1:29" ht="15.75" thickBot="1">
      <c r="A6" s="358"/>
      <c r="B6" s="359"/>
      <c r="C6" s="3736" t="s">
        <v>1677</v>
      </c>
      <c r="D6" s="3737"/>
      <c r="E6" s="3744" t="s">
        <v>1677</v>
      </c>
      <c r="F6" s="3745"/>
      <c r="G6" s="3736" t="s">
        <v>1677</v>
      </c>
      <c r="H6" s="3737"/>
      <c r="I6" s="3736" t="s">
        <v>1677</v>
      </c>
      <c r="J6" s="3737"/>
      <c r="K6" s="557" t="s">
        <v>1678</v>
      </c>
      <c r="L6" s="2711"/>
      <c r="M6" s="2712"/>
      <c r="N6" s="2712"/>
      <c r="O6" s="2712"/>
      <c r="P6" s="3727"/>
      <c r="Q6" s="3728"/>
      <c r="R6" s="3731"/>
      <c r="S6" s="3732"/>
      <c r="T6" s="3733"/>
      <c r="U6" s="3734"/>
      <c r="V6" s="3735"/>
      <c r="W6" s="3735"/>
      <c r="X6" s="1352"/>
      <c r="Y6" s="3733"/>
      <c r="Z6" s="3734"/>
      <c r="AA6" s="3718"/>
      <c r="AB6" s="3735"/>
      <c r="AC6" s="3718"/>
    </row>
    <row r="7" spans="1:29" s="108" customFormat="1" ht="15.75" thickBot="1">
      <c r="A7" s="360" t="s">
        <v>1679</v>
      </c>
      <c r="B7" s="361"/>
      <c r="C7" s="362">
        <f>'数据-取费表'!B2</f>
        <v>45272</v>
      </c>
      <c r="D7" s="363">
        <v>100</v>
      </c>
      <c r="E7" s="364"/>
      <c r="F7" s="365">
        <f>SUMIF(58:58,YEAR(E7)&amp;"-"&amp;MONTH(E7),59:59)</f>
        <v>0</v>
      </c>
      <c r="G7" s="364"/>
      <c r="H7" s="363">
        <f>SUMIF(58:58,YEAR(G7)&amp;"-"&amp;MONTH(G7),59:59)</f>
        <v>0</v>
      </c>
      <c r="I7" s="364"/>
      <c r="J7" s="363">
        <f>SUMIF(58:58,YEAR(I7)&amp;"-"&amp;MONTH(I7),59:59)</f>
        <v>0</v>
      </c>
      <c r="K7" s="558"/>
      <c r="L7" s="2713"/>
      <c r="M7" s="2714"/>
      <c r="N7" s="2714"/>
      <c r="O7" s="2714"/>
      <c r="P7" s="3740" t="s">
        <v>1680</v>
      </c>
      <c r="Q7" s="3742"/>
      <c r="R7" s="698" t="s">
        <v>14</v>
      </c>
      <c r="S7" s="699">
        <f t="shared" ref="S7:S15" si="0">F7</f>
        <v>0</v>
      </c>
      <c r="T7" s="698" t="s">
        <v>14</v>
      </c>
      <c r="U7" s="699">
        <f t="shared" ref="U7:U15" si="1">H7</f>
        <v>0</v>
      </c>
      <c r="V7" s="698" t="s">
        <v>14</v>
      </c>
      <c r="W7" s="699">
        <f t="shared" ref="W7:W15" si="2">J7</f>
        <v>0</v>
      </c>
      <c r="X7" s="700"/>
      <c r="Y7" s="3740" t="s">
        <v>1680</v>
      </c>
      <c r="Z7" s="3741"/>
      <c r="AA7" s="701" t="e">
        <f>D7/F7</f>
        <v>#DIV/0!</v>
      </c>
      <c r="AB7" s="701" t="e">
        <f>D7/H7</f>
        <v>#DIV/0!</v>
      </c>
      <c r="AC7" s="701" t="e">
        <f>D7/J7</f>
        <v>#DIV/0!</v>
      </c>
    </row>
    <row r="8" spans="1:29" s="108"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3"/>
      <c r="M8" s="2714"/>
      <c r="N8" s="2714"/>
      <c r="O8" s="2714"/>
      <c r="P8" s="3740" t="s">
        <v>1683</v>
      </c>
      <c r="Q8" s="3741"/>
      <c r="R8" s="698" t="s">
        <v>14</v>
      </c>
      <c r="S8" s="699">
        <f t="shared" si="0"/>
        <v>100</v>
      </c>
      <c r="T8" s="698" t="s">
        <v>14</v>
      </c>
      <c r="U8" s="699">
        <f t="shared" si="1"/>
        <v>100</v>
      </c>
      <c r="V8" s="698" t="s">
        <v>14</v>
      </c>
      <c r="W8" s="699">
        <f t="shared" si="2"/>
        <v>100</v>
      </c>
      <c r="X8" s="700"/>
      <c r="Y8" s="3740" t="s">
        <v>1683</v>
      </c>
      <c r="Z8" s="3741"/>
      <c r="AA8" s="701">
        <f t="shared" ref="AA8:AA46" si="3">D8/F8</f>
        <v>1</v>
      </c>
      <c r="AB8" s="701">
        <f t="shared" ref="AB8:AB46" si="4">D8/H8</f>
        <v>1</v>
      </c>
      <c r="AC8" s="701">
        <f t="shared" ref="AC8:AC46" si="5">D8/J8</f>
        <v>1</v>
      </c>
    </row>
    <row r="9" spans="1:29" s="108"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3"/>
      <c r="M9" s="2714"/>
      <c r="N9" s="2714"/>
      <c r="O9" s="2714"/>
      <c r="P9" s="3779"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558"/>
      <c r="L10" s="2715"/>
      <c r="M10" s="2716"/>
      <c r="N10" s="2716"/>
      <c r="O10" s="2716"/>
      <c r="P10" s="3779"/>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7"/>
      <c r="M11" s="2712"/>
      <c r="N11" s="2712"/>
      <c r="O11" s="2712"/>
      <c r="P11" s="3779"/>
      <c r="Q11" s="1340" t="str">
        <f t="shared" si="6"/>
        <v>容积率</v>
      </c>
      <c r="R11" s="698" t="s">
        <v>14</v>
      </c>
      <c r="S11" s="699" t="e">
        <f t="shared" si="0"/>
        <v>#N/A</v>
      </c>
      <c r="T11" s="698" t="s">
        <v>14</v>
      </c>
      <c r="U11" s="699" t="e">
        <f t="shared" si="1"/>
        <v>#N/A</v>
      </c>
      <c r="V11" s="698" t="s">
        <v>14</v>
      </c>
      <c r="W11" s="699" t="e">
        <f t="shared" si="2"/>
        <v>#N/A</v>
      </c>
      <c r="X11" s="700"/>
      <c r="Y11" s="3610"/>
      <c r="Z11" s="52" t="str">
        <f t="shared" si="7"/>
        <v>容积率</v>
      </c>
      <c r="AA11" s="701" t="e">
        <f t="shared" si="3"/>
        <v>#N/A</v>
      </c>
      <c r="AB11" s="701" t="e">
        <f t="shared" si="4"/>
        <v>#N/A</v>
      </c>
      <c r="AC11" s="701" t="e">
        <f t="shared" si="5"/>
        <v>#N/A</v>
      </c>
    </row>
    <row r="12" spans="1:29" s="108" customFormat="1" ht="15">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3"/>
      <c r="M12" s="2714"/>
      <c r="N12" s="2714"/>
      <c r="O12" s="2714"/>
      <c r="P12" s="3779"/>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8"/>
      <c r="M13" s="2712"/>
      <c r="N13" s="2712"/>
      <c r="O13" s="2712"/>
      <c r="P13" s="3779"/>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15.75"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8"/>
      <c r="M14" s="2712"/>
      <c r="N14" s="2712"/>
      <c r="O14" s="2712"/>
      <c r="P14" s="3779"/>
      <c r="Q14" s="1340">
        <f t="shared" si="6"/>
        <v>111</v>
      </c>
      <c r="R14" s="698" t="s">
        <v>14</v>
      </c>
      <c r="S14" s="699">
        <f t="shared" si="0"/>
        <v>100</v>
      </c>
      <c r="T14" s="698" t="s">
        <v>14</v>
      </c>
      <c r="U14" s="699">
        <f t="shared" si="1"/>
        <v>100</v>
      </c>
      <c r="V14" s="698" t="s">
        <v>14</v>
      </c>
      <c r="W14" s="699">
        <f t="shared" si="2"/>
        <v>100</v>
      </c>
      <c r="X14" s="700"/>
      <c r="Y14" s="3610"/>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8"/>
      <c r="M15" s="2712"/>
      <c r="N15" s="2712"/>
      <c r="O15" s="2712"/>
      <c r="P15" s="3777" t="s">
        <v>1691</v>
      </c>
      <c r="Q15" s="1349" t="str">
        <f t="shared" si="6"/>
        <v>商业繁华度</v>
      </c>
      <c r="R15" s="702" t="s">
        <v>14</v>
      </c>
      <c r="S15" s="703">
        <f t="shared" si="0"/>
        <v>100</v>
      </c>
      <c r="T15" s="702" t="s">
        <v>14</v>
      </c>
      <c r="U15" s="703">
        <f t="shared" si="1"/>
        <v>100</v>
      </c>
      <c r="V15" s="702" t="s">
        <v>14</v>
      </c>
      <c r="W15" s="703">
        <f t="shared" si="2"/>
        <v>100</v>
      </c>
      <c r="X15" s="1352"/>
      <c r="Y15" s="3711" t="s">
        <v>1691</v>
      </c>
      <c r="Z15" s="1353" t="str">
        <f t="shared" si="7"/>
        <v>商业繁华度</v>
      </c>
      <c r="AA15" s="1350">
        <f t="shared" si="3"/>
        <v>1</v>
      </c>
      <c r="AB15" s="1350">
        <f t="shared" si="4"/>
        <v>1</v>
      </c>
      <c r="AC15" s="1350">
        <f t="shared" si="5"/>
        <v>1</v>
      </c>
    </row>
    <row r="16" spans="1:29" ht="15">
      <c r="A16" s="377"/>
      <c r="B16" s="395"/>
      <c r="C16" s="396"/>
      <c r="D16" s="397"/>
      <c r="E16" s="396"/>
      <c r="F16" s="398"/>
      <c r="G16" s="396"/>
      <c r="H16" s="399"/>
      <c r="I16" s="396"/>
      <c r="J16" s="397"/>
      <c r="K16" s="562"/>
      <c r="L16" s="2718"/>
      <c r="M16" s="2712"/>
      <c r="N16" s="2712"/>
      <c r="O16" s="2712"/>
      <c r="P16" s="3778"/>
      <c r="Q16" s="1349"/>
      <c r="R16" s="702"/>
      <c r="S16" s="703"/>
      <c r="T16" s="702"/>
      <c r="U16" s="703"/>
      <c r="V16" s="702"/>
      <c r="W16" s="703"/>
      <c r="X16" s="1352"/>
      <c r="Y16" s="3712"/>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8"/>
      <c r="M17" s="2712"/>
      <c r="N17" s="2712"/>
      <c r="O17" s="2712"/>
      <c r="P17" s="3778"/>
      <c r="Q17" s="1349" t="str">
        <f>B17</f>
        <v>交通便捷度</v>
      </c>
      <c r="R17" s="702" t="s">
        <v>14</v>
      </c>
      <c r="S17" s="703">
        <f>F17</f>
        <v>100</v>
      </c>
      <c r="T17" s="702" t="s">
        <v>14</v>
      </c>
      <c r="U17" s="703">
        <f>H17</f>
        <v>100</v>
      </c>
      <c r="V17" s="702" t="s">
        <v>14</v>
      </c>
      <c r="W17" s="703">
        <f>J17</f>
        <v>100</v>
      </c>
      <c r="X17" s="1352"/>
      <c r="Y17" s="3712"/>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2718"/>
      <c r="M18" s="2712"/>
      <c r="N18" s="2712"/>
      <c r="O18" s="2712"/>
      <c r="P18" s="3778"/>
      <c r="Q18" s="1349"/>
      <c r="R18" s="702"/>
      <c r="S18" s="703"/>
      <c r="T18" s="702"/>
      <c r="U18" s="703"/>
      <c r="V18" s="702"/>
      <c r="W18" s="703"/>
      <c r="X18" s="1352"/>
      <c r="Y18" s="3712"/>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8"/>
      <c r="M19" s="2712"/>
      <c r="N19" s="2712"/>
      <c r="O19" s="2712"/>
      <c r="P19" s="3778"/>
      <c r="Q19" s="1349" t="str">
        <f>B19</f>
        <v>公共配套设施</v>
      </c>
      <c r="R19" s="702" t="s">
        <v>14</v>
      </c>
      <c r="S19" s="703">
        <f>F19</f>
        <v>100</v>
      </c>
      <c r="T19" s="702" t="s">
        <v>14</v>
      </c>
      <c r="U19" s="703">
        <f>H19</f>
        <v>100</v>
      </c>
      <c r="V19" s="702" t="s">
        <v>14</v>
      </c>
      <c r="W19" s="703">
        <f>J19</f>
        <v>100</v>
      </c>
      <c r="X19" s="1352"/>
      <c r="Y19" s="3712"/>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2718"/>
      <c r="M20" s="2712"/>
      <c r="N20" s="2712"/>
      <c r="O20" s="2712"/>
      <c r="P20" s="3778"/>
      <c r="Q20" s="1349"/>
      <c r="R20" s="702"/>
      <c r="S20" s="703"/>
      <c r="T20" s="702"/>
      <c r="U20" s="703"/>
      <c r="V20" s="702"/>
      <c r="W20" s="703"/>
      <c r="X20" s="1352"/>
      <c r="Y20" s="3712"/>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8"/>
      <c r="M21" s="2712"/>
      <c r="N21" s="2712"/>
      <c r="O21" s="2712"/>
      <c r="P21" s="3778"/>
      <c r="Q21" s="1349" t="str">
        <f>B21</f>
        <v>基础设施水平</v>
      </c>
      <c r="R21" s="702" t="s">
        <v>14</v>
      </c>
      <c r="S21" s="703">
        <f>F21</f>
        <v>100</v>
      </c>
      <c r="T21" s="702" t="s">
        <v>14</v>
      </c>
      <c r="U21" s="703">
        <f>H21</f>
        <v>100</v>
      </c>
      <c r="V21" s="702" t="s">
        <v>14</v>
      </c>
      <c r="W21" s="703">
        <f>J21</f>
        <v>100</v>
      </c>
      <c r="X21" s="1352"/>
      <c r="Y21" s="371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2718"/>
      <c r="M22" s="2712"/>
      <c r="N22" s="2712"/>
      <c r="O22" s="2712"/>
      <c r="P22" s="3778"/>
      <c r="Q22" s="1349"/>
      <c r="R22" s="702"/>
      <c r="S22" s="703"/>
      <c r="T22" s="702"/>
      <c r="U22" s="703"/>
      <c r="V22" s="702"/>
      <c r="W22" s="703"/>
      <c r="X22" s="1352"/>
      <c r="Y22" s="3712"/>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8"/>
      <c r="M23" s="2712"/>
      <c r="N23" s="2712"/>
      <c r="O23" s="2712"/>
      <c r="P23" s="3778"/>
      <c r="Q23" s="1349" t="str">
        <f>B23</f>
        <v>自然及人文环境</v>
      </c>
      <c r="R23" s="702" t="s">
        <v>14</v>
      </c>
      <c r="S23" s="703">
        <f>F23</f>
        <v>100</v>
      </c>
      <c r="T23" s="702" t="s">
        <v>14</v>
      </c>
      <c r="U23" s="703">
        <f>H23</f>
        <v>100</v>
      </c>
      <c r="V23" s="702" t="s">
        <v>14</v>
      </c>
      <c r="W23" s="703">
        <f>J23</f>
        <v>100</v>
      </c>
      <c r="X23" s="1352"/>
      <c r="Y23" s="3712"/>
      <c r="Z23" s="1353" t="str">
        <f>Q23</f>
        <v>自然及人文环境</v>
      </c>
      <c r="AA23" s="1350">
        <f t="shared" si="3"/>
        <v>1</v>
      </c>
      <c r="AB23" s="1350">
        <f t="shared" si="4"/>
        <v>1</v>
      </c>
      <c r="AC23" s="1350">
        <f t="shared" si="5"/>
        <v>1</v>
      </c>
    </row>
    <row r="24" spans="1:29" ht="15">
      <c r="A24" s="377"/>
      <c r="B24" s="405"/>
      <c r="C24" s="396"/>
      <c r="D24" s="397"/>
      <c r="E24" s="1895"/>
      <c r="F24" s="398"/>
      <c r="G24" s="1894"/>
      <c r="H24" s="397"/>
      <c r="I24" s="1895"/>
      <c r="J24" s="397"/>
      <c r="K24" s="562"/>
      <c r="L24" s="2718"/>
      <c r="M24" s="2712"/>
      <c r="N24" s="2712"/>
      <c r="O24" s="2712"/>
      <c r="P24" s="3778"/>
      <c r="Q24" s="1349"/>
      <c r="R24" s="702"/>
      <c r="S24" s="703"/>
      <c r="T24" s="702"/>
      <c r="U24" s="703"/>
      <c r="V24" s="702"/>
      <c r="W24" s="703"/>
      <c r="X24" s="1352"/>
      <c r="Y24" s="3712"/>
      <c r="Z24" s="1353"/>
      <c r="AA24" s="1350">
        <v>1</v>
      </c>
      <c r="AB24" s="1350">
        <v>1</v>
      </c>
      <c r="AC24" s="1350">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8"/>
      <c r="M25" s="2712"/>
      <c r="N25" s="2712"/>
      <c r="O25" s="2712"/>
      <c r="P25" s="3778"/>
      <c r="Q25" s="1349" t="str">
        <f t="shared" ref="Q25:Q46" si="11">B25</f>
        <v>临街状况</v>
      </c>
      <c r="R25" s="702" t="s">
        <v>14</v>
      </c>
      <c r="S25" s="703">
        <f>F25</f>
        <v>100</v>
      </c>
      <c r="T25" s="702" t="s">
        <v>14</v>
      </c>
      <c r="U25" s="703">
        <f>H25</f>
        <v>100</v>
      </c>
      <c r="V25" s="702" t="s">
        <v>14</v>
      </c>
      <c r="W25" s="703">
        <f>J25</f>
        <v>100</v>
      </c>
      <c r="X25" s="1352"/>
      <c r="Y25" s="3712"/>
      <c r="Z25" s="1353" t="str">
        <f>Q25</f>
        <v>临街状况</v>
      </c>
      <c r="AA25" s="1350">
        <f t="shared" si="3"/>
        <v>1</v>
      </c>
      <c r="AB25" s="1350">
        <f t="shared" si="4"/>
        <v>1</v>
      </c>
      <c r="AC25" s="1350">
        <f t="shared" si="5"/>
        <v>1</v>
      </c>
    </row>
    <row r="26" spans="1:29" ht="15">
      <c r="A26" s="377"/>
      <c r="B26" s="1130" t="s">
        <v>1781</v>
      </c>
      <c r="C26" s="383"/>
      <c r="D26" s="384">
        <v>100</v>
      </c>
      <c r="E26" s="383"/>
      <c r="F26" s="410">
        <f>SUMIF(88:88,E26,89:89)-SUMIF(88:88,C26,89:89)+100</f>
        <v>100</v>
      </c>
      <c r="G26" s="383"/>
      <c r="H26" s="384">
        <f>SUMIF(88:88,G26,89:89)-SUMIF(88:88,C26,89:89)+100</f>
        <v>100</v>
      </c>
      <c r="I26" s="383"/>
      <c r="J26" s="384">
        <f>SUMIF(88:88,I26,89:89)-SUMIF(88:88,C26,89:89)+100</f>
        <v>100</v>
      </c>
      <c r="K26" s="560"/>
      <c r="L26" s="2718"/>
      <c r="M26" s="2712"/>
      <c r="N26" s="2712"/>
      <c r="O26" s="2712"/>
      <c r="P26" s="3778"/>
      <c r="Q26" s="1349" t="str">
        <f t="shared" si="11"/>
        <v>平面位置/可视性</v>
      </c>
      <c r="R26" s="702" t="s">
        <v>14</v>
      </c>
      <c r="S26" s="703">
        <f>F26</f>
        <v>100</v>
      </c>
      <c r="T26" s="702" t="s">
        <v>14</v>
      </c>
      <c r="U26" s="703">
        <f>H26</f>
        <v>100</v>
      </c>
      <c r="V26" s="702" t="s">
        <v>14</v>
      </c>
      <c r="W26" s="703">
        <f>J26</f>
        <v>100</v>
      </c>
      <c r="X26" s="1352"/>
      <c r="Y26" s="3712"/>
      <c r="Z26" s="1353" t="str">
        <f>Q26</f>
        <v>平面位置/可视性</v>
      </c>
      <c r="AA26" s="1350">
        <f t="shared" si="3"/>
        <v>1</v>
      </c>
      <c r="AB26" s="1350">
        <f t="shared" si="4"/>
        <v>1</v>
      </c>
      <c r="AC26" s="1350">
        <f t="shared" si="5"/>
        <v>1</v>
      </c>
    </row>
    <row r="27" spans="1:29" s="108" customFormat="1" ht="15">
      <c r="A27" s="380"/>
      <c r="B27" s="400" t="s">
        <v>1782</v>
      </c>
      <c r="C27" s="1953"/>
      <c r="D27" s="411">
        <v>100</v>
      </c>
      <c r="E27" s="1953"/>
      <c r="F27" s="413">
        <f>SUMIF(90:90,E27,91:91)-SUMIF(90:90,C27,91:91)+100</f>
        <v>100</v>
      </c>
      <c r="G27" s="1953"/>
      <c r="H27" s="411">
        <f>SUMIF(90:90,G27,91:91)-SUMIF(90:90,C27,91:91)+100</f>
        <v>100</v>
      </c>
      <c r="I27" s="1953"/>
      <c r="J27" s="411">
        <f>SUMIF(90:90,I27,91:91)-SUMIF(90:90,C27,91:91)+100</f>
        <v>100</v>
      </c>
      <c r="K27" s="559"/>
      <c r="L27" s="2713"/>
      <c r="M27" s="2714"/>
      <c r="N27" s="2714"/>
      <c r="O27" s="2714"/>
      <c r="P27" s="3778"/>
      <c r="Q27" s="1340" t="str">
        <f t="shared" si="11"/>
        <v>人流量</v>
      </c>
      <c r="R27" s="698" t="s">
        <v>14</v>
      </c>
      <c r="S27" s="699">
        <f>F27</f>
        <v>100</v>
      </c>
      <c r="T27" s="698" t="s">
        <v>14</v>
      </c>
      <c r="U27" s="699">
        <f>H27</f>
        <v>100</v>
      </c>
      <c r="V27" s="698" t="s">
        <v>14</v>
      </c>
      <c r="W27" s="699">
        <f>J27</f>
        <v>100</v>
      </c>
      <c r="X27" s="700"/>
      <c r="Y27" s="3712"/>
      <c r="Z27" s="52" t="str">
        <f>Q27</f>
        <v>人流量</v>
      </c>
      <c r="AA27" s="1350">
        <f>D27/F27</f>
        <v>1</v>
      </c>
      <c r="AB27" s="1350">
        <f>D27/H27</f>
        <v>1</v>
      </c>
      <c r="AC27" s="1350">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8"/>
      <c r="M28" s="2712"/>
      <c r="N28" s="2712"/>
      <c r="O28" s="2712"/>
      <c r="P28" s="3778"/>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12"/>
      <c r="Z28" s="1353" t="str">
        <f t="shared" ref="Z28:Z46" si="15">Q28</f>
        <v>楼层</v>
      </c>
      <c r="AA28" s="1350">
        <f t="shared" si="3"/>
        <v>1</v>
      </c>
      <c r="AB28" s="1350">
        <f t="shared" si="4"/>
        <v>1</v>
      </c>
      <c r="AC28" s="1350">
        <f t="shared" si="5"/>
        <v>1</v>
      </c>
    </row>
    <row r="29" spans="1:29" ht="15">
      <c r="A29" s="377"/>
      <c r="B29" s="1130">
        <v>111</v>
      </c>
      <c r="C29" s="383"/>
      <c r="D29" s="384">
        <v>100</v>
      </c>
      <c r="E29" s="383"/>
      <c r="F29" s="410">
        <f>SUMIF(94:94,E29,95:95)-SUMIF(94:94,C29,95:95)+100</f>
        <v>100</v>
      </c>
      <c r="G29" s="383"/>
      <c r="H29" s="384">
        <f>SUMIF(94:94,G29,95:95)-SUMIF(94:94,C29,95:95)+100</f>
        <v>100</v>
      </c>
      <c r="I29" s="383"/>
      <c r="J29" s="384">
        <f>SUMIF(94:94,I29,95:95)-SUMIF(94:94,C29,95:95)+100</f>
        <v>100</v>
      </c>
      <c r="K29" s="560"/>
      <c r="L29" s="2718"/>
      <c r="M29" s="2712"/>
      <c r="N29" s="2712"/>
      <c r="O29" s="2712"/>
      <c r="P29" s="3778"/>
      <c r="Q29" s="1349">
        <f t="shared" si="11"/>
        <v>111</v>
      </c>
      <c r="R29" s="702" t="s">
        <v>14</v>
      </c>
      <c r="S29" s="703">
        <f t="shared" si="12"/>
        <v>100</v>
      </c>
      <c r="T29" s="702" t="s">
        <v>14</v>
      </c>
      <c r="U29" s="703">
        <f t="shared" si="13"/>
        <v>100</v>
      </c>
      <c r="V29" s="702" t="s">
        <v>14</v>
      </c>
      <c r="W29" s="703">
        <f t="shared" si="14"/>
        <v>100</v>
      </c>
      <c r="X29" s="1352"/>
      <c r="Y29" s="3712"/>
      <c r="Z29" s="1353">
        <f t="shared" si="15"/>
        <v>111</v>
      </c>
      <c r="AA29" s="1350">
        <f t="shared" si="3"/>
        <v>1</v>
      </c>
      <c r="AB29" s="1350">
        <f t="shared" si="4"/>
        <v>1</v>
      </c>
      <c r="AC29" s="1350">
        <f t="shared" si="5"/>
        <v>1</v>
      </c>
    </row>
    <row r="30" spans="1:29" ht="15">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8"/>
      <c r="M30" s="2712"/>
      <c r="N30" s="2712"/>
      <c r="O30" s="2712"/>
      <c r="P30" s="3778"/>
      <c r="Q30" s="1349">
        <f t="shared" si="11"/>
        <v>111</v>
      </c>
      <c r="R30" s="702" t="s">
        <v>14</v>
      </c>
      <c r="S30" s="703">
        <f t="shared" si="12"/>
        <v>100</v>
      </c>
      <c r="T30" s="702" t="s">
        <v>14</v>
      </c>
      <c r="U30" s="703">
        <f t="shared" si="13"/>
        <v>100</v>
      </c>
      <c r="V30" s="702" t="s">
        <v>14</v>
      </c>
      <c r="W30" s="703">
        <f t="shared" si="14"/>
        <v>100</v>
      </c>
      <c r="X30" s="1352"/>
      <c r="Y30" s="3712"/>
      <c r="Z30" s="1353">
        <f t="shared" si="15"/>
        <v>111</v>
      </c>
      <c r="AA30" s="1350">
        <f t="shared" si="3"/>
        <v>1</v>
      </c>
      <c r="AB30" s="1350">
        <f t="shared" si="4"/>
        <v>1</v>
      </c>
      <c r="AC30" s="1350">
        <f t="shared" si="5"/>
        <v>1</v>
      </c>
    </row>
    <row r="31" spans="1:29" ht="15.75"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8"/>
      <c r="M31" s="2712"/>
      <c r="N31" s="2712"/>
      <c r="O31" s="2712"/>
      <c r="P31" s="3778"/>
      <c r="Q31" s="1349">
        <f t="shared" si="11"/>
        <v>111</v>
      </c>
      <c r="R31" s="702" t="s">
        <v>14</v>
      </c>
      <c r="S31" s="703">
        <f t="shared" si="12"/>
        <v>100</v>
      </c>
      <c r="T31" s="702" t="s">
        <v>14</v>
      </c>
      <c r="U31" s="703">
        <f t="shared" si="13"/>
        <v>100</v>
      </c>
      <c r="V31" s="702" t="s">
        <v>14</v>
      </c>
      <c r="W31" s="703">
        <f t="shared" si="14"/>
        <v>100</v>
      </c>
      <c r="X31" s="1352"/>
      <c r="Y31" s="3712"/>
      <c r="Z31" s="1353">
        <f t="shared" si="15"/>
        <v>111</v>
      </c>
      <c r="AA31" s="1350">
        <f t="shared" si="3"/>
        <v>1</v>
      </c>
      <c r="AB31" s="1350">
        <f t="shared" si="4"/>
        <v>1</v>
      </c>
      <c r="AC31" s="1350">
        <f t="shared" si="5"/>
        <v>1</v>
      </c>
    </row>
    <row r="32" spans="1:29" ht="15">
      <c r="A32" s="389" t="s">
        <v>1694</v>
      </c>
      <c r="B32" s="63" t="s">
        <v>1784</v>
      </c>
      <c r="C32" s="1907"/>
      <c r="D32" s="416">
        <v>100</v>
      </c>
      <c r="E32" s="1907"/>
      <c r="F32" s="410">
        <f>SUMIF(100:100,E32,101:101)-SUMIF(100:100,C32,101:101)+100</f>
        <v>100</v>
      </c>
      <c r="G32" s="1907"/>
      <c r="H32" s="384">
        <f>SUMIF(100:100,G32,101:101)-SUMIF(100:100,C32,101:101)+100</f>
        <v>100</v>
      </c>
      <c r="I32" s="1907"/>
      <c r="J32" s="416">
        <f>SUMIF(100:100,I32,101:101)-SUMIF(100:100,C32,101:101)+100</f>
        <v>100</v>
      </c>
      <c r="K32" s="559"/>
      <c r="L32" s="2718"/>
      <c r="M32" s="2712"/>
      <c r="N32" s="2712"/>
      <c r="O32" s="2712"/>
      <c r="P32" s="3774" t="s">
        <v>1696</v>
      </c>
      <c r="Q32" s="1349" t="str">
        <f t="shared" si="11"/>
        <v>商业类型</v>
      </c>
      <c r="R32" s="702" t="s">
        <v>14</v>
      </c>
      <c r="S32" s="703">
        <f t="shared" si="12"/>
        <v>100</v>
      </c>
      <c r="T32" s="702" t="s">
        <v>14</v>
      </c>
      <c r="U32" s="703">
        <f t="shared" si="13"/>
        <v>100</v>
      </c>
      <c r="V32" s="702" t="s">
        <v>14</v>
      </c>
      <c r="W32" s="703">
        <f t="shared" si="14"/>
        <v>100</v>
      </c>
      <c r="X32" s="1352"/>
      <c r="Y32" s="3714" t="s">
        <v>1696</v>
      </c>
      <c r="Z32" s="1353" t="str">
        <f t="shared" si="15"/>
        <v>商业类型</v>
      </c>
      <c r="AA32" s="1350">
        <f t="shared" si="3"/>
        <v>1</v>
      </c>
      <c r="AB32" s="1350">
        <f t="shared" si="4"/>
        <v>1</v>
      </c>
      <c r="AC32" s="1350">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7"/>
      <c r="M33" s="2719"/>
      <c r="N33" s="2719"/>
      <c r="O33" s="2719"/>
      <c r="P33" s="3775"/>
      <c r="Q33" s="704" t="str">
        <f t="shared" si="11"/>
        <v>项目建筑规模</v>
      </c>
      <c r="R33" s="705" t="s">
        <v>14</v>
      </c>
      <c r="S33" s="706" t="e">
        <f t="shared" si="12"/>
        <v>#N/A</v>
      </c>
      <c r="T33" s="705" t="s">
        <v>14</v>
      </c>
      <c r="U33" s="706" t="e">
        <f t="shared" si="13"/>
        <v>#N/A</v>
      </c>
      <c r="V33" s="705" t="s">
        <v>14</v>
      </c>
      <c r="W33" s="706" t="e">
        <f t="shared" si="14"/>
        <v>#N/A</v>
      </c>
      <c r="X33" s="707"/>
      <c r="Y33" s="3714"/>
      <c r="Z33" s="708" t="str">
        <f t="shared" si="15"/>
        <v>项目建筑规模</v>
      </c>
      <c r="AA33" s="1350" t="e">
        <f t="shared" si="3"/>
        <v>#N/A</v>
      </c>
      <c r="AB33" s="1350" t="e">
        <f t="shared" si="4"/>
        <v>#N/A</v>
      </c>
      <c r="AC33" s="1350" t="e">
        <f t="shared" si="5"/>
        <v>#N/A</v>
      </c>
    </row>
    <row r="34" spans="1:29" ht="15">
      <c r="A34" s="421"/>
      <c r="B34" s="373" t="s">
        <v>1698</v>
      </c>
      <c r="C34" s="1909"/>
      <c r="D34" s="384">
        <v>100</v>
      </c>
      <c r="E34" s="1909"/>
      <c r="F34" s="410">
        <f>SUMIF(105:105,E34,106:106)-SUMIF(105:105,C34,106:106)+100</f>
        <v>100</v>
      </c>
      <c r="G34" s="1909"/>
      <c r="H34" s="384">
        <f>SUMIF(105:105,G34,106:106)-SUMIF(105:105,C34,106:106)+100</f>
        <v>100</v>
      </c>
      <c r="I34" s="1909"/>
      <c r="J34" s="384">
        <f>SUMIF(105:105,I34,106:106)-SUMIF(105:105,C34,106:106)+100</f>
        <v>100</v>
      </c>
      <c r="K34" s="559"/>
      <c r="L34" s="2718"/>
      <c r="M34" s="2712"/>
      <c r="N34" s="2712"/>
      <c r="O34" s="2712"/>
      <c r="P34" s="3775"/>
      <c r="Q34" s="1349" t="str">
        <f t="shared" si="11"/>
        <v>建筑结构</v>
      </c>
      <c r="R34" s="702" t="s">
        <v>14</v>
      </c>
      <c r="S34" s="703">
        <f t="shared" si="12"/>
        <v>100</v>
      </c>
      <c r="T34" s="702" t="s">
        <v>14</v>
      </c>
      <c r="U34" s="703">
        <f t="shared" si="13"/>
        <v>100</v>
      </c>
      <c r="V34" s="702" t="s">
        <v>14</v>
      </c>
      <c r="W34" s="703">
        <f t="shared" si="14"/>
        <v>100</v>
      </c>
      <c r="X34" s="1352"/>
      <c r="Y34" s="3714"/>
      <c r="Z34" s="1353" t="str">
        <f t="shared" si="15"/>
        <v>建筑结构</v>
      </c>
      <c r="AA34" s="1350">
        <f t="shared" si="3"/>
        <v>1</v>
      </c>
      <c r="AB34" s="1350">
        <f t="shared" si="4"/>
        <v>1</v>
      </c>
      <c r="AC34" s="1350">
        <f t="shared" si="5"/>
        <v>1</v>
      </c>
    </row>
    <row r="35" spans="1:29" ht="15">
      <c r="A35" s="421"/>
      <c r="B35" s="373" t="s">
        <v>1785</v>
      </c>
      <c r="C35" s="1903"/>
      <c r="D35" s="384">
        <v>100</v>
      </c>
      <c r="E35" s="1903"/>
      <c r="F35" s="410">
        <f>SUMIF(107:107,E35,108:108)-SUMIF(107:107,C35,108:108)+100</f>
        <v>100</v>
      </c>
      <c r="G35" s="1903"/>
      <c r="H35" s="384">
        <f>SUMIF(107:107,G35,108:108)-SUMIF(107:107,C35,108:108)+100</f>
        <v>100</v>
      </c>
      <c r="I35" s="1903"/>
      <c r="J35" s="384">
        <f>SUMIF(107:107,I35,108:108)-SUMIF(107:107,C35,108:108)+100</f>
        <v>100</v>
      </c>
      <c r="K35" s="559"/>
      <c r="L35" s="2718"/>
      <c r="M35" s="2712"/>
      <c r="N35" s="2712"/>
      <c r="O35" s="2712"/>
      <c r="P35" s="3775"/>
      <c r="Q35" s="1349" t="str">
        <f t="shared" si="11"/>
        <v>公共部分装修</v>
      </c>
      <c r="R35" s="702" t="s">
        <v>14</v>
      </c>
      <c r="S35" s="703">
        <f t="shared" si="12"/>
        <v>100</v>
      </c>
      <c r="T35" s="702" t="s">
        <v>14</v>
      </c>
      <c r="U35" s="703">
        <f t="shared" si="13"/>
        <v>100</v>
      </c>
      <c r="V35" s="702" t="s">
        <v>14</v>
      </c>
      <c r="W35" s="703">
        <f t="shared" si="14"/>
        <v>100</v>
      </c>
      <c r="X35" s="1352"/>
      <c r="Y35" s="3714"/>
      <c r="Z35" s="1353" t="str">
        <f t="shared" si="15"/>
        <v>公共部分装修</v>
      </c>
      <c r="AA35" s="1350">
        <f t="shared" si="3"/>
        <v>1</v>
      </c>
      <c r="AB35" s="1350">
        <f t="shared" si="4"/>
        <v>1</v>
      </c>
      <c r="AC35" s="1350">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8"/>
      <c r="M36" s="2712"/>
      <c r="N36" s="2712"/>
      <c r="O36" s="2712"/>
      <c r="P36" s="3775"/>
      <c r="Q36" s="1349" t="str">
        <f t="shared" si="11"/>
        <v>成新度</v>
      </c>
      <c r="R36" s="702" t="s">
        <v>14</v>
      </c>
      <c r="S36" s="703" t="e">
        <f t="shared" si="12"/>
        <v>#N/A</v>
      </c>
      <c r="T36" s="702" t="s">
        <v>14</v>
      </c>
      <c r="U36" s="703" t="e">
        <f t="shared" si="13"/>
        <v>#N/A</v>
      </c>
      <c r="V36" s="702" t="s">
        <v>14</v>
      </c>
      <c r="W36" s="703" t="e">
        <f t="shared" si="14"/>
        <v>#N/A</v>
      </c>
      <c r="X36" s="1352"/>
      <c r="Y36" s="3714"/>
      <c r="Z36" s="1353" t="str">
        <f t="shared" si="15"/>
        <v>成新度</v>
      </c>
      <c r="AA36" s="1350" t="e">
        <f t="shared" si="3"/>
        <v>#N/A</v>
      </c>
      <c r="AB36" s="1350" t="e">
        <f t="shared" si="4"/>
        <v>#N/A</v>
      </c>
      <c r="AC36" s="1350" t="e">
        <f t="shared" si="5"/>
        <v>#N/A</v>
      </c>
    </row>
    <row r="37" spans="1:29" s="108" customFormat="1" ht="15">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3"/>
      <c r="M37" s="2714"/>
      <c r="N37" s="2714"/>
      <c r="O37" s="2714"/>
      <c r="P37" s="3775"/>
      <c r="Q37" s="1340" t="str">
        <f t="shared" si="11"/>
        <v>市政基础设施</v>
      </c>
      <c r="R37" s="698" t="s">
        <v>14</v>
      </c>
      <c r="S37" s="699">
        <f t="shared" si="12"/>
        <v>100</v>
      </c>
      <c r="T37" s="698" t="s">
        <v>14</v>
      </c>
      <c r="U37" s="699">
        <f t="shared" si="13"/>
        <v>100</v>
      </c>
      <c r="V37" s="698" t="s">
        <v>14</v>
      </c>
      <c r="W37" s="699">
        <f t="shared" si="14"/>
        <v>100</v>
      </c>
      <c r="X37" s="700"/>
      <c r="Y37" s="3714"/>
      <c r="Z37" s="52" t="str">
        <f t="shared" si="15"/>
        <v>市政基础设施</v>
      </c>
      <c r="AA37" s="701">
        <f t="shared" si="3"/>
        <v>1</v>
      </c>
      <c r="AB37" s="701">
        <f t="shared" si="4"/>
        <v>1</v>
      </c>
      <c r="AC37" s="701">
        <f t="shared" si="5"/>
        <v>1</v>
      </c>
    </row>
    <row r="38" spans="1:29" ht="15">
      <c r="A38" s="421"/>
      <c r="B38" s="373" t="s">
        <v>1788</v>
      </c>
      <c r="C38" s="1903"/>
      <c r="D38" s="384">
        <v>100</v>
      </c>
      <c r="E38" s="1903"/>
      <c r="F38" s="410">
        <f>SUMIF(114:114,E38,115:115)-SUMIF(114:114,C38,115:115)+100</f>
        <v>100</v>
      </c>
      <c r="G38" s="1903"/>
      <c r="H38" s="384">
        <f>SUMIF(114:114,G38,115:115)-SUMIF(114:114,C38,115:115)+100</f>
        <v>100</v>
      </c>
      <c r="I38" s="1903"/>
      <c r="J38" s="384">
        <f>SUMIF(114:114,I38,115:115)-SUMIF(114:114,C38,115:115)+100</f>
        <v>100</v>
      </c>
      <c r="K38" s="559"/>
      <c r="L38" s="2718"/>
      <c r="M38" s="2712"/>
      <c r="N38" s="2712"/>
      <c r="O38" s="2712"/>
      <c r="P38" s="3775" t="s">
        <v>1696</v>
      </c>
      <c r="Q38" s="1349" t="str">
        <f t="shared" si="11"/>
        <v>业态</v>
      </c>
      <c r="R38" s="702" t="s">
        <v>14</v>
      </c>
      <c r="S38" s="703">
        <f t="shared" si="12"/>
        <v>100</v>
      </c>
      <c r="T38" s="702" t="s">
        <v>14</v>
      </c>
      <c r="U38" s="703">
        <f t="shared" si="13"/>
        <v>100</v>
      </c>
      <c r="V38" s="702" t="s">
        <v>14</v>
      </c>
      <c r="W38" s="703">
        <f t="shared" si="14"/>
        <v>100</v>
      </c>
      <c r="X38" s="1352"/>
      <c r="Y38" s="3714" t="s">
        <v>1696</v>
      </c>
      <c r="Z38" s="1353" t="str">
        <f t="shared" si="15"/>
        <v>业态</v>
      </c>
      <c r="AA38" s="1350">
        <f t="shared" si="3"/>
        <v>1</v>
      </c>
      <c r="AB38" s="1350">
        <f t="shared" si="4"/>
        <v>1</v>
      </c>
      <c r="AC38" s="1350">
        <f t="shared" si="5"/>
        <v>1</v>
      </c>
    </row>
    <row r="39" spans="1:29" ht="15">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8"/>
      <c r="M39" s="2712"/>
      <c r="N39" s="2712"/>
      <c r="O39" s="2712"/>
      <c r="P39" s="3775"/>
      <c r="Q39" s="1349" t="str">
        <f t="shared" si="11"/>
        <v>层高</v>
      </c>
      <c r="R39" s="702" t="s">
        <v>14</v>
      </c>
      <c r="S39" s="703">
        <f t="shared" si="12"/>
        <v>100</v>
      </c>
      <c r="T39" s="702" t="s">
        <v>14</v>
      </c>
      <c r="U39" s="703">
        <f t="shared" si="13"/>
        <v>100</v>
      </c>
      <c r="V39" s="702" t="s">
        <v>14</v>
      </c>
      <c r="W39" s="703">
        <f t="shared" si="14"/>
        <v>100</v>
      </c>
      <c r="X39" s="1352"/>
      <c r="Y39" s="3714"/>
      <c r="Z39" s="1353" t="str">
        <f t="shared" si="15"/>
        <v>层高</v>
      </c>
      <c r="AA39" s="1350">
        <f t="shared" si="3"/>
        <v>1</v>
      </c>
      <c r="AB39" s="1350">
        <f t="shared" si="4"/>
        <v>1</v>
      </c>
      <c r="AC39" s="1350">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8"/>
      <c r="M40" s="2712"/>
      <c r="N40" s="2712"/>
      <c r="O40" s="2712"/>
      <c r="P40" s="3775"/>
      <c r="Q40" s="1349" t="str">
        <f t="shared" si="11"/>
        <v>单套建筑面积</v>
      </c>
      <c r="R40" s="702" t="s">
        <v>14</v>
      </c>
      <c r="S40" s="703">
        <f t="shared" si="12"/>
        <v>100</v>
      </c>
      <c r="T40" s="702" t="s">
        <v>14</v>
      </c>
      <c r="U40" s="703">
        <f t="shared" si="13"/>
        <v>100</v>
      </c>
      <c r="V40" s="702" t="s">
        <v>14</v>
      </c>
      <c r="W40" s="703">
        <f t="shared" si="14"/>
        <v>100</v>
      </c>
      <c r="X40" s="1352"/>
      <c r="Y40" s="3714"/>
      <c r="Z40" s="1353" t="str">
        <f t="shared" si="15"/>
        <v>单套建筑面积</v>
      </c>
      <c r="AA40" s="1350">
        <f t="shared" si="3"/>
        <v>1</v>
      </c>
      <c r="AB40" s="1350">
        <f t="shared" si="4"/>
        <v>1</v>
      </c>
      <c r="AC40" s="1350">
        <f t="shared" si="5"/>
        <v>1</v>
      </c>
    </row>
    <row r="41" spans="1:29" s="420" customFormat="1" ht="15">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7"/>
      <c r="M41" s="2719"/>
      <c r="N41" s="2719"/>
      <c r="O41" s="2719"/>
      <c r="P41" s="3775"/>
      <c r="Q41" s="704" t="str">
        <f t="shared" si="11"/>
        <v>进深比</v>
      </c>
      <c r="R41" s="705" t="s">
        <v>14</v>
      </c>
      <c r="S41" s="706">
        <f t="shared" si="12"/>
        <v>100</v>
      </c>
      <c r="T41" s="705" t="s">
        <v>14</v>
      </c>
      <c r="U41" s="706">
        <f t="shared" si="13"/>
        <v>100</v>
      </c>
      <c r="V41" s="705" t="s">
        <v>14</v>
      </c>
      <c r="W41" s="706">
        <f t="shared" si="14"/>
        <v>100</v>
      </c>
      <c r="X41" s="707"/>
      <c r="Y41" s="3714"/>
      <c r="Z41" s="708" t="str">
        <f t="shared" si="15"/>
        <v>进深比</v>
      </c>
      <c r="AA41" s="1350">
        <f t="shared" si="3"/>
        <v>1</v>
      </c>
      <c r="AB41" s="1350">
        <f t="shared" si="4"/>
        <v>1</v>
      </c>
      <c r="AC41" s="1350">
        <f t="shared" si="5"/>
        <v>1</v>
      </c>
    </row>
    <row r="42" spans="1:29" ht="15">
      <c r="A42" s="421"/>
      <c r="B42" s="373" t="s">
        <v>1792</v>
      </c>
      <c r="C42" s="1903"/>
      <c r="D42" s="384">
        <v>100</v>
      </c>
      <c r="E42" s="1903"/>
      <c r="F42" s="410">
        <f>SUMIF(122:122,E42,123:123)-SUMIF(122:122,C42,123:123)+100</f>
        <v>100</v>
      </c>
      <c r="G42" s="1903"/>
      <c r="H42" s="384">
        <f>SUMIF(122:122,G42,123:123)-SUMIF(122:122,C42,123:123)+100</f>
        <v>100</v>
      </c>
      <c r="I42" s="1903"/>
      <c r="J42" s="384">
        <f>SUMIF(122:122,I42,123:123)-SUMIF(122:122,C42,123:123)+100</f>
        <v>100</v>
      </c>
      <c r="K42" s="559"/>
      <c r="L42" s="2718"/>
      <c r="M42" s="2712"/>
      <c r="N42" s="2712"/>
      <c r="O42" s="2712"/>
      <c r="P42" s="3775"/>
      <c r="Q42" s="1349" t="str">
        <f t="shared" si="11"/>
        <v>内部装修</v>
      </c>
      <c r="R42" s="702" t="s">
        <v>14</v>
      </c>
      <c r="S42" s="703">
        <f t="shared" si="12"/>
        <v>100</v>
      </c>
      <c r="T42" s="702" t="s">
        <v>14</v>
      </c>
      <c r="U42" s="703">
        <f t="shared" si="13"/>
        <v>100</v>
      </c>
      <c r="V42" s="702" t="s">
        <v>14</v>
      </c>
      <c r="W42" s="703">
        <f t="shared" si="14"/>
        <v>100</v>
      </c>
      <c r="X42" s="1352"/>
      <c r="Y42" s="3714"/>
      <c r="Z42" s="1353" t="str">
        <f t="shared" si="15"/>
        <v>内部装修</v>
      </c>
      <c r="AA42" s="1350">
        <f t="shared" si="3"/>
        <v>1</v>
      </c>
      <c r="AB42" s="1350">
        <f t="shared" si="4"/>
        <v>1</v>
      </c>
      <c r="AC42" s="1350">
        <f t="shared" si="5"/>
        <v>1</v>
      </c>
    </row>
    <row r="43" spans="1:29" ht="15">
      <c r="A43" s="421"/>
      <c r="B43" s="373" t="s">
        <v>1707</v>
      </c>
      <c r="C43" s="1903"/>
      <c r="D43" s="384">
        <v>100</v>
      </c>
      <c r="E43" s="1903"/>
      <c r="F43" s="410">
        <f>SUMIF(124:124,E43,125:125)-SUMIF(124:124,C43,125:125)+100</f>
        <v>100</v>
      </c>
      <c r="G43" s="1903"/>
      <c r="H43" s="384">
        <f>SUMIF(124:124,G43,125:125)-SUMIF(124:124,C43,125:125)+100</f>
        <v>100</v>
      </c>
      <c r="I43" s="1903"/>
      <c r="J43" s="384">
        <f>SUMIF(124:124,I43,125:125)-SUMIF(124:124,C43,125:125)+100</f>
        <v>100</v>
      </c>
      <c r="K43" s="559"/>
      <c r="L43" s="2718"/>
      <c r="M43" s="2712"/>
      <c r="N43" s="2712"/>
      <c r="O43" s="2712"/>
      <c r="P43" s="3775"/>
      <c r="Q43" s="1349" t="str">
        <f t="shared" si="11"/>
        <v>内部装修维护情况</v>
      </c>
      <c r="R43" s="702" t="s">
        <v>14</v>
      </c>
      <c r="S43" s="703">
        <f t="shared" si="12"/>
        <v>100</v>
      </c>
      <c r="T43" s="702" t="s">
        <v>14</v>
      </c>
      <c r="U43" s="703">
        <f t="shared" si="13"/>
        <v>100</v>
      </c>
      <c r="V43" s="702" t="s">
        <v>14</v>
      </c>
      <c r="W43" s="703">
        <f t="shared" si="14"/>
        <v>100</v>
      </c>
      <c r="X43" s="1352"/>
      <c r="Y43" s="3714"/>
      <c r="Z43" s="1353" t="str">
        <f t="shared" si="15"/>
        <v>内部装修维护情况</v>
      </c>
      <c r="AA43" s="1350">
        <f t="shared" si="3"/>
        <v>1</v>
      </c>
      <c r="AB43" s="1350">
        <f t="shared" si="4"/>
        <v>1</v>
      </c>
      <c r="AC43" s="1350">
        <f t="shared" si="5"/>
        <v>1</v>
      </c>
    </row>
    <row r="44" spans="1:29" s="108" customFormat="1" ht="15">
      <c r="A44" s="422"/>
      <c r="B44" s="1130">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3"/>
      <c r="M44" s="2714"/>
      <c r="N44" s="2714"/>
      <c r="O44" s="2714"/>
      <c r="P44" s="3775"/>
      <c r="Q44" s="1340">
        <f t="shared" si="11"/>
        <v>111</v>
      </c>
      <c r="R44" s="698" t="s">
        <v>14</v>
      </c>
      <c r="S44" s="699">
        <f t="shared" si="12"/>
        <v>100</v>
      </c>
      <c r="T44" s="698" t="s">
        <v>14</v>
      </c>
      <c r="U44" s="699">
        <f t="shared" si="13"/>
        <v>100</v>
      </c>
      <c r="V44" s="698" t="s">
        <v>14</v>
      </c>
      <c r="W44" s="699">
        <f t="shared" si="14"/>
        <v>100</v>
      </c>
      <c r="X44" s="700"/>
      <c r="Y44" s="3714"/>
      <c r="Z44" s="52">
        <f t="shared" si="15"/>
        <v>111</v>
      </c>
      <c r="AA44" s="701">
        <f t="shared" si="3"/>
        <v>1</v>
      </c>
      <c r="AB44" s="701">
        <f t="shared" si="4"/>
        <v>1</v>
      </c>
      <c r="AC44" s="701">
        <f t="shared" si="5"/>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8"/>
      <c r="M45" s="2712"/>
      <c r="N45" s="2712"/>
      <c r="O45" s="2712"/>
      <c r="P45" s="3775"/>
      <c r="Q45" s="1349">
        <f t="shared" si="11"/>
        <v>111</v>
      </c>
      <c r="R45" s="702" t="s">
        <v>14</v>
      </c>
      <c r="S45" s="703">
        <f t="shared" si="12"/>
        <v>100</v>
      </c>
      <c r="T45" s="702" t="s">
        <v>14</v>
      </c>
      <c r="U45" s="703">
        <f t="shared" si="13"/>
        <v>100</v>
      </c>
      <c r="V45" s="702" t="s">
        <v>14</v>
      </c>
      <c r="W45" s="703">
        <f t="shared" si="14"/>
        <v>100</v>
      </c>
      <c r="X45" s="1352"/>
      <c r="Y45" s="3714"/>
      <c r="Z45" s="1353">
        <f t="shared" si="15"/>
        <v>111</v>
      </c>
      <c r="AA45" s="1350">
        <f t="shared" si="3"/>
        <v>1</v>
      </c>
      <c r="AB45" s="1350">
        <f t="shared" si="4"/>
        <v>1</v>
      </c>
      <c r="AC45" s="1350">
        <f t="shared" si="5"/>
        <v>1</v>
      </c>
    </row>
    <row r="46" spans="1:29" ht="15.75" thickBot="1">
      <c r="A46" s="427"/>
      <c r="B46" s="1892">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8"/>
      <c r="M46" s="2712"/>
      <c r="N46" s="2712"/>
      <c r="O46" s="2712"/>
      <c r="P46" s="3776"/>
      <c r="Q46" s="1349">
        <f t="shared" si="11"/>
        <v>111</v>
      </c>
      <c r="R46" s="702" t="s">
        <v>14</v>
      </c>
      <c r="S46" s="703">
        <f t="shared" si="12"/>
        <v>100</v>
      </c>
      <c r="T46" s="702" t="s">
        <v>14</v>
      </c>
      <c r="U46" s="703">
        <f t="shared" si="13"/>
        <v>100</v>
      </c>
      <c r="V46" s="702" t="s">
        <v>14</v>
      </c>
      <c r="W46" s="703">
        <f t="shared" si="14"/>
        <v>100</v>
      </c>
      <c r="X46" s="1352"/>
      <c r="Y46" s="3715"/>
      <c r="Z46" s="1353">
        <f t="shared" si="15"/>
        <v>111</v>
      </c>
      <c r="AA46" s="1350">
        <f t="shared" si="3"/>
        <v>1</v>
      </c>
      <c r="AB46" s="1350">
        <f t="shared" si="4"/>
        <v>1</v>
      </c>
      <c r="AC46" s="1350">
        <f t="shared" si="5"/>
        <v>1</v>
      </c>
    </row>
    <row r="47" spans="1:29" ht="15">
      <c r="A47" s="428" t="s">
        <v>1708</v>
      </c>
      <c r="B47" s="429"/>
      <c r="C47" s="1151" t="s">
        <v>0</v>
      </c>
      <c r="D47" s="1152"/>
      <c r="E47" s="1153"/>
      <c r="F47" s="1154"/>
      <c r="G47" s="1155"/>
      <c r="H47" s="1156"/>
      <c r="I47" s="1153"/>
      <c r="J47" s="1156"/>
      <c r="K47" s="711"/>
      <c r="L47" s="2720"/>
      <c r="M47" s="2721"/>
      <c r="N47" s="2712"/>
      <c r="O47" s="2721"/>
      <c r="P47" s="3706" t="str">
        <f>A47</f>
        <v>成交单价（元/平方米）</v>
      </c>
      <c r="Q47" s="3706"/>
      <c r="R47" s="3735">
        <f>E47</f>
        <v>0</v>
      </c>
      <c r="S47" s="3735"/>
      <c r="T47" s="3735">
        <f>G47</f>
        <v>0</v>
      </c>
      <c r="U47" s="3735"/>
      <c r="V47" s="3735">
        <f>I47</f>
        <v>0</v>
      </c>
      <c r="W47" s="3735"/>
      <c r="X47" s="687"/>
      <c r="Y47" s="709"/>
      <c r="Z47" s="687"/>
      <c r="AA47" s="687"/>
      <c r="AB47" s="687"/>
      <c r="AC47" s="687"/>
    </row>
    <row r="48" spans="1:29" ht="15.75" thickBot="1">
      <c r="A48" s="435" t="s">
        <v>1793</v>
      </c>
      <c r="B48" s="436"/>
      <c r="C48" s="1157" t="e">
        <f>R49</f>
        <v>#DIV/0!</v>
      </c>
      <c r="D48" s="2314" t="s">
        <v>2138</v>
      </c>
      <c r="E48" s="1158" t="e">
        <f>R48</f>
        <v>#DIV/0!</v>
      </c>
      <c r="F48" s="2315"/>
      <c r="G48" s="1157" t="e">
        <f>T48</f>
        <v>#DIV/0!</v>
      </c>
      <c r="H48" s="2315"/>
      <c r="I48" s="1158" t="e">
        <f>V48</f>
        <v>#DIV/0!</v>
      </c>
      <c r="J48" s="2315"/>
      <c r="K48" s="2317">
        <f>F48+H48+J48</f>
        <v>0</v>
      </c>
      <c r="L48" s="2720"/>
      <c r="M48" s="2721"/>
      <c r="N48" s="2712"/>
      <c r="O48" s="2721"/>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7"/>
      <c r="Y48" s="687"/>
      <c r="Z48" s="687"/>
      <c r="AA48" s="687"/>
      <c r="AB48" s="687"/>
      <c r="AC48" s="687"/>
    </row>
    <row r="49" spans="1:29" ht="15.75" thickBot="1">
      <c r="A49" s="439" t="s">
        <v>1794</v>
      </c>
      <c r="B49" s="440"/>
      <c r="C49" s="1160" t="e">
        <f>R49</f>
        <v>#DIV/0!</v>
      </c>
      <c r="D49" s="1160"/>
      <c r="E49" s="1160"/>
      <c r="F49" s="1160"/>
      <c r="G49" s="1160"/>
      <c r="H49" s="1160"/>
      <c r="I49" s="1160"/>
      <c r="J49" s="1160"/>
      <c r="K49" s="712"/>
      <c r="L49" s="2720"/>
      <c r="M49" s="2721"/>
      <c r="N49" s="2712"/>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9" customFormat="1" ht="13.5" customHeight="1">
      <c r="A54" s="2724"/>
      <c r="B54" s="2724"/>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9"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5" customFormat="1" ht="15">
      <c r="A58" s="452" t="s">
        <v>1679</v>
      </c>
      <c r="B58" s="453"/>
      <c r="C58" s="1181" t="str">
        <f>YEAR(C7)&amp;"-"&amp;MONTH(C7)</f>
        <v>2023-12</v>
      </c>
      <c r="D58" s="1182">
        <f>EDATE(C58,-1)</f>
        <v>45231</v>
      </c>
      <c r="E58" s="1182">
        <f t="shared" ref="E58:N58" si="16">EDATE(D58,-1)</f>
        <v>45200</v>
      </c>
      <c r="F58" s="1182">
        <f t="shared" si="16"/>
        <v>45170</v>
      </c>
      <c r="G58" s="1182">
        <f t="shared" si="16"/>
        <v>45139</v>
      </c>
      <c r="H58" s="1182">
        <f t="shared" si="16"/>
        <v>45108</v>
      </c>
      <c r="I58" s="1182">
        <f t="shared" si="16"/>
        <v>45078</v>
      </c>
      <c r="J58" s="1182">
        <f t="shared" si="16"/>
        <v>45047</v>
      </c>
      <c r="K58" s="1182">
        <f t="shared" si="16"/>
        <v>45017</v>
      </c>
      <c r="L58" s="1182">
        <f t="shared" si="16"/>
        <v>44986</v>
      </c>
      <c r="M58" s="1182">
        <f t="shared" si="16"/>
        <v>44958</v>
      </c>
      <c r="N58" s="1182">
        <f t="shared" si="16"/>
        <v>44927</v>
      </c>
      <c r="O58" s="1182">
        <f>EDATE(N58,-1)</f>
        <v>44896</v>
      </c>
      <c r="P58" s="2736"/>
      <c r="Q58" s="2737"/>
      <c r="R58" s="2737"/>
      <c r="S58" s="2737"/>
      <c r="T58" s="2737"/>
      <c r="U58" s="2737"/>
      <c r="V58" s="2737"/>
      <c r="W58" s="2737"/>
      <c r="X58" s="2737"/>
      <c r="Y58" s="2737"/>
      <c r="Z58" s="2737"/>
      <c r="AA58" s="2737"/>
      <c r="AB58" s="2737"/>
      <c r="AC58" s="2737"/>
    </row>
    <row r="59" spans="1:29" s="108" customFormat="1" ht="15">
      <c r="A59" s="456"/>
      <c r="B59" s="457"/>
      <c r="C59" s="1180">
        <v>100</v>
      </c>
      <c r="D59" s="459"/>
      <c r="E59" s="459"/>
      <c r="F59" s="459"/>
      <c r="G59" s="459"/>
      <c r="H59" s="459"/>
      <c r="I59" s="459"/>
      <c r="J59" s="459"/>
      <c r="K59" s="459"/>
      <c r="L59" s="459"/>
      <c r="M59" s="460"/>
      <c r="N59" s="459"/>
      <c r="O59" s="460"/>
      <c r="P59" s="2738"/>
      <c r="Q59" s="2658"/>
      <c r="R59" s="2658"/>
      <c r="S59" s="2658"/>
      <c r="T59" s="2658"/>
      <c r="U59" s="2658"/>
      <c r="V59" s="2658"/>
      <c r="W59" s="2658"/>
      <c r="X59" s="2658"/>
      <c r="Y59" s="2658"/>
      <c r="Z59" s="2658"/>
      <c r="AA59" s="2658"/>
      <c r="AB59" s="2658"/>
      <c r="AC59" s="2658"/>
    </row>
    <row r="60" spans="1:29" s="108" customFormat="1" ht="15.75" thickBot="1">
      <c r="A60" s="462" t="s">
        <v>1716</v>
      </c>
      <c r="B60" s="463"/>
      <c r="C60" s="464"/>
      <c r="D60" s="465"/>
      <c r="E60" s="465"/>
      <c r="F60" s="465"/>
      <c r="G60" s="465"/>
      <c r="H60" s="465"/>
      <c r="I60" s="465"/>
      <c r="J60" s="465"/>
      <c r="K60" s="465"/>
      <c r="L60" s="465"/>
      <c r="M60" s="466"/>
      <c r="N60" s="465"/>
      <c r="O60" s="466"/>
      <c r="P60" s="2738"/>
      <c r="Q60" s="2735"/>
      <c r="R60" s="2658"/>
      <c r="S60" s="2658"/>
      <c r="T60" s="2658"/>
      <c r="U60" s="2658"/>
      <c r="V60" s="2658"/>
      <c r="W60" s="2658"/>
      <c r="X60" s="2658"/>
      <c r="Y60" s="2658"/>
      <c r="Z60" s="2658"/>
      <c r="AA60" s="2658"/>
      <c r="AB60" s="2658"/>
      <c r="AC60" s="2658"/>
    </row>
    <row r="61" spans="1:29" s="108" customFormat="1" ht="15">
      <c r="A61" s="468" t="s">
        <v>1681</v>
      </c>
      <c r="B61" s="457"/>
      <c r="C61" s="469" t="s">
        <v>1776</v>
      </c>
      <c r="D61" s="470"/>
      <c r="E61" s="470"/>
      <c r="F61" s="470"/>
      <c r="G61" s="470"/>
      <c r="H61" s="470"/>
      <c r="I61" s="470"/>
      <c r="J61" s="470"/>
      <c r="K61" s="470"/>
      <c r="L61" s="471"/>
      <c r="M61" s="472"/>
      <c r="N61" s="2748"/>
      <c r="O61" s="2748"/>
      <c r="P61" s="2739"/>
      <c r="Q61" s="2735"/>
      <c r="R61" s="2658"/>
      <c r="S61" s="2658"/>
      <c r="T61" s="2658"/>
      <c r="U61" s="2658"/>
      <c r="V61" s="2658"/>
      <c r="W61" s="2658"/>
      <c r="X61" s="2658"/>
      <c r="Y61" s="2658"/>
      <c r="Z61" s="2658"/>
      <c r="AA61" s="2658"/>
      <c r="AB61" s="2658"/>
      <c r="AC61" s="2658"/>
    </row>
    <row r="62" spans="1:29" s="108" customFormat="1" ht="15.75" thickBot="1">
      <c r="A62" s="468"/>
      <c r="B62" s="457"/>
      <c r="C62" s="458">
        <v>100</v>
      </c>
      <c r="D62" s="459"/>
      <c r="E62" s="459"/>
      <c r="F62" s="459"/>
      <c r="G62" s="459"/>
      <c r="H62" s="459"/>
      <c r="I62" s="459"/>
      <c r="J62" s="459"/>
      <c r="K62" s="459"/>
      <c r="L62" s="459"/>
      <c r="M62" s="461"/>
      <c r="N62" s="2748"/>
      <c r="O62" s="2748"/>
      <c r="P62" s="2738"/>
      <c r="Q62" s="2735"/>
      <c r="R62" s="2658"/>
      <c r="S62" s="2658"/>
      <c r="T62" s="2658"/>
      <c r="U62" s="2658"/>
      <c r="V62" s="2658"/>
      <c r="W62" s="2658"/>
      <c r="X62" s="2658"/>
      <c r="Y62" s="2658"/>
      <c r="Z62" s="2658"/>
      <c r="AA62" s="2658"/>
      <c r="AB62" s="2658"/>
      <c r="AC62" s="2658"/>
    </row>
    <row r="63" spans="1:29">
      <c r="A63" s="474" t="s">
        <v>1719</v>
      </c>
      <c r="B63" s="475" t="s">
        <v>1685</v>
      </c>
      <c r="C63" s="476">
        <f>C9</f>
        <v>0</v>
      </c>
      <c r="D63" s="477"/>
      <c r="E63" s="477"/>
      <c r="F63" s="477"/>
      <c r="G63" s="477"/>
      <c r="H63" s="477"/>
      <c r="I63" s="477"/>
      <c r="J63" s="477"/>
      <c r="K63" s="478"/>
      <c r="L63" s="479"/>
      <c r="M63" s="480"/>
      <c r="N63" s="2749"/>
      <c r="O63" s="2749"/>
      <c r="P63" s="2740"/>
      <c r="Q63" s="2735"/>
      <c r="R63" s="2721"/>
      <c r="S63" s="2721"/>
      <c r="T63" s="2721"/>
      <c r="U63" s="2721"/>
      <c r="V63" s="2721"/>
      <c r="W63" s="2721"/>
      <c r="X63" s="2721"/>
      <c r="Y63" s="2721"/>
      <c r="Z63" s="2721"/>
      <c r="AA63" s="2721"/>
      <c r="AB63" s="2721"/>
      <c r="AC63" s="2721"/>
    </row>
    <row r="64" spans="1:29" ht="15.75" thickBot="1">
      <c r="A64" s="481"/>
      <c r="B64" s="482"/>
      <c r="C64" s="483">
        <v>100</v>
      </c>
      <c r="D64" s="483"/>
      <c r="E64" s="483"/>
      <c r="F64" s="483"/>
      <c r="G64" s="483"/>
      <c r="H64" s="483"/>
      <c r="I64" s="483"/>
      <c r="J64" s="483"/>
      <c r="K64" s="483"/>
      <c r="L64" s="483"/>
      <c r="M64" s="484"/>
      <c r="N64" s="2750"/>
      <c r="O64" s="2750"/>
      <c r="P64" s="2740"/>
      <c r="Q64" s="2735"/>
      <c r="R64" s="2721"/>
      <c r="S64" s="2721"/>
      <c r="T64" s="2721"/>
      <c r="U64" s="2721"/>
      <c r="V64" s="2721"/>
      <c r="W64" s="2721"/>
      <c r="X64" s="2721"/>
      <c r="Y64" s="2721"/>
      <c r="Z64" s="2721"/>
      <c r="AA64" s="2721"/>
      <c r="AB64" s="2721"/>
      <c r="AC64" s="2721"/>
    </row>
    <row r="65" spans="1:29" ht="27.75" thickTop="1">
      <c r="A65" s="481"/>
      <c r="B65" s="485" t="s">
        <v>1688</v>
      </c>
      <c r="C65" s="530"/>
      <c r="D65" s="530"/>
      <c r="E65" s="530"/>
      <c r="F65" s="530"/>
      <c r="G65" s="530"/>
      <c r="H65" s="530"/>
      <c r="I65" s="530"/>
      <c r="J65" s="530"/>
      <c r="K65" s="531"/>
      <c r="L65" s="532"/>
      <c r="M65" s="533"/>
      <c r="N65" s="2749"/>
      <c r="O65" s="2749"/>
      <c r="P65" s="2740"/>
      <c r="Q65" s="2735"/>
      <c r="R65" s="2721"/>
      <c r="S65" s="2721"/>
      <c r="T65" s="2721"/>
      <c r="U65" s="2721"/>
      <c r="V65" s="2721"/>
      <c r="W65" s="2721"/>
      <c r="X65" s="2721"/>
      <c r="Y65" s="2721"/>
      <c r="Z65" s="2721"/>
      <c r="AA65" s="2721"/>
      <c r="AB65" s="2721"/>
      <c r="AC65" s="2721"/>
    </row>
    <row r="66" spans="1:29" ht="15.75" thickBot="1">
      <c r="A66" s="481"/>
      <c r="B66" s="490"/>
      <c r="C66" s="483"/>
      <c r="D66" s="483"/>
      <c r="E66" s="483"/>
      <c r="F66" s="483"/>
      <c r="G66" s="483"/>
      <c r="H66" s="483"/>
      <c r="I66" s="483"/>
      <c r="J66" s="483"/>
      <c r="K66" s="483"/>
      <c r="L66" s="483"/>
      <c r="M66" s="484"/>
      <c r="N66" s="2750"/>
      <c r="O66" s="2750"/>
      <c r="P66" s="2740"/>
      <c r="Q66" s="2735"/>
      <c r="R66" s="2721"/>
      <c r="S66" s="2721"/>
      <c r="T66" s="2721"/>
      <c r="U66" s="2721"/>
      <c r="V66" s="2721"/>
      <c r="W66" s="2721"/>
      <c r="X66" s="2721"/>
      <c r="Y66" s="2721"/>
      <c r="Z66" s="2721"/>
      <c r="AA66" s="2721"/>
      <c r="AB66" s="2721"/>
      <c r="AC66" s="2721"/>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1"/>
      <c r="B68" s="495"/>
      <c r="C68" s="496"/>
      <c r="D68" s="496"/>
      <c r="E68" s="496"/>
      <c r="F68" s="496"/>
      <c r="G68" s="496"/>
      <c r="H68" s="496"/>
      <c r="I68" s="496"/>
      <c r="J68" s="496"/>
      <c r="K68" s="497"/>
      <c r="L68" s="498"/>
      <c r="M68" s="499"/>
      <c r="N68" s="2749"/>
      <c r="O68" s="2749"/>
      <c r="P68" s="2740"/>
      <c r="Q68" s="2735"/>
      <c r="R68" s="2721"/>
      <c r="S68" s="2721"/>
      <c r="T68" s="2721"/>
      <c r="U68" s="2721"/>
      <c r="V68" s="2721"/>
      <c r="W68" s="2721"/>
      <c r="X68" s="2721"/>
      <c r="Y68" s="2721"/>
      <c r="Z68" s="2721"/>
      <c r="AA68" s="2721"/>
      <c r="AB68" s="2721"/>
      <c r="AC68" s="2721"/>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0"/>
      <c r="O69" s="2750"/>
      <c r="P69" s="2740"/>
      <c r="Q69" s="2735"/>
      <c r="R69" s="2721"/>
      <c r="S69" s="2721"/>
      <c r="T69" s="2721"/>
      <c r="U69" s="2721"/>
      <c r="V69" s="2721"/>
      <c r="W69" s="2721"/>
      <c r="X69" s="2721"/>
      <c r="Y69" s="2721"/>
      <c r="Z69" s="2721"/>
      <c r="AA69" s="2721"/>
      <c r="AB69" s="2721"/>
      <c r="AC69" s="2721"/>
    </row>
    <row r="70" spans="1:29" s="420" customFormat="1" ht="15.75" thickTop="1">
      <c r="A70" s="500"/>
      <c r="B70" s="485">
        <f>B12</f>
        <v>111</v>
      </c>
      <c r="C70" s="501"/>
      <c r="D70" s="501"/>
      <c r="E70" s="501"/>
      <c r="F70" s="501"/>
      <c r="G70" s="501"/>
      <c r="H70" s="502"/>
      <c r="I70" s="502"/>
      <c r="J70" s="502"/>
      <c r="K70" s="502"/>
      <c r="L70" s="503"/>
      <c r="M70" s="504"/>
      <c r="N70" s="2751"/>
      <c r="O70" s="2751"/>
      <c r="P70" s="2741"/>
      <c r="Q70" s="2742"/>
      <c r="R70" s="2743"/>
      <c r="S70" s="2743"/>
      <c r="T70" s="2743"/>
      <c r="U70" s="2743"/>
      <c r="V70" s="2743"/>
      <c r="W70" s="2743"/>
      <c r="X70" s="2743"/>
      <c r="Y70" s="2743"/>
      <c r="Z70" s="2743"/>
      <c r="AA70" s="2743"/>
      <c r="AB70" s="2743"/>
      <c r="AC70" s="2743"/>
    </row>
    <row r="71" spans="1:29" s="420" customFormat="1" ht="15.75" thickBot="1">
      <c r="A71" s="500"/>
      <c r="B71" s="490"/>
      <c r="C71" s="507"/>
      <c r="D71" s="483"/>
      <c r="E71" s="483"/>
      <c r="F71" s="483"/>
      <c r="G71" s="483"/>
      <c r="H71" s="483"/>
      <c r="I71" s="483"/>
      <c r="J71" s="483"/>
      <c r="K71" s="483"/>
      <c r="L71" s="483"/>
      <c r="M71" s="484"/>
      <c r="N71" s="2750"/>
      <c r="O71" s="2750"/>
      <c r="P71" s="2741"/>
      <c r="Q71" s="2742"/>
      <c r="R71" s="2743"/>
      <c r="S71" s="2743"/>
      <c r="T71" s="2743"/>
      <c r="U71" s="2743"/>
      <c r="V71" s="2743"/>
      <c r="W71" s="2743"/>
      <c r="X71" s="2743"/>
      <c r="Y71" s="2743"/>
      <c r="Z71" s="2743"/>
      <c r="AA71" s="2743"/>
      <c r="AB71" s="2743"/>
      <c r="AC71" s="2743"/>
    </row>
    <row r="72" spans="1:29" s="420" customFormat="1" ht="15.75" thickTop="1">
      <c r="A72" s="500"/>
      <c r="B72" s="485">
        <f>B13</f>
        <v>111</v>
      </c>
      <c r="C72" s="501"/>
      <c r="D72" s="501"/>
      <c r="E72" s="501"/>
      <c r="F72" s="501"/>
      <c r="G72" s="501"/>
      <c r="H72" s="502"/>
      <c r="I72" s="502"/>
      <c r="J72" s="502"/>
      <c r="K72" s="502"/>
      <c r="L72" s="503"/>
      <c r="M72" s="504"/>
      <c r="N72" s="2751"/>
      <c r="O72" s="2751"/>
      <c r="P72" s="2744"/>
      <c r="Q72" s="2745"/>
      <c r="R72" s="2743"/>
      <c r="S72" s="2743"/>
      <c r="T72" s="2743"/>
      <c r="U72" s="2743"/>
      <c r="V72" s="2743"/>
      <c r="W72" s="2743"/>
      <c r="X72" s="2743"/>
      <c r="Y72" s="2743"/>
      <c r="Z72" s="2743"/>
      <c r="AA72" s="2743"/>
      <c r="AB72" s="2743"/>
      <c r="AC72" s="2743"/>
    </row>
    <row r="73" spans="1:29" s="420" customFormat="1" ht="15.75" thickBot="1">
      <c r="A73" s="500"/>
      <c r="B73" s="490"/>
      <c r="C73" s="507"/>
      <c r="D73" s="483"/>
      <c r="E73" s="483"/>
      <c r="F73" s="483"/>
      <c r="G73" s="507"/>
      <c r="H73" s="509"/>
      <c r="I73" s="509"/>
      <c r="J73" s="509"/>
      <c r="K73" s="509"/>
      <c r="L73" s="509"/>
      <c r="M73" s="510"/>
      <c r="N73" s="2751"/>
      <c r="O73" s="2751"/>
      <c r="P73" s="2741"/>
      <c r="Q73" s="2742"/>
      <c r="R73" s="2743"/>
      <c r="S73" s="2743"/>
      <c r="T73" s="2743"/>
      <c r="U73" s="2743"/>
      <c r="V73" s="2743"/>
      <c r="W73" s="2743"/>
      <c r="X73" s="2743"/>
      <c r="Y73" s="2743"/>
      <c r="Z73" s="2743"/>
      <c r="AA73" s="2743"/>
      <c r="AB73" s="2743"/>
      <c r="AC73" s="2743"/>
    </row>
    <row r="74" spans="1:29" s="420" customFormat="1" ht="15.75" thickTop="1">
      <c r="A74" s="500"/>
      <c r="B74" s="493">
        <f>B14</f>
        <v>111</v>
      </c>
      <c r="C74" s="501"/>
      <c r="D74" s="501"/>
      <c r="E74" s="501"/>
      <c r="F74" s="501"/>
      <c r="G74" s="470"/>
      <c r="H74" s="511"/>
      <c r="I74" s="511"/>
      <c r="J74" s="511"/>
      <c r="K74" s="511"/>
      <c r="L74" s="512"/>
      <c r="M74" s="513"/>
      <c r="N74" s="2751"/>
      <c r="O74" s="2751"/>
      <c r="P74" s="2746"/>
      <c r="Q74" s="2742"/>
      <c r="R74" s="2743"/>
      <c r="S74" s="2743"/>
      <c r="T74" s="2743"/>
      <c r="U74" s="2743"/>
      <c r="V74" s="2743"/>
      <c r="W74" s="2743"/>
      <c r="X74" s="2743"/>
      <c r="Y74" s="2743"/>
      <c r="Z74" s="2743"/>
      <c r="AA74" s="2743"/>
      <c r="AB74" s="2743"/>
      <c r="AC74" s="2743"/>
    </row>
    <row r="75" spans="1:29" s="420" customFormat="1" ht="15.75" thickBot="1">
      <c r="A75" s="515"/>
      <c r="B75" s="516"/>
      <c r="C75" s="517"/>
      <c r="D75" s="517"/>
      <c r="E75" s="517"/>
      <c r="F75" s="517"/>
      <c r="G75" s="517"/>
      <c r="H75" s="518"/>
      <c r="I75" s="518"/>
      <c r="J75" s="518"/>
      <c r="K75" s="518"/>
      <c r="L75" s="518"/>
      <c r="M75" s="519"/>
      <c r="N75" s="2751"/>
      <c r="O75" s="2751"/>
      <c r="P75" s="2741"/>
      <c r="Q75" s="2742"/>
      <c r="R75" s="2743"/>
      <c r="S75" s="2743"/>
      <c r="T75" s="2743"/>
      <c r="U75" s="2743"/>
      <c r="V75" s="2743"/>
      <c r="W75" s="2743"/>
      <c r="X75" s="2743"/>
      <c r="Y75" s="2743"/>
      <c r="Z75" s="2743"/>
      <c r="AA75" s="2743"/>
      <c r="AB75" s="2743"/>
      <c r="AC75" s="2743"/>
    </row>
    <row r="76" spans="1:29">
      <c r="A76" s="474" t="s">
        <v>1690</v>
      </c>
      <c r="B76" s="475" t="s">
        <v>1720</v>
      </c>
      <c r="C76" s="520" t="s">
        <v>1721</v>
      </c>
      <c r="D76" s="520" t="s">
        <v>1722</v>
      </c>
      <c r="E76" s="520" t="s">
        <v>1723</v>
      </c>
      <c r="F76" s="520" t="s">
        <v>1724</v>
      </c>
      <c r="G76" s="520" t="s">
        <v>1725</v>
      </c>
      <c r="H76" s="476"/>
      <c r="I76" s="476"/>
      <c r="J76" s="476"/>
      <c r="K76" s="521"/>
      <c r="L76" s="522"/>
      <c r="M76" s="523"/>
      <c r="N76" s="2749"/>
      <c r="O76" s="2749"/>
      <c r="P76" s="2747"/>
      <c r="Q76" s="2735"/>
      <c r="R76" s="2721"/>
      <c r="S76" s="2721"/>
      <c r="T76" s="2721"/>
      <c r="U76" s="2721"/>
      <c r="V76" s="2721"/>
      <c r="W76" s="2721"/>
      <c r="X76" s="2721"/>
      <c r="Y76" s="2721"/>
      <c r="Z76" s="2721"/>
      <c r="AA76" s="2721"/>
      <c r="AB76" s="2721"/>
      <c r="AC76" s="2721"/>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0"/>
      <c r="O77" s="2750"/>
      <c r="P77" s="2740"/>
      <c r="Q77" s="2735"/>
      <c r="R77" s="2721"/>
      <c r="S77" s="2721"/>
      <c r="T77" s="2721"/>
      <c r="U77" s="2721"/>
      <c r="V77" s="2721"/>
      <c r="W77" s="2721"/>
      <c r="X77" s="2721"/>
      <c r="Y77" s="2721"/>
      <c r="Z77" s="2721"/>
      <c r="AA77" s="2721"/>
      <c r="AB77" s="2721"/>
      <c r="AC77" s="2721"/>
    </row>
    <row r="78" spans="1:29" ht="15.75" thickTop="1">
      <c r="A78" s="481"/>
      <c r="B78" s="485" t="s">
        <v>1726</v>
      </c>
      <c r="C78" s="525" t="s">
        <v>1721</v>
      </c>
      <c r="D78" s="525" t="s">
        <v>1722</v>
      </c>
      <c r="E78" s="525" t="s">
        <v>1723</v>
      </c>
      <c r="F78" s="525" t="s">
        <v>1724</v>
      </c>
      <c r="G78" s="525" t="s">
        <v>1725</v>
      </c>
      <c r="H78" s="486"/>
      <c r="I78" s="486"/>
      <c r="J78" s="486"/>
      <c r="K78" s="487"/>
      <c r="L78" s="488"/>
      <c r="M78" s="489"/>
      <c r="N78" s="2749"/>
      <c r="O78" s="2749"/>
      <c r="P78" s="2740"/>
      <c r="Q78" s="2735"/>
      <c r="R78" s="2721"/>
      <c r="S78" s="2721"/>
      <c r="T78" s="2721"/>
      <c r="U78" s="2721"/>
      <c r="V78" s="2721"/>
      <c r="W78" s="2721"/>
      <c r="X78" s="2721"/>
      <c r="Y78" s="2721"/>
      <c r="Z78" s="2721"/>
      <c r="AA78" s="2721"/>
      <c r="AB78" s="2721"/>
      <c r="AC78" s="2721"/>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0"/>
      <c r="O79" s="2750"/>
      <c r="P79" s="2740"/>
      <c r="Q79" s="2735"/>
      <c r="R79" s="2721"/>
      <c r="S79" s="2721"/>
      <c r="T79" s="2721"/>
      <c r="U79" s="2721"/>
      <c r="V79" s="2721"/>
      <c r="W79" s="2721"/>
      <c r="X79" s="2721"/>
      <c r="Y79" s="2721"/>
      <c r="Z79" s="2721"/>
      <c r="AA79" s="2721"/>
      <c r="AB79" s="2721"/>
      <c r="AC79" s="2721"/>
    </row>
    <row r="80" spans="1:29" ht="15.75" thickTop="1">
      <c r="A80" s="481"/>
      <c r="B80" s="485" t="s">
        <v>1727</v>
      </c>
      <c r="C80" s="525" t="s">
        <v>1721</v>
      </c>
      <c r="D80" s="525" t="s">
        <v>1722</v>
      </c>
      <c r="E80" s="525" t="s">
        <v>1723</v>
      </c>
      <c r="F80" s="525" t="s">
        <v>1724</v>
      </c>
      <c r="G80" s="525" t="s">
        <v>1725</v>
      </c>
      <c r="H80" s="486"/>
      <c r="I80" s="486"/>
      <c r="J80" s="486"/>
      <c r="K80" s="487"/>
      <c r="L80" s="488"/>
      <c r="M80" s="489"/>
      <c r="N80" s="2749"/>
      <c r="O80" s="2749"/>
      <c r="P80" s="2740"/>
      <c r="Q80" s="2735"/>
      <c r="R80" s="2721"/>
      <c r="S80" s="2721"/>
      <c r="T80" s="2721"/>
      <c r="U80" s="2721"/>
      <c r="V80" s="2721"/>
      <c r="W80" s="2721"/>
      <c r="X80" s="2721"/>
      <c r="Y80" s="2721"/>
      <c r="Z80" s="2721"/>
      <c r="AA80" s="2721"/>
      <c r="AB80" s="2721"/>
      <c r="AC80" s="2721"/>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0"/>
      <c r="O81" s="2750"/>
      <c r="P81" s="2740"/>
      <c r="Q81" s="2735"/>
      <c r="R81" s="2721"/>
      <c r="S81" s="2721"/>
      <c r="T81" s="2721"/>
      <c r="U81" s="2721"/>
      <c r="V81" s="2721"/>
      <c r="W81" s="2721"/>
      <c r="X81" s="2721"/>
      <c r="Y81" s="2721"/>
      <c r="Z81" s="2721"/>
      <c r="AA81" s="2721"/>
      <c r="AB81" s="2721"/>
      <c r="AC81" s="2721"/>
    </row>
    <row r="82" spans="1:29" ht="15.75" thickTop="1">
      <c r="A82" s="481"/>
      <c r="B82" s="493" t="s">
        <v>1779</v>
      </c>
      <c r="C82" s="606" t="s">
        <v>1799</v>
      </c>
      <c r="D82" s="606" t="s">
        <v>1800</v>
      </c>
      <c r="E82" s="606" t="s">
        <v>1801</v>
      </c>
      <c r="F82" s="606" t="s">
        <v>1802</v>
      </c>
      <c r="G82" s="606" t="s">
        <v>1803</v>
      </c>
      <c r="H82" s="486"/>
      <c r="I82" s="486"/>
      <c r="J82" s="486"/>
      <c r="K82" s="486"/>
      <c r="L82" s="486"/>
      <c r="M82" s="1126"/>
      <c r="N82" s="2750"/>
      <c r="O82" s="2750"/>
      <c r="P82" s="2740"/>
      <c r="Q82" s="2735"/>
      <c r="R82" s="2721"/>
      <c r="S82" s="2721"/>
      <c r="T82" s="2721"/>
      <c r="U82" s="2721"/>
      <c r="V82" s="2721"/>
      <c r="W82" s="2721"/>
      <c r="X82" s="2721"/>
      <c r="Y82" s="2721"/>
      <c r="Z82" s="2721"/>
      <c r="AA82" s="2721"/>
      <c r="AB82" s="2721"/>
      <c r="AC82" s="2721"/>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0"/>
      <c r="O83" s="2750"/>
      <c r="P83" s="2740"/>
      <c r="Q83" s="2735"/>
      <c r="R83" s="2721"/>
      <c r="S83" s="2721"/>
      <c r="T83" s="2721"/>
      <c r="U83" s="2721"/>
      <c r="V83" s="2721"/>
      <c r="W83" s="2721"/>
      <c r="X83" s="2721"/>
      <c r="Y83" s="2721"/>
      <c r="Z83" s="2721"/>
      <c r="AA83" s="2721"/>
      <c r="AB83" s="2721"/>
      <c r="AC83" s="2721"/>
    </row>
    <row r="84" spans="1:29" ht="15.75" thickTop="1">
      <c r="A84" s="481"/>
      <c r="B84" s="485" t="s">
        <v>1733</v>
      </c>
      <c r="C84" s="525" t="s">
        <v>1721</v>
      </c>
      <c r="D84" s="525" t="s">
        <v>1722</v>
      </c>
      <c r="E84" s="525" t="s">
        <v>1723</v>
      </c>
      <c r="F84" s="525" t="s">
        <v>1724</v>
      </c>
      <c r="G84" s="525" t="s">
        <v>1725</v>
      </c>
      <c r="H84" s="486"/>
      <c r="I84" s="486"/>
      <c r="J84" s="486"/>
      <c r="K84" s="487"/>
      <c r="L84" s="488"/>
      <c r="M84" s="489"/>
      <c r="N84" s="2749"/>
      <c r="O84" s="2749"/>
      <c r="P84" s="2740"/>
      <c r="Q84" s="2735"/>
      <c r="R84" s="2721"/>
      <c r="S84" s="2721"/>
      <c r="T84" s="2721"/>
      <c r="U84" s="2721"/>
      <c r="V84" s="2721"/>
      <c r="W84" s="2721"/>
      <c r="X84" s="2721"/>
      <c r="Y84" s="2721"/>
      <c r="Z84" s="2721"/>
      <c r="AA84" s="2721"/>
      <c r="AB84" s="2721"/>
      <c r="AC84" s="2721"/>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0"/>
      <c r="O85" s="2750"/>
      <c r="P85" s="2740"/>
      <c r="Q85" s="2735"/>
      <c r="R85" s="2721"/>
      <c r="S85" s="2721"/>
      <c r="T85" s="2721"/>
      <c r="U85" s="2721"/>
      <c r="V85" s="2721"/>
      <c r="W85" s="2721"/>
      <c r="X85" s="2721"/>
      <c r="Y85" s="2721"/>
      <c r="Z85" s="2721"/>
      <c r="AA85" s="2721"/>
      <c r="AB85" s="2721"/>
      <c r="AC85" s="2721"/>
    </row>
    <row r="86" spans="1:29" s="108" customFormat="1" ht="15.75" thickTop="1">
      <c r="A86" s="526"/>
      <c r="B86" s="485" t="s">
        <v>1804</v>
      </c>
      <c r="C86" s="501"/>
      <c r="D86" s="501"/>
      <c r="E86" s="501"/>
      <c r="F86" s="501"/>
      <c r="G86" s="501"/>
      <c r="H86" s="501"/>
      <c r="I86" s="501"/>
      <c r="J86" s="501"/>
      <c r="K86" s="501"/>
      <c r="L86" s="527"/>
      <c r="M86" s="528"/>
      <c r="N86" s="2748"/>
      <c r="O86" s="2748"/>
      <c r="P86" s="2740"/>
      <c r="Q86" s="2735"/>
      <c r="R86" s="2658"/>
      <c r="S86" s="2658"/>
      <c r="T86" s="2658"/>
      <c r="U86" s="2658"/>
      <c r="V86" s="2658"/>
      <c r="W86" s="2658"/>
      <c r="X86" s="2658"/>
      <c r="Y86" s="2658"/>
      <c r="Z86" s="2658"/>
      <c r="AA86" s="2658"/>
      <c r="AB86" s="2658"/>
      <c r="AC86" s="2658"/>
    </row>
    <row r="87" spans="1:29" s="108"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6"/>
      <c r="B88" s="485" t="str">
        <f>B26</f>
        <v>平面位置/可视性</v>
      </c>
      <c r="C88" s="501"/>
      <c r="D88" s="501"/>
      <c r="E88" s="501"/>
      <c r="F88" s="1924"/>
      <c r="G88" s="501"/>
      <c r="H88" s="501"/>
      <c r="I88" s="501"/>
      <c r="J88" s="501"/>
      <c r="K88" s="501"/>
      <c r="L88" s="501"/>
      <c r="M88" s="528"/>
      <c r="N88" s="2748"/>
      <c r="O88" s="2748"/>
      <c r="P88" s="2740"/>
      <c r="Q88" s="2735"/>
      <c r="R88" s="2658"/>
      <c r="S88" s="2658"/>
      <c r="T88" s="2658"/>
      <c r="U88" s="2658"/>
      <c r="V88" s="2658"/>
      <c r="W88" s="2658"/>
      <c r="X88" s="2658"/>
      <c r="Y88" s="2658"/>
      <c r="Z88" s="2658"/>
      <c r="AA88" s="2658"/>
      <c r="AB88" s="2658"/>
      <c r="AC88" s="2658"/>
    </row>
    <row r="89" spans="1:29" s="108" customFormat="1" ht="15.75" thickBot="1">
      <c r="A89" s="526"/>
      <c r="B89" s="490"/>
      <c r="C89" s="507"/>
      <c r="D89" s="483"/>
      <c r="E89" s="483"/>
      <c r="F89" s="483"/>
      <c r="G89" s="483"/>
      <c r="H89" s="483"/>
      <c r="I89" s="483"/>
      <c r="J89" s="483"/>
      <c r="K89" s="483"/>
      <c r="L89" s="483"/>
      <c r="M89" s="483"/>
      <c r="N89" s="2750"/>
      <c r="O89" s="2750"/>
      <c r="P89" s="2740"/>
      <c r="Q89" s="2735"/>
      <c r="R89" s="2658"/>
      <c r="S89" s="2658"/>
      <c r="T89" s="2658"/>
      <c r="U89" s="2658"/>
      <c r="V89" s="2658"/>
      <c r="W89" s="2658"/>
      <c r="X89" s="2658"/>
      <c r="Y89" s="2658"/>
      <c r="Z89" s="2658"/>
      <c r="AA89" s="2658"/>
      <c r="AB89" s="2658"/>
      <c r="AC89" s="2658"/>
    </row>
    <row r="90" spans="1:29" s="420" customFormat="1" ht="15.75" thickTop="1">
      <c r="A90" s="500"/>
      <c r="B90" s="485" t="str">
        <f>B27</f>
        <v>人流量</v>
      </c>
      <c r="C90" s="501"/>
      <c r="D90" s="501"/>
      <c r="E90" s="501"/>
      <c r="F90" s="501"/>
      <c r="G90" s="501"/>
      <c r="H90" s="502"/>
      <c r="I90" s="502"/>
      <c r="J90" s="502"/>
      <c r="K90" s="502"/>
      <c r="L90" s="503"/>
      <c r="M90" s="504"/>
      <c r="N90" s="2751"/>
      <c r="O90" s="2751"/>
      <c r="P90" s="2741"/>
      <c r="Q90" s="2742"/>
      <c r="R90" s="2743"/>
      <c r="S90" s="2743"/>
      <c r="T90" s="2743"/>
      <c r="U90" s="2743"/>
      <c r="V90" s="2743"/>
      <c r="W90" s="2743"/>
      <c r="X90" s="2743"/>
      <c r="Y90" s="2743"/>
      <c r="Z90" s="2743"/>
      <c r="AA90" s="2743"/>
      <c r="AB90" s="2743"/>
      <c r="AC90" s="2743"/>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1"/>
      <c r="B92" s="485" t="str">
        <f>B28</f>
        <v>楼层</v>
      </c>
      <c r="C92" s="501"/>
      <c r="D92" s="501"/>
      <c r="E92" s="501"/>
      <c r="F92" s="501"/>
      <c r="G92" s="501"/>
      <c r="H92" s="501"/>
      <c r="I92" s="501"/>
      <c r="J92" s="501"/>
      <c r="K92" s="501"/>
      <c r="L92" s="527"/>
      <c r="M92" s="528"/>
      <c r="N92" s="2749"/>
      <c r="O92" s="2749"/>
      <c r="P92" s="2740"/>
      <c r="Q92" s="2735"/>
      <c r="R92" s="2721"/>
      <c r="S92" s="2721"/>
      <c r="T92" s="2721"/>
      <c r="U92" s="2721"/>
      <c r="V92" s="2721"/>
      <c r="W92" s="2721"/>
      <c r="X92" s="2721"/>
      <c r="Y92" s="2721"/>
      <c r="Z92" s="2721"/>
      <c r="AA92" s="2721"/>
      <c r="AB92" s="2721"/>
      <c r="AC92" s="2721"/>
    </row>
    <row r="93" spans="1:29" ht="15.75" thickBot="1">
      <c r="A93" s="481"/>
      <c r="B93" s="490"/>
      <c r="C93" s="483"/>
      <c r="D93" s="483"/>
      <c r="E93" s="483"/>
      <c r="F93" s="483"/>
      <c r="G93" s="483"/>
      <c r="H93" s="483"/>
      <c r="I93" s="483"/>
      <c r="J93" s="483"/>
      <c r="K93" s="483"/>
      <c r="L93" s="483"/>
      <c r="M93" s="484"/>
      <c r="N93" s="2750"/>
      <c r="O93" s="2750"/>
      <c r="P93" s="2740"/>
      <c r="Q93" s="2735"/>
      <c r="R93" s="2721"/>
      <c r="S93" s="2721"/>
      <c r="T93" s="2721"/>
      <c r="U93" s="2721"/>
      <c r="V93" s="2721"/>
      <c r="W93" s="2721"/>
      <c r="X93" s="2721"/>
      <c r="Y93" s="2721"/>
      <c r="Z93" s="2721"/>
      <c r="AA93" s="2721"/>
      <c r="AB93" s="2721"/>
      <c r="AC93" s="2721"/>
    </row>
    <row r="94" spans="1:29" ht="15.75" thickTop="1">
      <c r="A94" s="481"/>
      <c r="B94" s="485">
        <f>B29</f>
        <v>111</v>
      </c>
      <c r="C94" s="501"/>
      <c r="D94" s="501"/>
      <c r="E94" s="501"/>
      <c r="F94" s="501"/>
      <c r="G94" s="530"/>
      <c r="H94" s="530"/>
      <c r="I94" s="530"/>
      <c r="J94" s="530"/>
      <c r="K94" s="531"/>
      <c r="L94" s="532"/>
      <c r="M94" s="533"/>
      <c r="N94" s="2749"/>
      <c r="O94" s="2749"/>
      <c r="P94" s="2740"/>
      <c r="Q94" s="2735"/>
      <c r="R94" s="2721"/>
      <c r="S94" s="2721"/>
      <c r="T94" s="2721"/>
      <c r="U94" s="2721"/>
      <c r="V94" s="2721"/>
      <c r="W94" s="2721"/>
      <c r="X94" s="2721"/>
      <c r="Y94" s="2721"/>
      <c r="Z94" s="2721"/>
      <c r="AA94" s="2721"/>
      <c r="AB94" s="2721"/>
      <c r="AC94" s="2721"/>
    </row>
    <row r="95" spans="1:29" ht="15.75" thickBot="1">
      <c r="A95" s="481"/>
      <c r="B95" s="490"/>
      <c r="C95" s="507"/>
      <c r="D95" s="483"/>
      <c r="E95" s="483"/>
      <c r="F95" s="483"/>
      <c r="G95" s="483"/>
      <c r="H95" s="483"/>
      <c r="I95" s="483"/>
      <c r="J95" s="483"/>
      <c r="K95" s="483"/>
      <c r="L95" s="483"/>
      <c r="M95" s="484"/>
      <c r="N95" s="2750"/>
      <c r="O95" s="2750"/>
      <c r="P95" s="2740"/>
      <c r="Q95" s="2735"/>
      <c r="R95" s="2721"/>
      <c r="S95" s="2721"/>
      <c r="T95" s="2721"/>
      <c r="U95" s="2721"/>
      <c r="V95" s="2721"/>
      <c r="W95" s="2721"/>
      <c r="X95" s="2721"/>
      <c r="Y95" s="2721"/>
      <c r="Z95" s="2721"/>
      <c r="AA95" s="2721"/>
      <c r="AB95" s="2721"/>
      <c r="AC95" s="2721"/>
    </row>
    <row r="96" spans="1:29" ht="15.75" thickTop="1">
      <c r="A96" s="481"/>
      <c r="B96" s="485">
        <f>B30</f>
        <v>111</v>
      </c>
      <c r="C96" s="501"/>
      <c r="D96" s="501"/>
      <c r="E96" s="501"/>
      <c r="F96" s="501"/>
      <c r="G96" s="530"/>
      <c r="H96" s="530"/>
      <c r="I96" s="530"/>
      <c r="J96" s="530"/>
      <c r="K96" s="531"/>
      <c r="L96" s="532"/>
      <c r="M96" s="533"/>
      <c r="N96" s="2749"/>
      <c r="O96" s="2749"/>
      <c r="P96" s="2740"/>
      <c r="Q96" s="2735"/>
      <c r="R96" s="2721"/>
      <c r="S96" s="2721"/>
      <c r="T96" s="2721"/>
      <c r="U96" s="2721"/>
      <c r="V96" s="2721"/>
      <c r="W96" s="2721"/>
      <c r="X96" s="2721"/>
      <c r="Y96" s="2721"/>
      <c r="Z96" s="2721"/>
      <c r="AA96" s="2721"/>
      <c r="AB96" s="2721"/>
      <c r="AC96" s="2721"/>
    </row>
    <row r="97" spans="1:29" ht="15.75" thickBot="1">
      <c r="A97" s="481"/>
      <c r="B97" s="490"/>
      <c r="C97" s="507"/>
      <c r="D97" s="483"/>
      <c r="E97" s="483"/>
      <c r="F97" s="483"/>
      <c r="G97" s="483"/>
      <c r="H97" s="483"/>
      <c r="I97" s="483"/>
      <c r="J97" s="483"/>
      <c r="K97" s="483"/>
      <c r="L97" s="483"/>
      <c r="M97" s="484"/>
      <c r="N97" s="2750"/>
      <c r="O97" s="2750"/>
      <c r="P97" s="2740"/>
      <c r="Q97" s="2735"/>
      <c r="R97" s="2721"/>
      <c r="S97" s="2721"/>
      <c r="T97" s="2721"/>
      <c r="U97" s="2721"/>
      <c r="V97" s="2721"/>
      <c r="W97" s="2721"/>
      <c r="X97" s="2721"/>
      <c r="Y97" s="2721"/>
      <c r="Z97" s="2721"/>
      <c r="AA97" s="2721"/>
      <c r="AB97" s="2721"/>
      <c r="AC97" s="2721"/>
    </row>
    <row r="98" spans="1:29" ht="15.75" thickTop="1">
      <c r="A98" s="481"/>
      <c r="B98" s="493">
        <f>B31</f>
        <v>111</v>
      </c>
      <c r="C98" s="501"/>
      <c r="D98" s="501"/>
      <c r="E98" s="501"/>
      <c r="F98" s="501"/>
      <c r="G98" s="534"/>
      <c r="H98" s="534"/>
      <c r="I98" s="534"/>
      <c r="J98" s="534"/>
      <c r="K98" s="535"/>
      <c r="L98" s="536"/>
      <c r="M98" s="537"/>
      <c r="N98" s="2749"/>
      <c r="O98" s="2749"/>
      <c r="P98" s="2740"/>
      <c r="Q98" s="2735"/>
      <c r="R98" s="2721"/>
      <c r="S98" s="2721"/>
      <c r="T98" s="2721"/>
      <c r="U98" s="2721"/>
      <c r="V98" s="2721"/>
      <c r="W98" s="2721"/>
      <c r="X98" s="2721"/>
      <c r="Y98" s="2721"/>
      <c r="Z98" s="2721"/>
      <c r="AA98" s="2721"/>
      <c r="AB98" s="2721"/>
      <c r="AC98" s="2721"/>
    </row>
    <row r="99" spans="1:29" ht="15.75" thickBot="1">
      <c r="A99" s="1925"/>
      <c r="B99" s="516"/>
      <c r="C99" s="517"/>
      <c r="D99" s="517"/>
      <c r="E99" s="517"/>
      <c r="F99" s="517"/>
      <c r="G99" s="538"/>
      <c r="H99" s="538"/>
      <c r="I99" s="538"/>
      <c r="J99" s="538"/>
      <c r="K99" s="538"/>
      <c r="L99" s="538"/>
      <c r="M99" s="539"/>
      <c r="N99" s="2750"/>
      <c r="O99" s="2750"/>
      <c r="P99" s="2740"/>
      <c r="Q99" s="2735"/>
      <c r="R99" s="2721"/>
      <c r="S99" s="2721"/>
      <c r="T99" s="2721"/>
      <c r="U99" s="2721"/>
      <c r="V99" s="2721"/>
      <c r="W99" s="2721"/>
      <c r="X99" s="2721"/>
      <c r="Y99" s="2721"/>
      <c r="Z99" s="2721"/>
      <c r="AA99" s="2721"/>
      <c r="AB99" s="2721"/>
      <c r="AC99" s="2721"/>
    </row>
    <row r="100" spans="1:29">
      <c r="A100" s="474" t="s">
        <v>1694</v>
      </c>
      <c r="B100" s="475" t="s">
        <v>1805</v>
      </c>
      <c r="C100" s="477"/>
      <c r="D100" s="477"/>
      <c r="E100" s="477"/>
      <c r="F100" s="477"/>
      <c r="G100" s="477"/>
      <c r="H100" s="477"/>
      <c r="I100" s="477"/>
      <c r="J100" s="477"/>
      <c r="K100" s="478"/>
      <c r="L100" s="479"/>
      <c r="M100" s="480"/>
      <c r="N100" s="2749"/>
      <c r="O100" s="2749"/>
      <c r="P100" s="2740"/>
      <c r="Q100" s="2735"/>
      <c r="R100" s="2721"/>
      <c r="S100" s="2721"/>
      <c r="T100" s="2721"/>
      <c r="U100" s="2721"/>
      <c r="V100" s="2721"/>
      <c r="W100" s="2721"/>
      <c r="X100" s="2721"/>
      <c r="Y100" s="2721"/>
      <c r="Z100" s="2721"/>
      <c r="AA100" s="2721"/>
      <c r="AB100" s="2721"/>
      <c r="AC100" s="2721"/>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0" customFormat="1">
      <c r="A103" s="540"/>
      <c r="B103" s="541"/>
      <c r="C103" s="542"/>
      <c r="D103" s="542"/>
      <c r="E103" s="542"/>
      <c r="F103" s="542"/>
      <c r="G103" s="542"/>
      <c r="H103" s="542"/>
      <c r="I103" s="542"/>
      <c r="J103" s="543"/>
      <c r="K103" s="543"/>
      <c r="L103" s="544"/>
      <c r="M103" s="545"/>
      <c r="N103" s="2751"/>
      <c r="O103" s="2751"/>
      <c r="P103" s="2741"/>
      <c r="Q103" s="2742"/>
      <c r="R103" s="2743"/>
      <c r="S103" s="2743"/>
      <c r="T103" s="2743"/>
      <c r="U103" s="2743"/>
      <c r="V103" s="2743"/>
      <c r="W103" s="2743"/>
      <c r="X103" s="2743"/>
      <c r="Y103" s="2743"/>
      <c r="Z103" s="2743"/>
      <c r="AA103" s="2743"/>
      <c r="AB103" s="2743"/>
      <c r="AC103" s="2743"/>
    </row>
    <row r="104" spans="1:29" s="420" customFormat="1" ht="15.75" thickBot="1">
      <c r="A104" s="500"/>
      <c r="B104" s="490"/>
      <c r="C104" s="507"/>
      <c r="D104" s="483"/>
      <c r="E104" s="483"/>
      <c r="F104" s="483"/>
      <c r="G104" s="483"/>
      <c r="H104" s="483"/>
      <c r="I104" s="483"/>
      <c r="J104" s="483"/>
      <c r="K104" s="483"/>
      <c r="L104" s="483"/>
      <c r="M104" s="484"/>
      <c r="N104" s="2750"/>
      <c r="O104" s="2750"/>
      <c r="P104" s="2741"/>
      <c r="Q104" s="2742"/>
      <c r="R104" s="2743"/>
      <c r="S104" s="2743"/>
      <c r="T104" s="2743"/>
      <c r="U104" s="2743"/>
      <c r="V104" s="2743"/>
      <c r="W104" s="2743"/>
      <c r="X104" s="2743"/>
      <c r="Y104" s="2743"/>
      <c r="Z104" s="2743"/>
      <c r="AA104" s="2743"/>
      <c r="AB104" s="2743"/>
      <c r="AC104" s="2743"/>
    </row>
    <row r="105" spans="1:29" ht="15" thickTop="1">
      <c r="A105" s="546"/>
      <c r="B105" s="485" t="s">
        <v>1738</v>
      </c>
      <c r="C105" s="501"/>
      <c r="D105" s="501"/>
      <c r="E105" s="530"/>
      <c r="F105" s="530"/>
      <c r="G105" s="530"/>
      <c r="H105" s="530"/>
      <c r="I105" s="530"/>
      <c r="J105" s="530"/>
      <c r="K105" s="531"/>
      <c r="L105" s="532"/>
      <c r="M105" s="533"/>
      <c r="N105" s="2749"/>
      <c r="O105" s="2749"/>
      <c r="P105" s="2740"/>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6"/>
      <c r="B107" s="485" t="s">
        <v>1740</v>
      </c>
      <c r="C107" s="501"/>
      <c r="D107" s="501"/>
      <c r="E107" s="501"/>
      <c r="F107" s="530"/>
      <c r="G107" s="530"/>
      <c r="H107" s="530"/>
      <c r="I107" s="530"/>
      <c r="J107" s="530"/>
      <c r="K107" s="531"/>
      <c r="L107" s="532"/>
      <c r="M107" s="533"/>
      <c r="N107" s="2749"/>
      <c r="O107" s="2749"/>
      <c r="P107" s="2740"/>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9"/>
      <c r="O109" s="2749"/>
      <c r="P109" s="2740"/>
      <c r="Q109" s="2735"/>
      <c r="R109" s="2721"/>
      <c r="S109" s="2721"/>
      <c r="T109" s="2721"/>
      <c r="U109" s="2721"/>
      <c r="V109" s="2721"/>
      <c r="W109" s="2721"/>
      <c r="X109" s="2721"/>
      <c r="Y109" s="2721"/>
      <c r="Z109" s="2721"/>
      <c r="AA109" s="2721"/>
      <c r="AB109" s="2721"/>
      <c r="AC109" s="2721"/>
    </row>
    <row r="110" spans="1:29">
      <c r="A110" s="546"/>
      <c r="B110" s="493"/>
      <c r="C110" s="550">
        <v>0.5</v>
      </c>
      <c r="D110" s="550">
        <v>0.6</v>
      </c>
      <c r="E110" s="550">
        <v>0.7</v>
      </c>
      <c r="F110" s="550">
        <v>0.8</v>
      </c>
      <c r="G110" s="550">
        <v>0.9</v>
      </c>
      <c r="H110" s="550">
        <v>1.0001</v>
      </c>
      <c r="I110" s="569"/>
      <c r="J110" s="569"/>
      <c r="K110" s="570"/>
      <c r="L110" s="571"/>
      <c r="M110" s="572"/>
      <c r="N110" s="2749"/>
      <c r="O110" s="2749"/>
      <c r="P110" s="2740"/>
      <c r="Q110" s="2735"/>
      <c r="R110" s="2721"/>
      <c r="S110" s="2721"/>
      <c r="T110" s="2721"/>
      <c r="U110" s="2721"/>
      <c r="V110" s="2721"/>
      <c r="W110" s="2721"/>
      <c r="X110" s="2721"/>
      <c r="Y110" s="2721"/>
      <c r="Z110" s="2721"/>
      <c r="AA110" s="2721"/>
      <c r="AB110" s="2721"/>
      <c r="AC110" s="2721"/>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0"/>
      <c r="O111" s="2750"/>
      <c r="P111" s="2740"/>
      <c r="Q111" s="2735"/>
      <c r="R111" s="2721"/>
      <c r="S111" s="2721"/>
      <c r="T111" s="2721"/>
      <c r="U111" s="2721"/>
      <c r="V111" s="2721"/>
      <c r="W111" s="2721"/>
      <c r="X111" s="2721"/>
      <c r="Y111" s="2721"/>
      <c r="Z111" s="2721"/>
      <c r="AA111" s="2721"/>
      <c r="AB111" s="2721"/>
      <c r="AC111" s="2721"/>
    </row>
    <row r="112" spans="1:29" s="420" customFormat="1" ht="15" thickTop="1">
      <c r="A112" s="540"/>
      <c r="B112" s="485" t="s">
        <v>1742</v>
      </c>
      <c r="C112" s="501"/>
      <c r="D112" s="501"/>
      <c r="E112" s="501"/>
      <c r="F112" s="501"/>
      <c r="G112" s="501"/>
      <c r="H112" s="530"/>
      <c r="I112" s="530"/>
      <c r="J112" s="530"/>
      <c r="K112" s="531"/>
      <c r="L112" s="532"/>
      <c r="M112" s="533"/>
      <c r="N112" s="2751"/>
      <c r="O112" s="2751"/>
      <c r="P112" s="2741"/>
      <c r="Q112" s="2742"/>
      <c r="R112" s="2743"/>
      <c r="S112" s="2743"/>
      <c r="T112" s="2743"/>
      <c r="U112" s="2743"/>
      <c r="V112" s="2743"/>
      <c r="W112" s="2743"/>
      <c r="X112" s="2743"/>
      <c r="Y112" s="2743"/>
      <c r="Z112" s="2743"/>
      <c r="AA112" s="2743"/>
      <c r="AB112" s="2743"/>
      <c r="AC112" s="2743"/>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6"/>
      <c r="B114" s="485" t="s">
        <v>1806</v>
      </c>
      <c r="C114" s="501"/>
      <c r="D114" s="501"/>
      <c r="E114" s="530"/>
      <c r="F114" s="530"/>
      <c r="G114" s="530"/>
      <c r="H114" s="530"/>
      <c r="I114" s="530"/>
      <c r="J114" s="530"/>
      <c r="K114" s="531"/>
      <c r="L114" s="532"/>
      <c r="M114" s="533"/>
      <c r="N114" s="2749"/>
      <c r="O114" s="2749"/>
      <c r="P114" s="2740"/>
      <c r="Q114" s="2735"/>
      <c r="R114" s="2721"/>
      <c r="S114" s="2721"/>
      <c r="T114" s="2721"/>
      <c r="U114" s="2721"/>
      <c r="V114" s="2721"/>
      <c r="W114" s="2721"/>
      <c r="X114" s="2721"/>
      <c r="Y114" s="2721"/>
      <c r="Z114" s="2721"/>
      <c r="AA114" s="2721"/>
      <c r="AB114" s="2721"/>
      <c r="AC114" s="2721"/>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6"/>
      <c r="B116" s="485" t="s">
        <v>1807</v>
      </c>
      <c r="C116" s="501"/>
      <c r="D116" s="501"/>
      <c r="E116" s="501"/>
      <c r="F116" s="501"/>
      <c r="G116" s="501"/>
      <c r="H116" s="530"/>
      <c r="I116" s="530"/>
      <c r="J116" s="530"/>
      <c r="K116" s="531"/>
      <c r="L116" s="532"/>
      <c r="M116" s="533"/>
      <c r="N116" s="2749"/>
      <c r="O116" s="2749"/>
      <c r="P116" s="2740"/>
      <c r="Q116" s="2735"/>
      <c r="R116" s="2721"/>
      <c r="S116" s="2721"/>
      <c r="T116" s="2721"/>
      <c r="U116" s="2721"/>
      <c r="V116" s="2721"/>
      <c r="W116" s="2721"/>
      <c r="X116" s="2721"/>
      <c r="Y116" s="2721"/>
      <c r="Z116" s="2721"/>
      <c r="AA116" s="2721"/>
      <c r="AB116" s="2721"/>
      <c r="AC116" s="2721"/>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0"/>
      <c r="O117" s="2750"/>
      <c r="P117" s="2740"/>
      <c r="Q117" s="2735"/>
      <c r="R117" s="2721"/>
      <c r="S117" s="2721"/>
      <c r="T117" s="2721"/>
      <c r="U117" s="2721"/>
      <c r="V117" s="2721"/>
      <c r="W117" s="2721"/>
      <c r="X117" s="2721"/>
      <c r="Y117" s="2721"/>
      <c r="Z117" s="2721"/>
      <c r="AA117" s="2721"/>
      <c r="AB117" s="2721"/>
      <c r="AC117" s="2721"/>
    </row>
    <row r="118" spans="1:29" ht="15" thickTop="1">
      <c r="A118" s="546"/>
      <c r="B118" s="485" t="s">
        <v>1808</v>
      </c>
      <c r="C118" s="573"/>
      <c r="D118" s="573"/>
      <c r="E118" s="573"/>
      <c r="F118" s="573"/>
      <c r="G118" s="573"/>
      <c r="H118" s="502"/>
      <c r="I118" s="502"/>
      <c r="J118" s="502"/>
      <c r="K118" s="502"/>
      <c r="L118" s="503"/>
      <c r="M118" s="504"/>
      <c r="N118" s="2749"/>
      <c r="O118" s="2749"/>
      <c r="P118" s="2740"/>
      <c r="Q118" s="2735"/>
      <c r="R118" s="2721"/>
      <c r="S118" s="2721"/>
      <c r="T118" s="2721"/>
      <c r="U118" s="2721"/>
      <c r="V118" s="2721"/>
      <c r="W118" s="2721"/>
      <c r="X118" s="2721"/>
      <c r="Y118" s="2721"/>
      <c r="Z118" s="2721"/>
      <c r="AA118" s="2721"/>
      <c r="AB118" s="2721"/>
      <c r="AC118" s="2721"/>
    </row>
    <row r="119" spans="1:29" ht="15.75" thickBot="1">
      <c r="A119" s="481"/>
      <c r="B119" s="490"/>
      <c r="C119" s="507"/>
      <c r="D119" s="483"/>
      <c r="E119" s="483"/>
      <c r="F119" s="483"/>
      <c r="G119" s="483"/>
      <c r="H119" s="483"/>
      <c r="I119" s="483"/>
      <c r="J119" s="483"/>
      <c r="K119" s="483"/>
      <c r="L119" s="483"/>
      <c r="M119" s="484"/>
      <c r="N119" s="2750"/>
      <c r="O119" s="2750"/>
      <c r="P119" s="2740"/>
      <c r="Q119" s="2735"/>
      <c r="R119" s="2721"/>
      <c r="S119" s="2721"/>
      <c r="T119" s="2721"/>
      <c r="U119" s="2721"/>
      <c r="V119" s="2721"/>
      <c r="W119" s="2721"/>
      <c r="X119" s="2721"/>
      <c r="Y119" s="2721"/>
      <c r="Z119" s="2721"/>
      <c r="AA119" s="2721"/>
      <c r="AB119" s="2721"/>
      <c r="AC119" s="2721"/>
    </row>
    <row r="120" spans="1:29" s="420" customFormat="1" ht="15" thickTop="1">
      <c r="A120" s="540"/>
      <c r="B120" s="485" t="s">
        <v>1809</v>
      </c>
      <c r="C120" s="530"/>
      <c r="D120" s="530"/>
      <c r="E120" s="530"/>
      <c r="F120" s="530"/>
      <c r="G120" s="502"/>
      <c r="H120" s="502"/>
      <c r="I120" s="502"/>
      <c r="J120" s="502"/>
      <c r="K120" s="502"/>
      <c r="L120" s="503"/>
      <c r="M120" s="504"/>
      <c r="N120" s="2751"/>
      <c r="O120" s="2751"/>
      <c r="P120" s="2741"/>
      <c r="Q120" s="2742"/>
      <c r="R120" s="2743"/>
      <c r="S120" s="2743"/>
      <c r="T120" s="2743"/>
      <c r="U120" s="2743"/>
      <c r="V120" s="2743"/>
      <c r="W120" s="2743"/>
      <c r="X120" s="2743"/>
      <c r="Y120" s="2743"/>
      <c r="Z120" s="2743"/>
      <c r="AA120" s="2743"/>
      <c r="AB120" s="2743"/>
      <c r="AC120" s="2743"/>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6"/>
      <c r="B122" s="485" t="s">
        <v>1744</v>
      </c>
      <c r="C122" s="501"/>
      <c r="D122" s="501"/>
      <c r="E122" s="501"/>
      <c r="F122" s="530"/>
      <c r="G122" s="530"/>
      <c r="H122" s="530"/>
      <c r="I122" s="530"/>
      <c r="J122" s="530"/>
      <c r="K122" s="531"/>
      <c r="L122" s="532"/>
      <c r="M122" s="533"/>
      <c r="N122" s="2749"/>
      <c r="O122" s="2749"/>
      <c r="P122" s="2740"/>
      <c r="Q122" s="2735"/>
      <c r="R122" s="2721"/>
      <c r="S122" s="2721"/>
      <c r="T122" s="2721"/>
      <c r="U122" s="2721"/>
      <c r="V122" s="2721"/>
      <c r="W122" s="2721"/>
      <c r="X122" s="2721"/>
      <c r="Y122" s="2721"/>
      <c r="Z122" s="2721"/>
      <c r="AA122" s="2721"/>
      <c r="AB122" s="2721"/>
      <c r="AC122" s="2721"/>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9"/>
      <c r="O124" s="2749"/>
      <c r="P124" s="2741"/>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0"/>
      <c r="O125" s="2750"/>
      <c r="P125" s="2740"/>
      <c r="Q125" s="2735"/>
      <c r="R125" s="2721"/>
      <c r="S125" s="2721"/>
      <c r="T125" s="2721"/>
      <c r="U125" s="2721"/>
      <c r="V125" s="2721"/>
      <c r="W125" s="2721"/>
      <c r="X125" s="2721"/>
      <c r="Y125" s="2721"/>
      <c r="Z125" s="2721"/>
      <c r="AA125" s="2721"/>
      <c r="AB125" s="2721"/>
      <c r="AC125" s="2721"/>
    </row>
    <row r="126" spans="1:29" s="420" customFormat="1" ht="15" thickTop="1">
      <c r="A126" s="540"/>
      <c r="B126" s="485">
        <f>B44</f>
        <v>111</v>
      </c>
      <c r="C126" s="501"/>
      <c r="D126" s="501"/>
      <c r="E126" s="501"/>
      <c r="F126" s="501"/>
      <c r="G126" s="501"/>
      <c r="H126" s="502"/>
      <c r="I126" s="502"/>
      <c r="J126" s="502"/>
      <c r="K126" s="502"/>
      <c r="L126" s="503"/>
      <c r="M126" s="504"/>
      <c r="N126" s="2751"/>
      <c r="O126" s="2751"/>
      <c r="P126" s="2741"/>
      <c r="Q126" s="2742"/>
      <c r="R126" s="2743"/>
      <c r="S126" s="2743"/>
      <c r="T126" s="2743"/>
      <c r="U126" s="2743"/>
      <c r="V126" s="2743"/>
      <c r="W126" s="2743"/>
      <c r="X126" s="2743"/>
      <c r="Y126" s="2743"/>
      <c r="Z126" s="2743"/>
      <c r="AA126" s="2743"/>
      <c r="AB126" s="2743"/>
      <c r="AC126" s="2743"/>
    </row>
    <row r="127" spans="1:29" s="420" customFormat="1" ht="15.75" thickBot="1">
      <c r="A127" s="500"/>
      <c r="B127" s="490"/>
      <c r="C127" s="507"/>
      <c r="D127" s="483"/>
      <c r="E127" s="483"/>
      <c r="F127" s="483"/>
      <c r="G127" s="507"/>
      <c r="H127" s="509"/>
      <c r="I127" s="509"/>
      <c r="J127" s="509"/>
      <c r="K127" s="509"/>
      <c r="L127" s="509"/>
      <c r="M127" s="510"/>
      <c r="N127" s="2751"/>
      <c r="O127" s="2751"/>
      <c r="P127" s="2741"/>
      <c r="Q127" s="2742"/>
      <c r="R127" s="2743"/>
      <c r="S127" s="2743"/>
      <c r="T127" s="2743"/>
      <c r="U127" s="2743"/>
      <c r="V127" s="2743"/>
      <c r="W127" s="2743"/>
      <c r="X127" s="2743"/>
      <c r="Y127" s="2743"/>
      <c r="Z127" s="2743"/>
      <c r="AA127" s="2743"/>
      <c r="AB127" s="2743"/>
      <c r="AC127" s="2743"/>
    </row>
    <row r="128" spans="1:29" ht="15" thickTop="1">
      <c r="A128" s="546"/>
      <c r="B128" s="485">
        <f>B45</f>
        <v>111</v>
      </c>
      <c r="C128" s="501"/>
      <c r="D128" s="501"/>
      <c r="E128" s="501"/>
      <c r="F128" s="501"/>
      <c r="G128" s="530"/>
      <c r="H128" s="530"/>
      <c r="I128" s="530"/>
      <c r="J128" s="530"/>
      <c r="K128" s="531"/>
      <c r="L128" s="532"/>
      <c r="M128" s="533"/>
      <c r="N128" s="2749"/>
      <c r="O128" s="2749"/>
      <c r="P128" s="2740"/>
      <c r="Q128" s="2735"/>
      <c r="R128" s="2721"/>
      <c r="S128" s="2721"/>
      <c r="T128" s="2721"/>
      <c r="U128" s="2721"/>
      <c r="V128" s="2721"/>
      <c r="W128" s="2721"/>
      <c r="X128" s="2721"/>
      <c r="Y128" s="2721"/>
      <c r="Z128" s="2721"/>
      <c r="AA128" s="2721"/>
      <c r="AB128" s="2721"/>
      <c r="AC128" s="2721"/>
    </row>
    <row r="129" spans="1:29" ht="15.75" thickBot="1">
      <c r="A129" s="481"/>
      <c r="B129" s="490"/>
      <c r="C129" s="507"/>
      <c r="D129" s="483"/>
      <c r="E129" s="483"/>
      <c r="F129" s="483"/>
      <c r="G129" s="483"/>
      <c r="H129" s="483"/>
      <c r="I129" s="483"/>
      <c r="J129" s="483"/>
      <c r="K129" s="483"/>
      <c r="L129" s="483"/>
      <c r="M129" s="484"/>
      <c r="N129" s="2750"/>
      <c r="O129" s="2750"/>
      <c r="P129" s="2740"/>
      <c r="Q129" s="2735"/>
      <c r="R129" s="2721"/>
      <c r="S129" s="2721"/>
      <c r="T129" s="2721"/>
      <c r="U129" s="2721"/>
      <c r="V129" s="2721"/>
      <c r="W129" s="2721"/>
      <c r="X129" s="2721"/>
      <c r="Y129" s="2721"/>
      <c r="Z129" s="2721"/>
      <c r="AA129" s="2721"/>
      <c r="AB129" s="2721"/>
      <c r="AC129" s="2721"/>
    </row>
    <row r="130" spans="1:29" ht="15" thickTop="1">
      <c r="A130" s="546"/>
      <c r="B130" s="493">
        <f>B46</f>
        <v>111</v>
      </c>
      <c r="C130" s="501"/>
      <c r="D130" s="501"/>
      <c r="E130" s="501"/>
      <c r="F130" s="501"/>
      <c r="G130" s="534"/>
      <c r="H130" s="534"/>
      <c r="I130" s="534"/>
      <c r="J130" s="534"/>
      <c r="K130" s="470"/>
      <c r="L130" s="471"/>
      <c r="M130" s="537"/>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6"/>
      <c r="C131" s="517"/>
      <c r="D131" s="517"/>
      <c r="E131" s="517"/>
      <c r="F131" s="517"/>
      <c r="G131" s="538"/>
      <c r="H131" s="538"/>
      <c r="I131" s="538"/>
      <c r="J131" s="538"/>
      <c r="K131" s="538"/>
      <c r="L131" s="538"/>
      <c r="M131" s="539"/>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0</v>
      </c>
      <c r="C3" s="352" t="s">
        <v>1768</v>
      </c>
      <c r="D3" s="351">
        <f>IF(D1="",'数据-汇总表'!E3,SUMIF('数据-汇总表'!$C19:$C33,D1,'数据-汇总表'!$E19:$E33))</f>
        <v>55858.869999999981</v>
      </c>
      <c r="E3" s="1951"/>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86" t="s">
        <v>1775</v>
      </c>
      <c r="Q4" s="3787"/>
      <c r="R4" s="3790" t="s">
        <v>1771</v>
      </c>
      <c r="S4" s="3791"/>
      <c r="T4" s="3790" t="s">
        <v>1772</v>
      </c>
      <c r="U4" s="3791"/>
      <c r="V4" s="3792" t="s">
        <v>1773</v>
      </c>
      <c r="W4" s="3792"/>
      <c r="X4" s="1955"/>
      <c r="Y4" s="3790" t="s">
        <v>1775</v>
      </c>
      <c r="Z4" s="3791"/>
      <c r="AA4" s="3794" t="s">
        <v>1771</v>
      </c>
      <c r="AB4" s="3794" t="s">
        <v>1772</v>
      </c>
      <c r="AC4" s="3783" t="s">
        <v>1773</v>
      </c>
    </row>
    <row r="5" spans="1:29" ht="15">
      <c r="A5" s="356"/>
      <c r="B5" s="357"/>
      <c r="C5" s="3738" t="s">
        <v>1673</v>
      </c>
      <c r="D5" s="3739"/>
      <c r="E5" s="3746" t="s">
        <v>1674</v>
      </c>
      <c r="F5" s="3747"/>
      <c r="G5" s="3738" t="s">
        <v>1675</v>
      </c>
      <c r="H5" s="3739"/>
      <c r="I5" s="3738" t="s">
        <v>1676</v>
      </c>
      <c r="J5" s="3739"/>
      <c r="K5" s="557"/>
      <c r="L5" s="2711"/>
      <c r="M5" s="2712"/>
      <c r="N5" s="2712"/>
      <c r="O5" s="2712"/>
      <c r="P5" s="3788"/>
      <c r="Q5" s="3726"/>
      <c r="R5" s="3731"/>
      <c r="S5" s="3732"/>
      <c r="T5" s="3731"/>
      <c r="U5" s="3732"/>
      <c r="V5" s="3735"/>
      <c r="W5" s="3735"/>
      <c r="X5" s="1352"/>
      <c r="Y5" s="3731"/>
      <c r="Z5" s="3732"/>
      <c r="AA5" s="3717"/>
      <c r="AB5" s="3717"/>
      <c r="AC5" s="3784"/>
    </row>
    <row r="6" spans="1:29" ht="15.75" thickBot="1">
      <c r="A6" s="358"/>
      <c r="B6" s="359"/>
      <c r="C6" s="3736" t="s">
        <v>1677</v>
      </c>
      <c r="D6" s="3737"/>
      <c r="E6" s="3744" t="s">
        <v>1677</v>
      </c>
      <c r="F6" s="3745"/>
      <c r="G6" s="3736" t="s">
        <v>1677</v>
      </c>
      <c r="H6" s="3737"/>
      <c r="I6" s="3736" t="s">
        <v>1677</v>
      </c>
      <c r="J6" s="3737"/>
      <c r="K6" s="557" t="s">
        <v>1678</v>
      </c>
      <c r="L6" s="2711"/>
      <c r="M6" s="2712"/>
      <c r="N6" s="2712"/>
      <c r="O6" s="2712"/>
      <c r="P6" s="3789"/>
      <c r="Q6" s="3728"/>
      <c r="R6" s="3731"/>
      <c r="S6" s="3732"/>
      <c r="T6" s="3733"/>
      <c r="U6" s="3734"/>
      <c r="V6" s="3735"/>
      <c r="W6" s="3735"/>
      <c r="X6" s="1352"/>
      <c r="Y6" s="3733"/>
      <c r="Z6" s="3734"/>
      <c r="AA6" s="3718"/>
      <c r="AB6" s="3718"/>
      <c r="AC6" s="3785"/>
    </row>
    <row r="7" spans="1:29" s="108" customFormat="1" ht="15.75" thickBot="1">
      <c r="A7" s="360" t="s">
        <v>1679</v>
      </c>
      <c r="B7" s="361"/>
      <c r="C7" s="362">
        <f>'数据-取费表'!B2</f>
        <v>45272</v>
      </c>
      <c r="D7" s="363">
        <v>100</v>
      </c>
      <c r="E7" s="364"/>
      <c r="F7" s="365">
        <f>SUMIF(59:59,YEAR(E7)&amp;"-"&amp;MONTH(E7),60:60)</f>
        <v>0</v>
      </c>
      <c r="G7" s="364"/>
      <c r="H7" s="363">
        <f>SUMIF(59:59,YEAR(G7)&amp;"-"&amp;MONTH(G7),60:60)</f>
        <v>0</v>
      </c>
      <c r="I7" s="364"/>
      <c r="J7" s="363">
        <f>SUMIF(59:59,YEAR(I7)&amp;"-"&amp;MONTH(I7),60:60)</f>
        <v>0</v>
      </c>
      <c r="K7" s="558"/>
      <c r="L7" s="2713"/>
      <c r="M7" s="2714"/>
      <c r="N7" s="2714"/>
      <c r="O7" s="2714"/>
      <c r="P7" s="3793" t="s">
        <v>1680</v>
      </c>
      <c r="Q7" s="3742"/>
      <c r="R7" s="698" t="s">
        <v>14</v>
      </c>
      <c r="S7" s="699">
        <f t="shared" ref="S7:S15" si="0">F7</f>
        <v>0</v>
      </c>
      <c r="T7" s="698" t="s">
        <v>14</v>
      </c>
      <c r="U7" s="699">
        <f t="shared" ref="U7:U15" si="1">H7</f>
        <v>0</v>
      </c>
      <c r="V7" s="698" t="s">
        <v>14</v>
      </c>
      <c r="W7" s="699">
        <f t="shared" ref="W7:W15" si="2">J7</f>
        <v>0</v>
      </c>
      <c r="X7" s="700"/>
      <c r="Y7" s="3740" t="s">
        <v>1680</v>
      </c>
      <c r="Z7" s="3741"/>
      <c r="AA7" s="701" t="e">
        <f>D7/F7</f>
        <v>#DIV/0!</v>
      </c>
      <c r="AB7" s="701" t="e">
        <f>D7/H7</f>
        <v>#DIV/0!</v>
      </c>
      <c r="AC7" s="1956" t="e">
        <f>D7/J7</f>
        <v>#DIV/0!</v>
      </c>
    </row>
    <row r="8" spans="1:29" s="108"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3"/>
      <c r="M8" s="2714"/>
      <c r="N8" s="2714"/>
      <c r="O8" s="2714"/>
      <c r="P8" s="3793" t="s">
        <v>1683</v>
      </c>
      <c r="Q8" s="3741"/>
      <c r="R8" s="698" t="s">
        <v>14</v>
      </c>
      <c r="S8" s="699">
        <f t="shared" si="0"/>
        <v>100</v>
      </c>
      <c r="T8" s="698" t="s">
        <v>14</v>
      </c>
      <c r="U8" s="699">
        <f t="shared" si="1"/>
        <v>100</v>
      </c>
      <c r="V8" s="698" t="s">
        <v>14</v>
      </c>
      <c r="W8" s="699">
        <f t="shared" si="2"/>
        <v>100</v>
      </c>
      <c r="X8" s="700"/>
      <c r="Y8" s="3740" t="s">
        <v>1683</v>
      </c>
      <c r="Z8" s="3741"/>
      <c r="AA8" s="701">
        <f t="shared" ref="AA8:AA47" si="3">D8/F8</f>
        <v>1</v>
      </c>
      <c r="AB8" s="701">
        <f t="shared" ref="AB8:AB47" si="4">D8/H8</f>
        <v>1</v>
      </c>
      <c r="AC8" s="1956">
        <f t="shared" ref="AC8:AC47" si="5">D8/J8</f>
        <v>1</v>
      </c>
    </row>
    <row r="9" spans="1:29" s="108"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3"/>
      <c r="M9" s="2714"/>
      <c r="N9" s="2714"/>
      <c r="O9" s="2714"/>
      <c r="P9" s="3779"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1956">
        <f t="shared" si="5"/>
        <v>1</v>
      </c>
    </row>
    <row r="10" spans="1:29" s="376" customFormat="1" ht="27">
      <c r="A10" s="372"/>
      <c r="B10" s="373" t="s">
        <v>1688</v>
      </c>
      <c r="C10" s="3430"/>
      <c r="D10" s="125">
        <v>100</v>
      </c>
      <c r="E10" s="3430"/>
      <c r="F10" s="125">
        <f>SUMIF(66:66,E10,67:67)-SUMIF(66:66,C10,67:67)+100</f>
        <v>100</v>
      </c>
      <c r="G10" s="3431"/>
      <c r="H10" s="125">
        <f>SUMIF(66:66,G10,67:67)-SUMIF(66:66,C10,67:67)+100</f>
        <v>100</v>
      </c>
      <c r="I10" s="3430"/>
      <c r="J10" s="125">
        <f>SUMIF(66:66,I10,67:67)-SUMIF(66:66,C10,67:67)+100</f>
        <v>100</v>
      </c>
      <c r="K10" s="558"/>
      <c r="L10" s="2715"/>
      <c r="M10" s="2716"/>
      <c r="N10" s="2716"/>
      <c r="O10" s="2716"/>
      <c r="P10" s="3779"/>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1956">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7"/>
      <c r="M11" s="2712"/>
      <c r="N11" s="2712"/>
      <c r="O11" s="2712"/>
      <c r="P11" s="3779"/>
      <c r="Q11" s="1340" t="str">
        <f t="shared" si="6"/>
        <v>容积率</v>
      </c>
      <c r="R11" s="698" t="s">
        <v>14</v>
      </c>
      <c r="S11" s="699">
        <f t="shared" si="0"/>
        <v>100</v>
      </c>
      <c r="T11" s="698" t="s">
        <v>14</v>
      </c>
      <c r="U11" s="699">
        <f t="shared" si="1"/>
        <v>100</v>
      </c>
      <c r="V11" s="698" t="s">
        <v>14</v>
      </c>
      <c r="W11" s="699">
        <f t="shared" si="2"/>
        <v>100</v>
      </c>
      <c r="X11" s="700"/>
      <c r="Y11" s="3610"/>
      <c r="Z11" s="52" t="str">
        <f t="shared" si="7"/>
        <v>容积率</v>
      </c>
      <c r="AA11" s="701">
        <f t="shared" si="3"/>
        <v>1</v>
      </c>
      <c r="AB11" s="701">
        <f t="shared" si="4"/>
        <v>1</v>
      </c>
      <c r="AC11" s="1956">
        <f t="shared" si="5"/>
        <v>1</v>
      </c>
    </row>
    <row r="12" spans="1:29" s="108" customFormat="1" ht="15">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13"/>
      <c r="M12" s="2714"/>
      <c r="N12" s="2714"/>
      <c r="O12" s="2714"/>
      <c r="P12" s="3779"/>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1956">
        <f>D12/J12</f>
        <v>1</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8"/>
      <c r="M13" s="2712"/>
      <c r="N13" s="2712"/>
      <c r="O13" s="2712"/>
      <c r="P13" s="3779"/>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8"/>
      <c r="M14" s="2712"/>
      <c r="N14" s="2712"/>
      <c r="O14" s="2712"/>
      <c r="P14" s="3779"/>
      <c r="Q14" s="1340">
        <f t="shared" si="6"/>
        <v>111</v>
      </c>
      <c r="R14" s="698" t="s">
        <v>14</v>
      </c>
      <c r="S14" s="699">
        <f t="shared" si="0"/>
        <v>100</v>
      </c>
      <c r="T14" s="698" t="s">
        <v>14</v>
      </c>
      <c r="U14" s="699">
        <f t="shared" si="1"/>
        <v>100</v>
      </c>
      <c r="V14" s="698" t="s">
        <v>14</v>
      </c>
      <c r="W14" s="699">
        <f t="shared" si="2"/>
        <v>100</v>
      </c>
      <c r="X14" s="700"/>
      <c r="Y14" s="3610"/>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8"/>
      <c r="M15" s="2712"/>
      <c r="N15" s="2712"/>
      <c r="O15" s="2712"/>
      <c r="P15" s="3777" t="s">
        <v>1691</v>
      </c>
      <c r="Q15" s="1349" t="str">
        <f t="shared" si="6"/>
        <v>办公集聚程度</v>
      </c>
      <c r="R15" s="702" t="s">
        <v>14</v>
      </c>
      <c r="S15" s="703">
        <f t="shared" si="0"/>
        <v>100</v>
      </c>
      <c r="T15" s="702" t="s">
        <v>14</v>
      </c>
      <c r="U15" s="703">
        <f t="shared" si="1"/>
        <v>100</v>
      </c>
      <c r="V15" s="702" t="s">
        <v>14</v>
      </c>
      <c r="W15" s="703">
        <f t="shared" si="2"/>
        <v>100</v>
      </c>
      <c r="X15" s="1352"/>
      <c r="Y15" s="3711" t="s">
        <v>1691</v>
      </c>
      <c r="Z15" s="1353" t="str">
        <f t="shared" si="7"/>
        <v>办公集聚程度</v>
      </c>
      <c r="AA15" s="1350">
        <f t="shared" si="3"/>
        <v>1</v>
      </c>
      <c r="AB15" s="1350">
        <f t="shared" si="4"/>
        <v>1</v>
      </c>
      <c r="AC15" s="1959">
        <f t="shared" si="5"/>
        <v>1</v>
      </c>
    </row>
    <row r="16" spans="1:29" ht="15">
      <c r="A16" s="377"/>
      <c r="B16" s="576"/>
      <c r="C16" s="1901"/>
      <c r="D16" s="397"/>
      <c r="E16" s="396"/>
      <c r="F16" s="397"/>
      <c r="G16" s="1901"/>
      <c r="H16" s="399"/>
      <c r="I16" s="396"/>
      <c r="J16" s="397"/>
      <c r="K16" s="562"/>
      <c r="L16" s="2718"/>
      <c r="M16" s="2712"/>
      <c r="N16" s="2712"/>
      <c r="O16" s="2712"/>
      <c r="P16" s="3778"/>
      <c r="Q16" s="1349"/>
      <c r="R16" s="702"/>
      <c r="S16" s="703"/>
      <c r="T16" s="702"/>
      <c r="U16" s="703"/>
      <c r="V16" s="702"/>
      <c r="W16" s="703"/>
      <c r="X16" s="1352"/>
      <c r="Y16" s="3712"/>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8"/>
      <c r="M17" s="2712"/>
      <c r="N17" s="2712"/>
      <c r="O17" s="2712"/>
      <c r="P17" s="3778"/>
      <c r="Q17" s="1349" t="str">
        <f>B17</f>
        <v>交通便捷度</v>
      </c>
      <c r="R17" s="702" t="s">
        <v>14</v>
      </c>
      <c r="S17" s="703">
        <f>F17</f>
        <v>100</v>
      </c>
      <c r="T17" s="702" t="s">
        <v>14</v>
      </c>
      <c r="U17" s="703">
        <f>H17</f>
        <v>100</v>
      </c>
      <c r="V17" s="702" t="s">
        <v>14</v>
      </c>
      <c r="W17" s="703">
        <f>J17</f>
        <v>100</v>
      </c>
      <c r="X17" s="1352"/>
      <c r="Y17" s="3712"/>
      <c r="Z17" s="1353" t="str">
        <f>Q17</f>
        <v>交通便捷度</v>
      </c>
      <c r="AA17" s="1350">
        <f t="shared" si="3"/>
        <v>1</v>
      </c>
      <c r="AB17" s="1350">
        <f t="shared" si="4"/>
        <v>1</v>
      </c>
      <c r="AC17" s="1959">
        <f t="shared" si="5"/>
        <v>1</v>
      </c>
    </row>
    <row r="18" spans="1:29" ht="15">
      <c r="A18" s="377"/>
      <c r="B18" s="578"/>
      <c r="C18" s="1961"/>
      <c r="D18" s="399"/>
      <c r="E18" s="1899"/>
      <c r="F18" s="399"/>
      <c r="G18" s="1900"/>
      <c r="H18" s="397"/>
      <c r="I18" s="1900"/>
      <c r="J18" s="397"/>
      <c r="K18" s="562"/>
      <c r="L18" s="2718"/>
      <c r="M18" s="2712"/>
      <c r="N18" s="2712"/>
      <c r="O18" s="2712"/>
      <c r="P18" s="3778"/>
      <c r="Q18" s="1349"/>
      <c r="R18" s="702"/>
      <c r="S18" s="703"/>
      <c r="T18" s="702"/>
      <c r="U18" s="703"/>
      <c r="V18" s="702"/>
      <c r="W18" s="703"/>
      <c r="X18" s="1352"/>
      <c r="Y18" s="3712"/>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8"/>
      <c r="M19" s="2712"/>
      <c r="N19" s="2712"/>
      <c r="O19" s="2712"/>
      <c r="P19" s="3778"/>
      <c r="Q19" s="1349" t="str">
        <f>B19</f>
        <v>公共配套设施</v>
      </c>
      <c r="R19" s="702" t="s">
        <v>14</v>
      </c>
      <c r="S19" s="703">
        <f>F19</f>
        <v>100</v>
      </c>
      <c r="T19" s="702" t="s">
        <v>14</v>
      </c>
      <c r="U19" s="703">
        <f>H19</f>
        <v>100</v>
      </c>
      <c r="V19" s="702" t="s">
        <v>14</v>
      </c>
      <c r="W19" s="703">
        <f>J19</f>
        <v>100</v>
      </c>
      <c r="X19" s="1352"/>
      <c r="Y19" s="3712"/>
      <c r="Z19" s="1353" t="str">
        <f>Q19</f>
        <v>公共配套设施</v>
      </c>
      <c r="AA19" s="1350">
        <f t="shared" si="3"/>
        <v>1</v>
      </c>
      <c r="AB19" s="1350">
        <f t="shared" si="4"/>
        <v>1</v>
      </c>
      <c r="AC19" s="1959">
        <f t="shared" si="5"/>
        <v>1</v>
      </c>
    </row>
    <row r="20" spans="1:29" ht="15">
      <c r="A20" s="377"/>
      <c r="B20" s="578"/>
      <c r="C20" s="1901"/>
      <c r="D20" s="397"/>
      <c r="E20" s="1894"/>
      <c r="F20" s="397"/>
      <c r="G20" s="1895"/>
      <c r="H20" s="397"/>
      <c r="I20" s="1895"/>
      <c r="J20" s="397"/>
      <c r="K20" s="562"/>
      <c r="L20" s="2718"/>
      <c r="M20" s="2712"/>
      <c r="N20" s="2712"/>
      <c r="O20" s="2712"/>
      <c r="P20" s="3778"/>
      <c r="Q20" s="1349"/>
      <c r="R20" s="702"/>
      <c r="S20" s="703"/>
      <c r="T20" s="702"/>
      <c r="U20" s="703"/>
      <c r="V20" s="702"/>
      <c r="W20" s="703"/>
      <c r="X20" s="1352"/>
      <c r="Y20" s="3712"/>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8"/>
      <c r="M21" s="2712"/>
      <c r="N21" s="2712"/>
      <c r="O21" s="2712"/>
      <c r="P21" s="3778"/>
      <c r="Q21" s="1349" t="str">
        <f>B21</f>
        <v>基础设施水平</v>
      </c>
      <c r="R21" s="702" t="s">
        <v>14</v>
      </c>
      <c r="S21" s="703">
        <f>F21</f>
        <v>100</v>
      </c>
      <c r="T21" s="702" t="s">
        <v>14</v>
      </c>
      <c r="U21" s="703">
        <f>H21</f>
        <v>100</v>
      </c>
      <c r="V21" s="702" t="s">
        <v>14</v>
      </c>
      <c r="W21" s="703">
        <f>J21</f>
        <v>100</v>
      </c>
      <c r="X21" s="1352"/>
      <c r="Y21" s="3712"/>
      <c r="Z21" s="1353" t="str">
        <f>Q21</f>
        <v>基础设施水平</v>
      </c>
      <c r="AA21" s="1350">
        <f t="shared" ref="AA21" si="8">D21/F21</f>
        <v>1</v>
      </c>
      <c r="AB21" s="1350">
        <f t="shared" ref="AB21" si="9">D21/H21</f>
        <v>1</v>
      </c>
      <c r="AC21" s="1959">
        <f t="shared" ref="AC21" si="10">D21/J21</f>
        <v>1</v>
      </c>
    </row>
    <row r="22" spans="1:29" ht="15">
      <c r="A22" s="377"/>
      <c r="B22" s="579"/>
      <c r="C22" s="1961"/>
      <c r="D22" s="397"/>
      <c r="E22" s="396"/>
      <c r="F22" s="397"/>
      <c r="G22" s="1901"/>
      <c r="H22" s="397"/>
      <c r="I22" s="1901"/>
      <c r="J22" s="397"/>
      <c r="K22" s="1127"/>
      <c r="L22" s="2718"/>
      <c r="M22" s="2712"/>
      <c r="N22" s="2712"/>
      <c r="O22" s="2712"/>
      <c r="P22" s="3778"/>
      <c r="Q22" s="1349"/>
      <c r="R22" s="702"/>
      <c r="S22" s="703"/>
      <c r="T22" s="702"/>
      <c r="U22" s="703"/>
      <c r="V22" s="702"/>
      <c r="W22" s="703"/>
      <c r="X22" s="1352"/>
      <c r="Y22" s="3712"/>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8"/>
      <c r="M23" s="2712"/>
      <c r="N23" s="2712"/>
      <c r="O23" s="2712"/>
      <c r="P23" s="3778"/>
      <c r="Q23" s="1349" t="str">
        <f>B23</f>
        <v>环境质量</v>
      </c>
      <c r="R23" s="702" t="s">
        <v>14</v>
      </c>
      <c r="S23" s="703">
        <f>F23</f>
        <v>100</v>
      </c>
      <c r="T23" s="702" t="s">
        <v>14</v>
      </c>
      <c r="U23" s="703">
        <f>H23</f>
        <v>100</v>
      </c>
      <c r="V23" s="702" t="s">
        <v>14</v>
      </c>
      <c r="W23" s="703">
        <f>J23</f>
        <v>100</v>
      </c>
      <c r="X23" s="1352"/>
      <c r="Y23" s="3712"/>
      <c r="Z23" s="1353" t="str">
        <f>Q23</f>
        <v>环境质量</v>
      </c>
      <c r="AA23" s="1350">
        <f t="shared" si="3"/>
        <v>1</v>
      </c>
      <c r="AB23" s="1350">
        <f t="shared" si="4"/>
        <v>1</v>
      </c>
      <c r="AC23" s="1959">
        <f t="shared" si="5"/>
        <v>1</v>
      </c>
    </row>
    <row r="24" spans="1:29" ht="15">
      <c r="A24" s="377"/>
      <c r="B24" s="579"/>
      <c r="C24" s="1901"/>
      <c r="D24" s="397"/>
      <c r="E24" s="1894"/>
      <c r="F24" s="397"/>
      <c r="G24" s="1895"/>
      <c r="H24" s="397"/>
      <c r="I24" s="1895"/>
      <c r="J24" s="397"/>
      <c r="K24" s="562"/>
      <c r="L24" s="2718"/>
      <c r="M24" s="2712"/>
      <c r="N24" s="2712"/>
      <c r="O24" s="2712"/>
      <c r="P24" s="3778"/>
      <c r="Q24" s="1349"/>
      <c r="R24" s="702"/>
      <c r="S24" s="703"/>
      <c r="T24" s="702"/>
      <c r="U24" s="703"/>
      <c r="V24" s="702"/>
      <c r="W24" s="703"/>
      <c r="X24" s="1352"/>
      <c r="Y24" s="3712"/>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8"/>
      <c r="M25" s="2712"/>
      <c r="N25" s="2712"/>
      <c r="O25" s="2712"/>
      <c r="P25" s="3778"/>
      <c r="Q25" s="1349" t="str">
        <f>B25</f>
        <v>毗邻道路的类型与等级</v>
      </c>
      <c r="R25" s="702" t="s">
        <v>14</v>
      </c>
      <c r="S25" s="703">
        <f>F25</f>
        <v>100</v>
      </c>
      <c r="T25" s="702" t="s">
        <v>14</v>
      </c>
      <c r="U25" s="703">
        <f>H25</f>
        <v>100</v>
      </c>
      <c r="V25" s="702" t="s">
        <v>14</v>
      </c>
      <c r="W25" s="703">
        <f>J25</f>
        <v>100</v>
      </c>
      <c r="X25" s="1352"/>
      <c r="Y25" s="3712"/>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8"/>
      <c r="M26" s="2712"/>
      <c r="N26" s="2712"/>
      <c r="O26" s="2712"/>
      <c r="P26" s="3778"/>
      <c r="Q26" s="1349"/>
      <c r="R26" s="702"/>
      <c r="S26" s="703"/>
      <c r="T26" s="702"/>
      <c r="U26" s="703"/>
      <c r="V26" s="702"/>
      <c r="W26" s="703"/>
      <c r="X26" s="1352"/>
      <c r="Y26" s="3712"/>
      <c r="Z26" s="1353"/>
      <c r="AA26" s="1350">
        <v>1</v>
      </c>
      <c r="AB26" s="1350">
        <v>1</v>
      </c>
      <c r="AC26" s="1959">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8"/>
      <c r="M27" s="2712"/>
      <c r="N27" s="2712"/>
      <c r="O27" s="2712"/>
      <c r="P27" s="3778"/>
      <c r="Q27" s="1349" t="str">
        <f t="shared" ref="Q27:Q47" si="11">B27</f>
        <v>楼层</v>
      </c>
      <c r="R27" s="702" t="s">
        <v>14</v>
      </c>
      <c r="S27" s="703">
        <f>F27</f>
        <v>100</v>
      </c>
      <c r="T27" s="702" t="s">
        <v>14</v>
      </c>
      <c r="U27" s="703">
        <f>H27</f>
        <v>100</v>
      </c>
      <c r="V27" s="702" t="s">
        <v>14</v>
      </c>
      <c r="W27" s="703">
        <f>J27</f>
        <v>100</v>
      </c>
      <c r="X27" s="1352"/>
      <c r="Y27" s="3712"/>
      <c r="Z27" s="1353" t="str">
        <f>Q27</f>
        <v>楼层</v>
      </c>
      <c r="AA27" s="1350">
        <f t="shared" si="3"/>
        <v>1</v>
      </c>
      <c r="AB27" s="1350">
        <f t="shared" si="4"/>
        <v>1</v>
      </c>
      <c r="AC27" s="1959">
        <f t="shared" si="5"/>
        <v>1</v>
      </c>
    </row>
    <row r="28" spans="1:29" s="108"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3"/>
      <c r="M28" s="2714"/>
      <c r="N28" s="2714"/>
      <c r="O28" s="2714"/>
      <c r="P28" s="3778"/>
      <c r="Q28" s="1340" t="str">
        <f t="shared" si="11"/>
        <v>朝向</v>
      </c>
      <c r="R28" s="698" t="s">
        <v>14</v>
      </c>
      <c r="S28" s="699">
        <f>F28</f>
        <v>100</v>
      </c>
      <c r="T28" s="698" t="s">
        <v>14</v>
      </c>
      <c r="U28" s="699">
        <f>H28</f>
        <v>100</v>
      </c>
      <c r="V28" s="698" t="s">
        <v>14</v>
      </c>
      <c r="W28" s="699">
        <f>J28</f>
        <v>100</v>
      </c>
      <c r="X28" s="700"/>
      <c r="Y28" s="3712"/>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8"/>
      <c r="M29" s="2712"/>
      <c r="N29" s="2712"/>
      <c r="O29" s="2712"/>
      <c r="P29" s="3778"/>
      <c r="Q29" s="1349">
        <f t="shared" si="11"/>
        <v>111</v>
      </c>
      <c r="R29" s="702" t="s">
        <v>14</v>
      </c>
      <c r="S29" s="703">
        <f t="shared" ref="S29:S47" si="12">F29</f>
        <v>100</v>
      </c>
      <c r="T29" s="702" t="s">
        <v>14</v>
      </c>
      <c r="U29" s="703">
        <f t="shared" ref="U29:U47" si="13">H29</f>
        <v>100</v>
      </c>
      <c r="V29" s="702" t="s">
        <v>14</v>
      </c>
      <c r="W29" s="703">
        <f t="shared" ref="W29:W47" si="14">J29</f>
        <v>100</v>
      </c>
      <c r="X29" s="1352"/>
      <c r="Y29" s="3712"/>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8"/>
      <c r="M30" s="2712"/>
      <c r="N30" s="2712"/>
      <c r="O30" s="2712"/>
      <c r="P30" s="3778"/>
      <c r="Q30" s="1349">
        <f t="shared" si="11"/>
        <v>111</v>
      </c>
      <c r="R30" s="702" t="s">
        <v>14</v>
      </c>
      <c r="S30" s="703">
        <f t="shared" si="12"/>
        <v>100</v>
      </c>
      <c r="T30" s="702" t="s">
        <v>14</v>
      </c>
      <c r="U30" s="703">
        <f t="shared" si="13"/>
        <v>100</v>
      </c>
      <c r="V30" s="702" t="s">
        <v>14</v>
      </c>
      <c r="W30" s="703">
        <f t="shared" si="14"/>
        <v>100</v>
      </c>
      <c r="X30" s="1352"/>
      <c r="Y30" s="3712"/>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8"/>
      <c r="M31" s="2712"/>
      <c r="N31" s="2712"/>
      <c r="O31" s="2712"/>
      <c r="P31" s="3778"/>
      <c r="Q31" s="1349">
        <f t="shared" si="11"/>
        <v>111</v>
      </c>
      <c r="R31" s="702" t="s">
        <v>14</v>
      </c>
      <c r="S31" s="703">
        <f t="shared" si="12"/>
        <v>100</v>
      </c>
      <c r="T31" s="702" t="s">
        <v>14</v>
      </c>
      <c r="U31" s="703">
        <f t="shared" si="13"/>
        <v>100</v>
      </c>
      <c r="V31" s="702" t="s">
        <v>14</v>
      </c>
      <c r="W31" s="703">
        <f t="shared" si="14"/>
        <v>100</v>
      </c>
      <c r="X31" s="1352"/>
      <c r="Y31" s="3712"/>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8"/>
      <c r="M32" s="2712"/>
      <c r="N32" s="2712"/>
      <c r="O32" s="2712"/>
      <c r="P32" s="3778"/>
      <c r="Q32" s="1349">
        <f t="shared" si="11"/>
        <v>111</v>
      </c>
      <c r="R32" s="702" t="s">
        <v>14</v>
      </c>
      <c r="S32" s="703">
        <f t="shared" si="12"/>
        <v>100</v>
      </c>
      <c r="T32" s="702" t="s">
        <v>14</v>
      </c>
      <c r="U32" s="703">
        <f t="shared" si="13"/>
        <v>100</v>
      </c>
      <c r="V32" s="702" t="s">
        <v>14</v>
      </c>
      <c r="W32" s="703">
        <f t="shared" si="14"/>
        <v>100</v>
      </c>
      <c r="X32" s="1352"/>
      <c r="Y32" s="3712"/>
      <c r="Z32" s="1353">
        <f t="shared" si="15"/>
        <v>111</v>
      </c>
      <c r="AA32" s="1350">
        <f t="shared" si="3"/>
        <v>1</v>
      </c>
      <c r="AB32" s="1350">
        <f t="shared" si="4"/>
        <v>1</v>
      </c>
      <c r="AC32" s="1959">
        <f t="shared" si="5"/>
        <v>1</v>
      </c>
    </row>
    <row r="33" spans="1:29" ht="15">
      <c r="A33" s="389" t="s">
        <v>1694</v>
      </c>
      <c r="B33" s="63" t="s">
        <v>1817</v>
      </c>
      <c r="C33" s="1964"/>
      <c r="D33" s="416">
        <v>100</v>
      </c>
      <c r="E33" s="1964"/>
      <c r="F33" s="410">
        <f>SUMIF(101:101,E33,102:102)-SUMIF(101:101,C33,102:102)+100</f>
        <v>100</v>
      </c>
      <c r="G33" s="1964"/>
      <c r="H33" s="384">
        <f>SUMIF(101:101,G33,102:102)-SUMIF(101:101,C33,102:102)+100</f>
        <v>100</v>
      </c>
      <c r="I33" s="1964"/>
      <c r="J33" s="416">
        <f>SUMIF(101:101,I33,102:102)-SUMIF(101:101,C33,102:102)+100</f>
        <v>100</v>
      </c>
      <c r="K33" s="559"/>
      <c r="L33" s="2718"/>
      <c r="M33" s="2712"/>
      <c r="N33" s="2712"/>
      <c r="O33" s="2712"/>
      <c r="P33" s="3774" t="s">
        <v>1696</v>
      </c>
      <c r="Q33" s="1349" t="str">
        <f t="shared" si="11"/>
        <v>建筑类型</v>
      </c>
      <c r="R33" s="702" t="s">
        <v>14</v>
      </c>
      <c r="S33" s="703">
        <f t="shared" si="12"/>
        <v>100</v>
      </c>
      <c r="T33" s="702" t="s">
        <v>14</v>
      </c>
      <c r="U33" s="703">
        <f t="shared" si="13"/>
        <v>100</v>
      </c>
      <c r="V33" s="702" t="s">
        <v>14</v>
      </c>
      <c r="W33" s="703">
        <f t="shared" si="14"/>
        <v>100</v>
      </c>
      <c r="X33" s="1352"/>
      <c r="Y33" s="3714" t="s">
        <v>1696</v>
      </c>
      <c r="Z33" s="1353" t="str">
        <f t="shared" si="15"/>
        <v>建筑类型</v>
      </c>
      <c r="AA33" s="1350">
        <f t="shared" si="3"/>
        <v>1</v>
      </c>
      <c r="AB33" s="1350">
        <f t="shared" si="4"/>
        <v>1</v>
      </c>
      <c r="AC33" s="1959">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7"/>
      <c r="M34" s="2719"/>
      <c r="N34" s="2719"/>
      <c r="O34" s="2719"/>
      <c r="P34" s="3775"/>
      <c r="Q34" s="704" t="str">
        <f t="shared" si="11"/>
        <v>项目建筑规模</v>
      </c>
      <c r="R34" s="705" t="s">
        <v>14</v>
      </c>
      <c r="S34" s="706" t="e">
        <f t="shared" si="12"/>
        <v>#N/A</v>
      </c>
      <c r="T34" s="705" t="s">
        <v>14</v>
      </c>
      <c r="U34" s="706" t="e">
        <f t="shared" si="13"/>
        <v>#N/A</v>
      </c>
      <c r="V34" s="705" t="s">
        <v>14</v>
      </c>
      <c r="W34" s="706" t="e">
        <f t="shared" si="14"/>
        <v>#N/A</v>
      </c>
      <c r="X34" s="707"/>
      <c r="Y34" s="3714"/>
      <c r="Z34" s="708" t="str">
        <f t="shared" si="15"/>
        <v>项目建筑规模</v>
      </c>
      <c r="AA34" s="1350" t="e">
        <f t="shared" si="3"/>
        <v>#N/A</v>
      </c>
      <c r="AB34" s="1350" t="e">
        <f t="shared" si="4"/>
        <v>#N/A</v>
      </c>
      <c r="AC34" s="1959"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8"/>
      <c r="M35" s="2712"/>
      <c r="N35" s="2712"/>
      <c r="O35" s="2712"/>
      <c r="P35" s="3775"/>
      <c r="Q35" s="1349" t="str">
        <f t="shared" si="11"/>
        <v>建筑结构</v>
      </c>
      <c r="R35" s="702" t="s">
        <v>14</v>
      </c>
      <c r="S35" s="703">
        <f t="shared" si="12"/>
        <v>100</v>
      </c>
      <c r="T35" s="702" t="s">
        <v>14</v>
      </c>
      <c r="U35" s="703">
        <f t="shared" si="13"/>
        <v>100</v>
      </c>
      <c r="V35" s="702" t="s">
        <v>14</v>
      </c>
      <c r="W35" s="703">
        <f t="shared" si="14"/>
        <v>100</v>
      </c>
      <c r="X35" s="1352"/>
      <c r="Y35" s="3714"/>
      <c r="Z35" s="1353" t="str">
        <f t="shared" si="15"/>
        <v>建筑结构</v>
      </c>
      <c r="AA35" s="1350">
        <f t="shared" si="3"/>
        <v>1</v>
      </c>
      <c r="AB35" s="1350">
        <f t="shared" si="4"/>
        <v>1</v>
      </c>
      <c r="AC35" s="1959">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8"/>
      <c r="M36" s="2712"/>
      <c r="N36" s="2712"/>
      <c r="O36" s="2712"/>
      <c r="P36" s="3775"/>
      <c r="Q36" s="1349" t="str">
        <f t="shared" si="11"/>
        <v>公共部分装修</v>
      </c>
      <c r="R36" s="702" t="s">
        <v>14</v>
      </c>
      <c r="S36" s="703">
        <f t="shared" si="12"/>
        <v>100</v>
      </c>
      <c r="T36" s="702" t="s">
        <v>14</v>
      </c>
      <c r="U36" s="703">
        <f t="shared" si="13"/>
        <v>100</v>
      </c>
      <c r="V36" s="702" t="s">
        <v>14</v>
      </c>
      <c r="W36" s="703">
        <f t="shared" si="14"/>
        <v>100</v>
      </c>
      <c r="X36" s="1352"/>
      <c r="Y36" s="3714"/>
      <c r="Z36" s="1353" t="str">
        <f t="shared" si="15"/>
        <v>公共部分装修</v>
      </c>
      <c r="AA36" s="1350">
        <f t="shared" si="3"/>
        <v>1</v>
      </c>
      <c r="AB36" s="1350">
        <f t="shared" si="4"/>
        <v>1</v>
      </c>
      <c r="AC36" s="1959">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8"/>
      <c r="M37" s="2712"/>
      <c r="N37" s="2712"/>
      <c r="O37" s="2712"/>
      <c r="P37" s="3775"/>
      <c r="Q37" s="1349" t="str">
        <f t="shared" si="11"/>
        <v>成新度</v>
      </c>
      <c r="R37" s="702" t="s">
        <v>14</v>
      </c>
      <c r="S37" s="703" t="e">
        <f t="shared" si="12"/>
        <v>#N/A</v>
      </c>
      <c r="T37" s="702" t="s">
        <v>14</v>
      </c>
      <c r="U37" s="703" t="e">
        <f t="shared" si="13"/>
        <v>#N/A</v>
      </c>
      <c r="V37" s="702" t="s">
        <v>14</v>
      </c>
      <c r="W37" s="703" t="e">
        <f t="shared" si="14"/>
        <v>#N/A</v>
      </c>
      <c r="X37" s="1352"/>
      <c r="Y37" s="3714"/>
      <c r="Z37" s="1353" t="str">
        <f t="shared" si="15"/>
        <v>成新度</v>
      </c>
      <c r="AA37" s="1350" t="e">
        <f t="shared" si="3"/>
        <v>#N/A</v>
      </c>
      <c r="AB37" s="1350" t="e">
        <f t="shared" si="4"/>
        <v>#N/A</v>
      </c>
      <c r="AC37" s="1959" t="e">
        <f t="shared" si="5"/>
        <v>#N/A</v>
      </c>
    </row>
    <row r="38" spans="1:29" s="108"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3"/>
      <c r="M38" s="2714"/>
      <c r="N38" s="2714"/>
      <c r="O38" s="2714"/>
      <c r="P38" s="3775"/>
      <c r="Q38" s="1340" t="str">
        <f t="shared" si="11"/>
        <v>写字楼等级</v>
      </c>
      <c r="R38" s="698" t="s">
        <v>14</v>
      </c>
      <c r="S38" s="699">
        <f t="shared" si="12"/>
        <v>100</v>
      </c>
      <c r="T38" s="698" t="s">
        <v>14</v>
      </c>
      <c r="U38" s="699">
        <f t="shared" si="13"/>
        <v>100</v>
      </c>
      <c r="V38" s="698" t="s">
        <v>14</v>
      </c>
      <c r="W38" s="699">
        <f t="shared" si="14"/>
        <v>100</v>
      </c>
      <c r="X38" s="700"/>
      <c r="Y38" s="3714"/>
      <c r="Z38" s="52" t="str">
        <f t="shared" si="15"/>
        <v>写字楼等级</v>
      </c>
      <c r="AA38" s="701">
        <f t="shared" si="3"/>
        <v>1</v>
      </c>
      <c r="AB38" s="701">
        <f t="shared" si="4"/>
        <v>1</v>
      </c>
      <c r="AC38" s="1956">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8"/>
      <c r="M39" s="2712"/>
      <c r="N39" s="2712"/>
      <c r="O39" s="2712"/>
      <c r="P39" s="3775" t="s">
        <v>1696</v>
      </c>
      <c r="Q39" s="1349" t="str">
        <f t="shared" si="11"/>
        <v>物业管理</v>
      </c>
      <c r="R39" s="702" t="s">
        <v>14</v>
      </c>
      <c r="S39" s="703">
        <f t="shared" si="12"/>
        <v>100</v>
      </c>
      <c r="T39" s="702" t="s">
        <v>14</v>
      </c>
      <c r="U39" s="703">
        <f t="shared" si="13"/>
        <v>100</v>
      </c>
      <c r="V39" s="702" t="s">
        <v>14</v>
      </c>
      <c r="W39" s="703">
        <f t="shared" si="14"/>
        <v>100</v>
      </c>
      <c r="X39" s="1352"/>
      <c r="Y39" s="3714" t="s">
        <v>1696</v>
      </c>
      <c r="Z39" s="1353" t="str">
        <f t="shared" si="15"/>
        <v>物业管理</v>
      </c>
      <c r="AA39" s="1350">
        <f t="shared" si="3"/>
        <v>1</v>
      </c>
      <c r="AB39" s="1350">
        <f t="shared" si="4"/>
        <v>1</v>
      </c>
      <c r="AC39" s="1959">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8"/>
      <c r="M40" s="2712"/>
      <c r="N40" s="2712"/>
      <c r="O40" s="2712"/>
      <c r="P40" s="3775"/>
      <c r="Q40" s="1349" t="str">
        <f t="shared" si="11"/>
        <v>市政基础设施</v>
      </c>
      <c r="R40" s="702" t="s">
        <v>14</v>
      </c>
      <c r="S40" s="703">
        <f t="shared" si="12"/>
        <v>100</v>
      </c>
      <c r="T40" s="702" t="s">
        <v>14</v>
      </c>
      <c r="U40" s="703">
        <f t="shared" si="13"/>
        <v>100</v>
      </c>
      <c r="V40" s="702" t="s">
        <v>14</v>
      </c>
      <c r="W40" s="703">
        <f t="shared" si="14"/>
        <v>100</v>
      </c>
      <c r="X40" s="1352"/>
      <c r="Y40" s="3714"/>
      <c r="Z40" s="1353" t="str">
        <f t="shared" si="15"/>
        <v>市政基础设施</v>
      </c>
      <c r="AA40" s="1350">
        <f t="shared" si="3"/>
        <v>1</v>
      </c>
      <c r="AB40" s="1350">
        <f t="shared" si="4"/>
        <v>1</v>
      </c>
      <c r="AC40" s="1959">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8"/>
      <c r="M41" s="2712"/>
      <c r="N41" s="2712"/>
      <c r="O41" s="2712"/>
      <c r="P41" s="3775"/>
      <c r="Q41" s="1349" t="str">
        <f t="shared" si="11"/>
        <v>层高</v>
      </c>
      <c r="R41" s="702" t="s">
        <v>14</v>
      </c>
      <c r="S41" s="703">
        <f t="shared" si="12"/>
        <v>100</v>
      </c>
      <c r="T41" s="702" t="s">
        <v>14</v>
      </c>
      <c r="U41" s="703">
        <f t="shared" si="13"/>
        <v>100</v>
      </c>
      <c r="V41" s="702" t="s">
        <v>14</v>
      </c>
      <c r="W41" s="703">
        <f t="shared" si="14"/>
        <v>100</v>
      </c>
      <c r="X41" s="1352"/>
      <c r="Y41" s="3714"/>
      <c r="Z41" s="1353" t="str">
        <f t="shared" si="15"/>
        <v>层高</v>
      </c>
      <c r="AA41" s="1350">
        <f t="shared" si="3"/>
        <v>1</v>
      </c>
      <c r="AB41" s="1350">
        <f t="shared" si="4"/>
        <v>1</v>
      </c>
      <c r="AC41" s="1959">
        <f t="shared" si="5"/>
        <v>1</v>
      </c>
    </row>
    <row r="42" spans="1:29" s="420" customFormat="1" ht="15">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7"/>
      <c r="M42" s="2719"/>
      <c r="N42" s="2719"/>
      <c r="O42" s="2719"/>
      <c r="P42" s="3775"/>
      <c r="Q42" s="704" t="str">
        <f t="shared" si="11"/>
        <v>单套建筑面积</v>
      </c>
      <c r="R42" s="705" t="s">
        <v>14</v>
      </c>
      <c r="S42" s="706">
        <f t="shared" si="12"/>
        <v>100</v>
      </c>
      <c r="T42" s="705" t="s">
        <v>14</v>
      </c>
      <c r="U42" s="706">
        <f t="shared" si="13"/>
        <v>100</v>
      </c>
      <c r="V42" s="705" t="s">
        <v>14</v>
      </c>
      <c r="W42" s="706">
        <f t="shared" si="14"/>
        <v>100</v>
      </c>
      <c r="X42" s="707"/>
      <c r="Y42" s="3714"/>
      <c r="Z42" s="708" t="str">
        <f t="shared" si="15"/>
        <v>单套建筑面积</v>
      </c>
      <c r="AA42" s="1350">
        <f t="shared" si="3"/>
        <v>1</v>
      </c>
      <c r="AB42" s="1350">
        <f t="shared" si="4"/>
        <v>1</v>
      </c>
      <c r="AC42" s="1959">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8"/>
      <c r="M43" s="2712"/>
      <c r="N43" s="2712"/>
      <c r="O43" s="2712"/>
      <c r="P43" s="3775"/>
      <c r="Q43" s="1349" t="str">
        <f t="shared" si="11"/>
        <v>内部装修</v>
      </c>
      <c r="R43" s="702" t="s">
        <v>14</v>
      </c>
      <c r="S43" s="703">
        <f t="shared" si="12"/>
        <v>100</v>
      </c>
      <c r="T43" s="702" t="s">
        <v>14</v>
      </c>
      <c r="U43" s="703">
        <f t="shared" si="13"/>
        <v>100</v>
      </c>
      <c r="V43" s="702" t="s">
        <v>14</v>
      </c>
      <c r="W43" s="703">
        <f t="shared" si="14"/>
        <v>100</v>
      </c>
      <c r="X43" s="1352"/>
      <c r="Y43" s="3714"/>
      <c r="Z43" s="1353" t="str">
        <f t="shared" si="15"/>
        <v>内部装修</v>
      </c>
      <c r="AA43" s="1350">
        <f t="shared" si="3"/>
        <v>1</v>
      </c>
      <c r="AB43" s="1350">
        <f t="shared" si="4"/>
        <v>1</v>
      </c>
      <c r="AC43" s="1959">
        <f t="shared" si="5"/>
        <v>1</v>
      </c>
    </row>
    <row r="44" spans="1:29" ht="15">
      <c r="A44" s="421"/>
      <c r="B44" s="373" t="s">
        <v>1707</v>
      </c>
      <c r="C44" s="409"/>
      <c r="D44" s="384">
        <v>100</v>
      </c>
      <c r="E44" s="1903"/>
      <c r="F44" s="410">
        <f>SUMIF(125:125,E44,126:126)-SUMIF(125:125,C44,126:126)+100</f>
        <v>100</v>
      </c>
      <c r="G44" s="1903"/>
      <c r="H44" s="384">
        <f>SUMIF(125:125,G44,126:126)-SUMIF(125:125,C44,126:126)+100</f>
        <v>100</v>
      </c>
      <c r="I44" s="1903"/>
      <c r="J44" s="384">
        <f>SUMIF(125:125,I44,126:126)-SUMIF(125:125,C44,126:126)+100</f>
        <v>100</v>
      </c>
      <c r="K44" s="559"/>
      <c r="L44" s="2718"/>
      <c r="M44" s="2712"/>
      <c r="N44" s="2712"/>
      <c r="O44" s="2712"/>
      <c r="P44" s="3775"/>
      <c r="Q44" s="1349" t="str">
        <f t="shared" si="11"/>
        <v>内部装修维护情况</v>
      </c>
      <c r="R44" s="702" t="s">
        <v>14</v>
      </c>
      <c r="S44" s="703">
        <f t="shared" si="12"/>
        <v>100</v>
      </c>
      <c r="T44" s="702" t="s">
        <v>14</v>
      </c>
      <c r="U44" s="703">
        <f t="shared" si="13"/>
        <v>100</v>
      </c>
      <c r="V44" s="702" t="s">
        <v>14</v>
      </c>
      <c r="W44" s="703">
        <f t="shared" si="14"/>
        <v>100</v>
      </c>
      <c r="X44" s="1352"/>
      <c r="Y44" s="3714"/>
      <c r="Z44" s="1353" t="str">
        <f t="shared" si="15"/>
        <v>内部装修维护情况</v>
      </c>
      <c r="AA44" s="1350">
        <f t="shared" si="3"/>
        <v>1</v>
      </c>
      <c r="AB44" s="1350">
        <f t="shared" si="4"/>
        <v>1</v>
      </c>
      <c r="AC44" s="1959">
        <f t="shared" si="5"/>
        <v>1</v>
      </c>
    </row>
    <row r="45" spans="1:29" s="108" customFormat="1" ht="15">
      <c r="A45" s="422"/>
      <c r="B45" s="1130">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3"/>
      <c r="M45" s="2714"/>
      <c r="N45" s="2714"/>
      <c r="O45" s="2714"/>
      <c r="P45" s="3775"/>
      <c r="Q45" s="1340">
        <f t="shared" si="11"/>
        <v>111</v>
      </c>
      <c r="R45" s="698" t="s">
        <v>14</v>
      </c>
      <c r="S45" s="699">
        <f t="shared" si="12"/>
        <v>100</v>
      </c>
      <c r="T45" s="698" t="s">
        <v>14</v>
      </c>
      <c r="U45" s="699">
        <f t="shared" si="13"/>
        <v>100</v>
      </c>
      <c r="V45" s="698" t="s">
        <v>14</v>
      </c>
      <c r="W45" s="699">
        <f t="shared" si="14"/>
        <v>100</v>
      </c>
      <c r="X45" s="700"/>
      <c r="Y45" s="3714"/>
      <c r="Z45" s="52">
        <f t="shared" si="15"/>
        <v>111</v>
      </c>
      <c r="AA45" s="701">
        <f t="shared" si="3"/>
        <v>1</v>
      </c>
      <c r="AB45" s="701">
        <f t="shared" si="4"/>
        <v>1</v>
      </c>
      <c r="AC45" s="1956">
        <f t="shared" si="5"/>
        <v>1</v>
      </c>
    </row>
    <row r="46" spans="1:29" ht="15">
      <c r="A46" s="421"/>
      <c r="B46" s="1130">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8"/>
      <c r="M46" s="2712"/>
      <c r="N46" s="2712"/>
      <c r="O46" s="2712"/>
      <c r="P46" s="3775"/>
      <c r="Q46" s="1349">
        <f t="shared" si="11"/>
        <v>111</v>
      </c>
      <c r="R46" s="702" t="s">
        <v>14</v>
      </c>
      <c r="S46" s="703">
        <f t="shared" si="12"/>
        <v>100</v>
      </c>
      <c r="T46" s="702" t="s">
        <v>14</v>
      </c>
      <c r="U46" s="703">
        <f t="shared" si="13"/>
        <v>100</v>
      </c>
      <c r="V46" s="702" t="s">
        <v>14</v>
      </c>
      <c r="W46" s="703">
        <f t="shared" si="14"/>
        <v>100</v>
      </c>
      <c r="X46" s="1352"/>
      <c r="Y46" s="3714"/>
      <c r="Z46" s="1353">
        <f t="shared" si="15"/>
        <v>111</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8"/>
      <c r="M47" s="2712"/>
      <c r="N47" s="2712"/>
      <c r="O47" s="2712"/>
      <c r="P47" s="3776"/>
      <c r="Q47" s="1349">
        <f t="shared" si="11"/>
        <v>111</v>
      </c>
      <c r="R47" s="702" t="s">
        <v>14</v>
      </c>
      <c r="S47" s="703">
        <f t="shared" si="12"/>
        <v>100</v>
      </c>
      <c r="T47" s="702" t="s">
        <v>14</v>
      </c>
      <c r="U47" s="703">
        <f t="shared" si="13"/>
        <v>100</v>
      </c>
      <c r="V47" s="702" t="s">
        <v>14</v>
      </c>
      <c r="W47" s="703">
        <f t="shared" si="14"/>
        <v>100</v>
      </c>
      <c r="X47" s="1352"/>
      <c r="Y47" s="3715"/>
      <c r="Z47" s="1353">
        <f t="shared" si="15"/>
        <v>111</v>
      </c>
      <c r="AA47" s="1350">
        <f t="shared" si="3"/>
        <v>1</v>
      </c>
      <c r="AB47" s="1350">
        <f t="shared" si="4"/>
        <v>1</v>
      </c>
      <c r="AC47" s="1959">
        <f t="shared" si="5"/>
        <v>1</v>
      </c>
    </row>
    <row r="48" spans="1:29" ht="15">
      <c r="A48" s="428" t="s">
        <v>1708</v>
      </c>
      <c r="B48" s="429"/>
      <c r="C48" s="1151" t="s">
        <v>0</v>
      </c>
      <c r="D48" s="1152"/>
      <c r="E48" s="1153"/>
      <c r="F48" s="1154"/>
      <c r="G48" s="1155"/>
      <c r="H48" s="1156"/>
      <c r="I48" s="1153"/>
      <c r="J48" s="434"/>
      <c r="K48" s="711"/>
      <c r="L48" s="2720"/>
      <c r="M48" s="2712"/>
      <c r="N48" s="2712"/>
      <c r="O48" s="2712"/>
      <c r="P48" s="3779" t="str">
        <f>A48</f>
        <v>成交单价（元/平方米）</v>
      </c>
      <c r="Q48" s="3706"/>
      <c r="R48" s="3707">
        <f>E48</f>
        <v>0</v>
      </c>
      <c r="S48" s="3707"/>
      <c r="T48" s="3707">
        <f>G48</f>
        <v>0</v>
      </c>
      <c r="U48" s="3707"/>
      <c r="V48" s="3707">
        <f>I48</f>
        <v>0</v>
      </c>
      <c r="W48" s="3707"/>
      <c r="X48" s="395"/>
      <c r="Y48" s="709"/>
      <c r="Z48" s="395"/>
      <c r="AA48" s="395"/>
      <c r="AB48" s="395"/>
      <c r="AC48" s="576"/>
    </row>
    <row r="49" spans="1:29" ht="15.75" thickBot="1">
      <c r="A49" s="435" t="s">
        <v>1793</v>
      </c>
      <c r="B49" s="436"/>
      <c r="C49" s="1157" t="e">
        <f>R50</f>
        <v>#DIV/0!</v>
      </c>
      <c r="D49" s="2314" t="s">
        <v>2138</v>
      </c>
      <c r="E49" s="1158" t="e">
        <f>R49</f>
        <v>#DIV/0!</v>
      </c>
      <c r="F49" s="2315"/>
      <c r="G49" s="1157" t="e">
        <f>T49</f>
        <v>#DIV/0!</v>
      </c>
      <c r="H49" s="2315"/>
      <c r="I49" s="1158" t="e">
        <f>V49</f>
        <v>#DIV/0!</v>
      </c>
      <c r="J49" s="2315"/>
      <c r="K49" s="2317">
        <f>F49+H49+J49</f>
        <v>0</v>
      </c>
      <c r="L49" s="2720"/>
      <c r="M49" s="2712"/>
      <c r="N49" s="2712"/>
      <c r="O49" s="2712"/>
      <c r="P49" s="3779"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5"/>
      <c r="Y49" s="395"/>
      <c r="Z49" s="395"/>
      <c r="AA49" s="395"/>
      <c r="AB49" s="395"/>
      <c r="AC49" s="576"/>
    </row>
    <row r="50" spans="1:29" ht="15.75" thickBot="1">
      <c r="A50" s="439" t="s">
        <v>1794</v>
      </c>
      <c r="B50" s="440"/>
      <c r="C50" s="1160" t="e">
        <f>R50</f>
        <v>#DIV/0!</v>
      </c>
      <c r="D50" s="1160"/>
      <c r="E50" s="1160"/>
      <c r="F50" s="1160"/>
      <c r="G50" s="1160"/>
      <c r="H50" s="1160"/>
      <c r="I50" s="1160"/>
      <c r="J50" s="441"/>
      <c r="K50" s="712"/>
      <c r="L50" s="2720"/>
      <c r="M50" s="2712"/>
      <c r="N50" s="2712"/>
      <c r="O50" s="2712"/>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9" customFormat="1" ht="13.5" customHeight="1">
      <c r="A55" s="2724"/>
      <c r="B55" s="2724"/>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9"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5" customFormat="1" ht="15">
      <c r="A59" s="452" t="s">
        <v>1679</v>
      </c>
      <c r="B59" s="453"/>
      <c r="C59" s="1181" t="str">
        <f>YEAR(C7)&amp;"-"&amp;MONTH(C7)</f>
        <v>2023-12</v>
      </c>
      <c r="D59" s="1182">
        <f>EDATE(C59,-1)</f>
        <v>45231</v>
      </c>
      <c r="E59" s="1182">
        <f>EDATE(D59,-1)</f>
        <v>45200</v>
      </c>
      <c r="F59" s="1182">
        <f t="shared" ref="F59:O59" si="16">EDATE(E59,-1)</f>
        <v>45170</v>
      </c>
      <c r="G59" s="1182">
        <f t="shared" si="16"/>
        <v>45139</v>
      </c>
      <c r="H59" s="1182">
        <f t="shared" si="16"/>
        <v>45108</v>
      </c>
      <c r="I59" s="1182">
        <f t="shared" si="16"/>
        <v>45078</v>
      </c>
      <c r="J59" s="1182">
        <f t="shared" si="16"/>
        <v>45047</v>
      </c>
      <c r="K59" s="1182">
        <f t="shared" si="16"/>
        <v>45017</v>
      </c>
      <c r="L59" s="1182">
        <f t="shared" si="16"/>
        <v>44986</v>
      </c>
      <c r="M59" s="1182">
        <f t="shared" si="16"/>
        <v>44958</v>
      </c>
      <c r="N59" s="1182">
        <f t="shared" si="16"/>
        <v>44927</v>
      </c>
      <c r="O59" s="1182">
        <f t="shared" si="16"/>
        <v>44896</v>
      </c>
      <c r="P59" s="2755"/>
      <c r="Q59" s="2737"/>
      <c r="R59" s="2737"/>
      <c r="S59" s="2737"/>
      <c r="T59" s="2737"/>
      <c r="U59" s="2737"/>
      <c r="V59" s="2737"/>
      <c r="W59" s="2737"/>
      <c r="X59" s="2737"/>
      <c r="Y59" s="2737"/>
      <c r="Z59" s="2737"/>
      <c r="AA59" s="2737"/>
      <c r="AB59" s="2737"/>
      <c r="AC59" s="2737"/>
    </row>
    <row r="60" spans="1:29" s="108" customFormat="1" ht="15">
      <c r="A60" s="456"/>
      <c r="B60" s="457"/>
      <c r="C60" s="1180">
        <v>100</v>
      </c>
      <c r="D60" s="459"/>
      <c r="E60" s="459"/>
      <c r="F60" s="459"/>
      <c r="G60" s="459"/>
      <c r="H60" s="459"/>
      <c r="I60" s="459"/>
      <c r="J60" s="459"/>
      <c r="K60" s="459"/>
      <c r="L60" s="459"/>
      <c r="M60" s="460"/>
      <c r="N60" s="459"/>
      <c r="O60" s="460"/>
      <c r="P60" s="2756"/>
      <c r="Q60" s="2658"/>
      <c r="R60" s="2658"/>
      <c r="S60" s="2658"/>
      <c r="T60" s="2658"/>
      <c r="U60" s="2658"/>
      <c r="V60" s="2658"/>
      <c r="W60" s="2658"/>
      <c r="X60" s="2658"/>
      <c r="Y60" s="2658"/>
      <c r="Z60" s="2658"/>
      <c r="AA60" s="2658"/>
      <c r="AB60" s="2658"/>
      <c r="AC60" s="2658"/>
    </row>
    <row r="61" spans="1:29" s="108" customFormat="1" ht="15.75" thickBot="1">
      <c r="A61" s="462" t="s">
        <v>1716</v>
      </c>
      <c r="B61" s="463"/>
      <c r="C61" s="464"/>
      <c r="D61" s="465"/>
      <c r="E61" s="465"/>
      <c r="F61" s="465"/>
      <c r="G61" s="465"/>
      <c r="H61" s="465"/>
      <c r="I61" s="465"/>
      <c r="J61" s="465"/>
      <c r="K61" s="465"/>
      <c r="L61" s="465"/>
      <c r="M61" s="466"/>
      <c r="N61" s="465"/>
      <c r="O61" s="466"/>
      <c r="P61" s="2756"/>
      <c r="Q61" s="2735"/>
      <c r="R61" s="2658"/>
      <c r="S61" s="2658"/>
      <c r="T61" s="2658"/>
      <c r="U61" s="2658"/>
      <c r="V61" s="2658"/>
      <c r="W61" s="2658"/>
      <c r="X61" s="2658"/>
      <c r="Y61" s="2658"/>
      <c r="Z61" s="2658"/>
      <c r="AA61" s="2658"/>
      <c r="AB61" s="2658"/>
      <c r="AC61" s="2658"/>
    </row>
    <row r="62" spans="1:29" s="108" customFormat="1" ht="15">
      <c r="A62" s="468" t="s">
        <v>1681</v>
      </c>
      <c r="B62" s="457"/>
      <c r="C62" s="469" t="s">
        <v>1776</v>
      </c>
      <c r="D62" s="470"/>
      <c r="E62" s="470"/>
      <c r="F62" s="470"/>
      <c r="G62" s="470"/>
      <c r="H62" s="470"/>
      <c r="I62" s="470"/>
      <c r="J62" s="470"/>
      <c r="K62" s="470"/>
      <c r="L62" s="471"/>
      <c r="M62" s="472"/>
      <c r="N62" s="2748"/>
      <c r="O62" s="2748"/>
      <c r="P62" s="2757"/>
      <c r="Q62" s="2735"/>
      <c r="R62" s="2658"/>
      <c r="S62" s="2658"/>
      <c r="T62" s="2658"/>
      <c r="U62" s="2658"/>
      <c r="V62" s="2658"/>
      <c r="W62" s="2658"/>
      <c r="X62" s="2658"/>
      <c r="Y62" s="2658"/>
      <c r="Z62" s="2658"/>
      <c r="AA62" s="2658"/>
      <c r="AB62" s="2658"/>
      <c r="AC62" s="2658"/>
    </row>
    <row r="63" spans="1:29" s="108" customFormat="1" ht="15.75" thickBot="1">
      <c r="A63" s="468"/>
      <c r="B63" s="457"/>
      <c r="C63" s="458">
        <v>100</v>
      </c>
      <c r="D63" s="459"/>
      <c r="E63" s="459"/>
      <c r="F63" s="459"/>
      <c r="G63" s="459"/>
      <c r="H63" s="459"/>
      <c r="I63" s="459"/>
      <c r="J63" s="459"/>
      <c r="K63" s="459"/>
      <c r="L63" s="459"/>
      <c r="M63" s="461"/>
      <c r="N63" s="2748"/>
      <c r="O63" s="2748"/>
      <c r="P63" s="2756"/>
      <c r="Q63" s="2735"/>
      <c r="R63" s="2658"/>
      <c r="S63" s="2658"/>
      <c r="T63" s="2658"/>
      <c r="U63" s="2658"/>
      <c r="V63" s="2658"/>
      <c r="W63" s="2658"/>
      <c r="X63" s="2658"/>
      <c r="Y63" s="2658"/>
      <c r="Z63" s="2658"/>
      <c r="AA63" s="2658"/>
      <c r="AB63" s="2658"/>
      <c r="AC63" s="2658"/>
    </row>
    <row r="64" spans="1:29">
      <c r="A64" s="474" t="s">
        <v>1719</v>
      </c>
      <c r="B64" s="475" t="s">
        <v>1685</v>
      </c>
      <c r="C64" s="476">
        <f>C9</f>
        <v>0</v>
      </c>
      <c r="D64" s="477"/>
      <c r="E64" s="477"/>
      <c r="F64" s="477"/>
      <c r="G64" s="477"/>
      <c r="H64" s="477"/>
      <c r="I64" s="477"/>
      <c r="J64" s="477"/>
      <c r="K64" s="478"/>
      <c r="L64" s="479"/>
      <c r="M64" s="480"/>
      <c r="N64" s="2749"/>
      <c r="O64" s="2749"/>
      <c r="P64" s="2758"/>
      <c r="Q64" s="2735"/>
      <c r="R64" s="2721"/>
      <c r="S64" s="2721"/>
      <c r="T64" s="2721"/>
      <c r="U64" s="2721"/>
      <c r="V64" s="2721"/>
      <c r="W64" s="2721"/>
      <c r="X64" s="2721"/>
      <c r="Y64" s="2721"/>
      <c r="Z64" s="2721"/>
      <c r="AA64" s="2721"/>
      <c r="AB64" s="2721"/>
      <c r="AC64" s="2721"/>
    </row>
    <row r="65" spans="1:29" ht="15.75" thickBot="1">
      <c r="A65" s="481"/>
      <c r="B65" s="482"/>
      <c r="C65" s="483">
        <v>100</v>
      </c>
      <c r="D65" s="483"/>
      <c r="E65" s="483"/>
      <c r="F65" s="483"/>
      <c r="G65" s="483"/>
      <c r="H65" s="483"/>
      <c r="I65" s="483"/>
      <c r="J65" s="483"/>
      <c r="K65" s="483"/>
      <c r="L65" s="483"/>
      <c r="M65" s="484"/>
      <c r="N65" s="2750"/>
      <c r="O65" s="2750"/>
      <c r="P65" s="2758"/>
      <c r="Q65" s="2735"/>
      <c r="R65" s="2721"/>
      <c r="S65" s="2721"/>
      <c r="T65" s="2721"/>
      <c r="U65" s="2721"/>
      <c r="V65" s="2721"/>
      <c r="W65" s="2721"/>
      <c r="X65" s="2721"/>
      <c r="Y65" s="2721"/>
      <c r="Z65" s="2721"/>
      <c r="AA65" s="2721"/>
      <c r="AB65" s="2721"/>
      <c r="AC65" s="2721"/>
    </row>
    <row r="66" spans="1:29" ht="27.75" thickTop="1">
      <c r="A66" s="481"/>
      <c r="B66" s="485" t="s">
        <v>1688</v>
      </c>
      <c r="C66" s="530"/>
      <c r="D66" s="530"/>
      <c r="E66" s="530"/>
      <c r="F66" s="530"/>
      <c r="G66" s="530"/>
      <c r="H66" s="530"/>
      <c r="I66" s="530"/>
      <c r="J66" s="530"/>
      <c r="K66" s="531"/>
      <c r="L66" s="532"/>
      <c r="M66" s="533"/>
      <c r="N66" s="2749"/>
      <c r="O66" s="2749"/>
      <c r="P66" s="2758"/>
      <c r="Q66" s="2735"/>
      <c r="R66" s="2721"/>
      <c r="S66" s="2721"/>
      <c r="T66" s="2721"/>
      <c r="U66" s="2721"/>
      <c r="V66" s="2721"/>
      <c r="W66" s="2721"/>
      <c r="X66" s="2721"/>
      <c r="Y66" s="2721"/>
      <c r="Z66" s="2721"/>
      <c r="AA66" s="2721"/>
      <c r="AB66" s="2721"/>
      <c r="AC66" s="2721"/>
    </row>
    <row r="67" spans="1:29" ht="15.75" thickBot="1">
      <c r="A67" s="481"/>
      <c r="B67" s="490"/>
      <c r="C67" s="483"/>
      <c r="D67" s="483"/>
      <c r="E67" s="483"/>
      <c r="F67" s="483"/>
      <c r="G67" s="483"/>
      <c r="H67" s="483"/>
      <c r="I67" s="483"/>
      <c r="J67" s="483"/>
      <c r="K67" s="483"/>
      <c r="L67" s="483"/>
      <c r="M67" s="484"/>
      <c r="N67" s="2750"/>
      <c r="O67" s="2750"/>
      <c r="P67" s="2758"/>
      <c r="Q67" s="2735"/>
      <c r="R67" s="2721"/>
      <c r="S67" s="2721"/>
      <c r="T67" s="2721"/>
      <c r="U67" s="2721"/>
      <c r="V67" s="2721"/>
      <c r="W67" s="2721"/>
      <c r="X67" s="2721"/>
      <c r="Y67" s="2721"/>
      <c r="Z67" s="2721"/>
      <c r="AA67" s="2721"/>
      <c r="AB67" s="2721"/>
      <c r="AC67" s="2721"/>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1"/>
      <c r="B69" s="495"/>
      <c r="C69" s="496">
        <v>0</v>
      </c>
      <c r="D69" s="496">
        <v>3</v>
      </c>
      <c r="E69" s="496"/>
      <c r="F69" s="496"/>
      <c r="G69" s="496"/>
      <c r="H69" s="496"/>
      <c r="I69" s="496"/>
      <c r="J69" s="496"/>
      <c r="K69" s="497"/>
      <c r="L69" s="498"/>
      <c r="M69" s="499"/>
      <c r="N69" s="2749"/>
      <c r="O69" s="2749"/>
      <c r="P69" s="2758"/>
      <c r="Q69" s="2735"/>
      <c r="R69" s="2721"/>
      <c r="S69" s="2721"/>
      <c r="T69" s="2721"/>
      <c r="U69" s="2721"/>
      <c r="V69" s="2721"/>
      <c r="W69" s="2721"/>
      <c r="X69" s="2721"/>
      <c r="Y69" s="2721"/>
      <c r="Z69" s="2721"/>
      <c r="AA69" s="2721"/>
      <c r="AB69" s="2721"/>
      <c r="AC69" s="2721"/>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0"/>
      <c r="O70" s="2750"/>
      <c r="P70" s="2758"/>
      <c r="Q70" s="2735"/>
      <c r="R70" s="2721"/>
      <c r="S70" s="2721"/>
      <c r="T70" s="2721"/>
      <c r="U70" s="2721"/>
      <c r="V70" s="2721"/>
      <c r="W70" s="2721"/>
      <c r="X70" s="2721"/>
      <c r="Y70" s="2721"/>
      <c r="Z70" s="2721"/>
      <c r="AA70" s="2721"/>
      <c r="AB70" s="2721"/>
      <c r="AC70" s="2721"/>
    </row>
    <row r="71" spans="1:29" s="420" customFormat="1" ht="15.75" thickTop="1">
      <c r="A71" s="500"/>
      <c r="B71" s="485">
        <f>B12</f>
        <v>111</v>
      </c>
      <c r="C71" s="501"/>
      <c r="D71" s="501"/>
      <c r="E71" s="501"/>
      <c r="F71" s="501"/>
      <c r="G71" s="501"/>
      <c r="H71" s="502"/>
      <c r="I71" s="502"/>
      <c r="J71" s="502"/>
      <c r="K71" s="502"/>
      <c r="L71" s="503"/>
      <c r="M71" s="504"/>
      <c r="N71" s="2751"/>
      <c r="O71" s="2751"/>
      <c r="P71" s="2759"/>
      <c r="Q71" s="2742"/>
      <c r="R71" s="2743"/>
      <c r="S71" s="2743"/>
      <c r="T71" s="2743"/>
      <c r="U71" s="2743"/>
      <c r="V71" s="2743"/>
      <c r="W71" s="2743"/>
      <c r="X71" s="2743"/>
      <c r="Y71" s="2743"/>
      <c r="Z71" s="2743"/>
      <c r="AA71" s="2743"/>
      <c r="AB71" s="2743"/>
      <c r="AC71" s="2743"/>
    </row>
    <row r="72" spans="1:29" s="420" customFormat="1" ht="15.75" thickBot="1">
      <c r="A72" s="500"/>
      <c r="B72" s="490"/>
      <c r="C72" s="507"/>
      <c r="D72" s="483"/>
      <c r="E72" s="483"/>
      <c r="F72" s="483"/>
      <c r="G72" s="483"/>
      <c r="H72" s="483"/>
      <c r="I72" s="483"/>
      <c r="J72" s="483"/>
      <c r="K72" s="483"/>
      <c r="L72" s="483"/>
      <c r="M72" s="484"/>
      <c r="N72" s="2750"/>
      <c r="O72" s="2750"/>
      <c r="P72" s="2759"/>
      <c r="Q72" s="2742"/>
      <c r="R72" s="2743"/>
      <c r="S72" s="2743"/>
      <c r="T72" s="2743"/>
      <c r="U72" s="2743"/>
      <c r="V72" s="2743"/>
      <c r="W72" s="2743"/>
      <c r="X72" s="2743"/>
      <c r="Y72" s="2743"/>
      <c r="Z72" s="2743"/>
      <c r="AA72" s="2743"/>
      <c r="AB72" s="2743"/>
      <c r="AC72" s="2743"/>
    </row>
    <row r="73" spans="1:29" s="420" customFormat="1" ht="15.75" thickTop="1">
      <c r="A73" s="500"/>
      <c r="B73" s="485">
        <f>B13</f>
        <v>111</v>
      </c>
      <c r="C73" s="501"/>
      <c r="D73" s="501"/>
      <c r="E73" s="501"/>
      <c r="F73" s="501"/>
      <c r="G73" s="501"/>
      <c r="H73" s="502"/>
      <c r="I73" s="502"/>
      <c r="J73" s="502"/>
      <c r="K73" s="502"/>
      <c r="L73" s="503"/>
      <c r="M73" s="504"/>
      <c r="N73" s="2751"/>
      <c r="O73" s="2751"/>
      <c r="P73" s="2760"/>
      <c r="Q73" s="2745"/>
      <c r="R73" s="2743"/>
      <c r="S73" s="2743"/>
      <c r="T73" s="2743"/>
      <c r="U73" s="2743"/>
      <c r="V73" s="2743"/>
      <c r="W73" s="2743"/>
      <c r="X73" s="2743"/>
      <c r="Y73" s="2743"/>
      <c r="Z73" s="2743"/>
      <c r="AA73" s="2743"/>
      <c r="AB73" s="2743"/>
      <c r="AC73" s="2743"/>
    </row>
    <row r="74" spans="1:29" s="420" customFormat="1" ht="15.75" thickBot="1">
      <c r="A74" s="500"/>
      <c r="B74" s="490"/>
      <c r="C74" s="507"/>
      <c r="D74" s="507"/>
      <c r="E74" s="507"/>
      <c r="F74" s="507"/>
      <c r="G74" s="507"/>
      <c r="H74" s="509"/>
      <c r="I74" s="509"/>
      <c r="J74" s="509"/>
      <c r="K74" s="509"/>
      <c r="L74" s="509"/>
      <c r="M74" s="510"/>
      <c r="N74" s="2751"/>
      <c r="O74" s="2751"/>
      <c r="P74" s="2759"/>
      <c r="Q74" s="2742"/>
      <c r="R74" s="2743"/>
      <c r="S74" s="2743"/>
      <c r="T74" s="2743"/>
      <c r="U74" s="2743"/>
      <c r="V74" s="2743"/>
      <c r="W74" s="2743"/>
      <c r="X74" s="2743"/>
      <c r="Y74" s="2743"/>
      <c r="Z74" s="2743"/>
      <c r="AA74" s="2743"/>
      <c r="AB74" s="2743"/>
      <c r="AC74" s="2743"/>
    </row>
    <row r="75" spans="1:29" s="420" customFormat="1" ht="15.75" thickTop="1">
      <c r="A75" s="500"/>
      <c r="B75" s="493">
        <f>B14</f>
        <v>111</v>
      </c>
      <c r="C75" s="470"/>
      <c r="D75" s="470"/>
      <c r="E75" s="470"/>
      <c r="F75" s="470"/>
      <c r="G75" s="470"/>
      <c r="H75" s="511"/>
      <c r="I75" s="511"/>
      <c r="J75" s="511"/>
      <c r="K75" s="511"/>
      <c r="L75" s="512"/>
      <c r="M75" s="513"/>
      <c r="N75" s="2751"/>
      <c r="O75" s="2751"/>
      <c r="P75" s="2761"/>
      <c r="Q75" s="2742"/>
      <c r="R75" s="2743"/>
      <c r="S75" s="2743"/>
      <c r="T75" s="2743"/>
      <c r="U75" s="2743"/>
      <c r="V75" s="2743"/>
      <c r="W75" s="2743"/>
      <c r="X75" s="2743"/>
      <c r="Y75" s="2743"/>
      <c r="Z75" s="2743"/>
      <c r="AA75" s="2743"/>
      <c r="AB75" s="2743"/>
      <c r="AC75" s="2743"/>
    </row>
    <row r="76" spans="1:29" s="420" customFormat="1" ht="15.75" thickBot="1">
      <c r="A76" s="515"/>
      <c r="B76" s="516"/>
      <c r="C76" s="517"/>
      <c r="D76" s="517"/>
      <c r="E76" s="517"/>
      <c r="F76" s="517"/>
      <c r="G76" s="517"/>
      <c r="H76" s="518"/>
      <c r="I76" s="518"/>
      <c r="J76" s="518"/>
      <c r="K76" s="518"/>
      <c r="L76" s="518"/>
      <c r="M76" s="519"/>
      <c r="N76" s="2751"/>
      <c r="O76" s="2751"/>
      <c r="P76" s="2759"/>
      <c r="Q76" s="2742"/>
      <c r="R76" s="2743"/>
      <c r="S76" s="2743"/>
      <c r="T76" s="2743"/>
      <c r="U76" s="2743"/>
      <c r="V76" s="2743"/>
      <c r="W76" s="2743"/>
      <c r="X76" s="2743"/>
      <c r="Y76" s="2743"/>
      <c r="Z76" s="2743"/>
      <c r="AA76" s="2743"/>
      <c r="AB76" s="2743"/>
      <c r="AC76" s="2743"/>
    </row>
    <row r="77" spans="1:29">
      <c r="A77" s="474" t="s">
        <v>1690</v>
      </c>
      <c r="B77" s="475" t="s">
        <v>1821</v>
      </c>
      <c r="C77" s="520" t="s">
        <v>1721</v>
      </c>
      <c r="D77" s="520" t="s">
        <v>1722</v>
      </c>
      <c r="E77" s="520" t="s">
        <v>1723</v>
      </c>
      <c r="F77" s="520" t="s">
        <v>1724</v>
      </c>
      <c r="G77" s="520" t="s">
        <v>1725</v>
      </c>
      <c r="H77" s="476"/>
      <c r="I77" s="476"/>
      <c r="J77" s="476"/>
      <c r="K77" s="521"/>
      <c r="L77" s="522"/>
      <c r="M77" s="523"/>
      <c r="N77" s="2749"/>
      <c r="O77" s="2749"/>
      <c r="P77" s="2762"/>
      <c r="Q77" s="2735"/>
      <c r="R77" s="2721"/>
      <c r="S77" s="2721"/>
      <c r="T77" s="2721"/>
      <c r="U77" s="2721"/>
      <c r="V77" s="2721"/>
      <c r="W77" s="2721"/>
      <c r="X77" s="2721"/>
      <c r="Y77" s="2721"/>
      <c r="Z77" s="2721"/>
      <c r="AA77" s="2721"/>
      <c r="AB77" s="2721"/>
      <c r="AC77" s="2721"/>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0"/>
      <c r="O78" s="2750"/>
      <c r="P78" s="2758"/>
      <c r="Q78" s="2735"/>
      <c r="R78" s="2721"/>
      <c r="S78" s="2721"/>
      <c r="T78" s="2721"/>
      <c r="U78" s="2721"/>
      <c r="V78" s="2721"/>
      <c r="W78" s="2721"/>
      <c r="X78" s="2721"/>
      <c r="Y78" s="2721"/>
      <c r="Z78" s="2721"/>
      <c r="AA78" s="2721"/>
      <c r="AB78" s="2721"/>
      <c r="AC78" s="2721"/>
    </row>
    <row r="79" spans="1:29" ht="15.75" thickTop="1">
      <c r="A79" s="481"/>
      <c r="B79" s="485" t="s">
        <v>1726</v>
      </c>
      <c r="C79" s="525" t="s">
        <v>1721</v>
      </c>
      <c r="D79" s="525" t="s">
        <v>1722</v>
      </c>
      <c r="E79" s="525" t="s">
        <v>1723</v>
      </c>
      <c r="F79" s="525" t="s">
        <v>1724</v>
      </c>
      <c r="G79" s="525" t="s">
        <v>1725</v>
      </c>
      <c r="H79" s="486"/>
      <c r="I79" s="486"/>
      <c r="J79" s="486"/>
      <c r="K79" s="487"/>
      <c r="L79" s="488"/>
      <c r="M79" s="489"/>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0"/>
      <c r="O80" s="2750"/>
      <c r="P80" s="2758"/>
      <c r="Q80" s="2735"/>
      <c r="R80" s="2721"/>
      <c r="S80" s="2721"/>
      <c r="T80" s="2721"/>
      <c r="U80" s="2721"/>
      <c r="V80" s="2721"/>
      <c r="W80" s="2721"/>
      <c r="X80" s="2721"/>
      <c r="Y80" s="2721"/>
      <c r="Z80" s="2721"/>
      <c r="AA80" s="2721"/>
      <c r="AB80" s="2721"/>
      <c r="AC80" s="2721"/>
    </row>
    <row r="81" spans="1:29" ht="15.75" thickTop="1">
      <c r="A81" s="481"/>
      <c r="B81" s="485" t="s">
        <v>1727</v>
      </c>
      <c r="C81" s="525" t="s">
        <v>1721</v>
      </c>
      <c r="D81" s="525" t="s">
        <v>1722</v>
      </c>
      <c r="E81" s="525" t="s">
        <v>1723</v>
      </c>
      <c r="F81" s="525" t="s">
        <v>1724</v>
      </c>
      <c r="G81" s="525" t="s">
        <v>1725</v>
      </c>
      <c r="H81" s="486"/>
      <c r="I81" s="486"/>
      <c r="J81" s="486"/>
      <c r="K81" s="487"/>
      <c r="L81" s="488"/>
      <c r="M81" s="489"/>
      <c r="N81" s="2749"/>
      <c r="O81" s="2749"/>
      <c r="P81" s="2758"/>
      <c r="Q81" s="2735"/>
      <c r="R81" s="2721"/>
      <c r="S81" s="2721"/>
      <c r="T81" s="2721"/>
      <c r="U81" s="2721"/>
      <c r="V81" s="2721"/>
      <c r="W81" s="2721"/>
      <c r="X81" s="2721"/>
      <c r="Y81" s="2721"/>
      <c r="Z81" s="2721"/>
      <c r="AA81" s="2721"/>
      <c r="AB81" s="2721"/>
      <c r="AC81" s="2721"/>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0"/>
      <c r="O82" s="2750"/>
      <c r="P82" s="2758"/>
      <c r="Q82" s="2735"/>
      <c r="R82" s="2721"/>
      <c r="S82" s="2721"/>
      <c r="T82" s="2721"/>
      <c r="U82" s="2721"/>
      <c r="V82" s="2721"/>
      <c r="W82" s="2721"/>
      <c r="X82" s="2721"/>
      <c r="Y82" s="2721"/>
      <c r="Z82" s="2721"/>
      <c r="AA82" s="2721"/>
      <c r="AB82" s="2721"/>
      <c r="AC82" s="2721"/>
    </row>
    <row r="83" spans="1:29" ht="15.75" thickTop="1">
      <c r="A83" s="481"/>
      <c r="B83" s="493" t="s">
        <v>1813</v>
      </c>
      <c r="C83" s="606" t="s">
        <v>1799</v>
      </c>
      <c r="D83" s="606" t="s">
        <v>1800</v>
      </c>
      <c r="E83" s="606" t="s">
        <v>1801</v>
      </c>
      <c r="F83" s="606" t="s">
        <v>1802</v>
      </c>
      <c r="G83" s="606" t="s">
        <v>1803</v>
      </c>
      <c r="H83" s="486"/>
      <c r="I83" s="486"/>
      <c r="J83" s="486"/>
      <c r="K83" s="486"/>
      <c r="L83" s="486"/>
      <c r="M83" s="1126"/>
      <c r="N83" s="2750"/>
      <c r="O83" s="2750"/>
      <c r="P83" s="2758"/>
      <c r="Q83" s="2735"/>
      <c r="R83" s="2721"/>
      <c r="S83" s="2721"/>
      <c r="T83" s="2721"/>
      <c r="U83" s="2721"/>
      <c r="V83" s="2721"/>
      <c r="W83" s="2721"/>
      <c r="X83" s="2721"/>
      <c r="Y83" s="2721"/>
      <c r="Z83" s="2721"/>
      <c r="AA83" s="2721"/>
      <c r="AB83" s="2721"/>
      <c r="AC83" s="2721"/>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0"/>
      <c r="O84" s="2750"/>
      <c r="P84" s="2758"/>
      <c r="Q84" s="2735"/>
      <c r="R84" s="2721"/>
      <c r="S84" s="2721"/>
      <c r="T84" s="2721"/>
      <c r="U84" s="2721"/>
      <c r="V84" s="2721"/>
      <c r="W84" s="2721"/>
      <c r="X84" s="2721"/>
      <c r="Y84" s="2721"/>
      <c r="Z84" s="2721"/>
      <c r="AA84" s="2721"/>
      <c r="AB84" s="2721"/>
      <c r="AC84" s="2721"/>
    </row>
    <row r="85" spans="1:29" ht="15.75" thickTop="1">
      <c r="A85" s="481"/>
      <c r="B85" s="485" t="s">
        <v>1822</v>
      </c>
      <c r="C85" s="525" t="s">
        <v>1721</v>
      </c>
      <c r="D85" s="525" t="s">
        <v>1722</v>
      </c>
      <c r="E85" s="525" t="s">
        <v>1723</v>
      </c>
      <c r="F85" s="525" t="s">
        <v>1724</v>
      </c>
      <c r="G85" s="525" t="s">
        <v>1725</v>
      </c>
      <c r="H85" s="486"/>
      <c r="I85" s="486"/>
      <c r="J85" s="486"/>
      <c r="K85" s="487"/>
      <c r="L85" s="488"/>
      <c r="M85" s="489"/>
      <c r="N85" s="2749"/>
      <c r="O85" s="2749"/>
      <c r="P85" s="2758"/>
      <c r="Q85" s="2735"/>
      <c r="R85" s="2721"/>
      <c r="S85" s="2721"/>
      <c r="T85" s="2721"/>
      <c r="U85" s="2721"/>
      <c r="V85" s="2721"/>
      <c r="W85" s="2721"/>
      <c r="X85" s="2721"/>
      <c r="Y85" s="2721"/>
      <c r="Z85" s="2721"/>
      <c r="AA85" s="2721"/>
      <c r="AB85" s="2721"/>
      <c r="AC85" s="2721"/>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0"/>
      <c r="O86" s="2750"/>
      <c r="P86" s="2758"/>
      <c r="Q86" s="2735"/>
      <c r="R86" s="2721"/>
      <c r="S86" s="2721"/>
      <c r="T86" s="2721"/>
      <c r="U86" s="2721"/>
      <c r="V86" s="2721"/>
      <c r="W86" s="2721"/>
      <c r="X86" s="2721"/>
      <c r="Y86" s="2721"/>
      <c r="Z86" s="2721"/>
      <c r="AA86" s="2721"/>
      <c r="AB86" s="2721"/>
      <c r="AC86" s="2721"/>
    </row>
    <row r="87" spans="1:29" s="108" customFormat="1" ht="27.75" thickTop="1">
      <c r="A87" s="526"/>
      <c r="B87" s="485" t="s">
        <v>1823</v>
      </c>
      <c r="C87" s="501"/>
      <c r="D87" s="501"/>
      <c r="E87" s="501"/>
      <c r="F87" s="501"/>
      <c r="G87" s="501"/>
      <c r="H87" s="501"/>
      <c r="I87" s="501"/>
      <c r="J87" s="501"/>
      <c r="K87" s="501"/>
      <c r="L87" s="527"/>
      <c r="M87" s="528"/>
      <c r="N87" s="2748"/>
      <c r="O87" s="2748"/>
      <c r="P87" s="2758"/>
      <c r="Q87" s="2735"/>
      <c r="R87" s="2658"/>
      <c r="S87" s="2658"/>
      <c r="T87" s="2658"/>
      <c r="U87" s="2658"/>
      <c r="V87" s="2658"/>
      <c r="W87" s="2658"/>
      <c r="X87" s="2658"/>
      <c r="Y87" s="2658"/>
      <c r="Z87" s="2658"/>
      <c r="AA87" s="2658"/>
      <c r="AB87" s="2658"/>
      <c r="AC87" s="2658"/>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6"/>
      <c r="B89" s="485" t="str">
        <f>B27</f>
        <v>楼层</v>
      </c>
      <c r="C89" s="501"/>
      <c r="D89" s="501"/>
      <c r="E89" s="501"/>
      <c r="F89" s="1924"/>
      <c r="G89" s="501"/>
      <c r="H89" s="501"/>
      <c r="I89" s="501"/>
      <c r="J89" s="501"/>
      <c r="K89" s="501"/>
      <c r="L89" s="501"/>
      <c r="M89" s="528"/>
      <c r="N89" s="2748"/>
      <c r="O89" s="2748"/>
      <c r="P89" s="2758"/>
      <c r="Q89" s="2735"/>
      <c r="R89" s="2658"/>
      <c r="S89" s="2658"/>
      <c r="T89" s="2658"/>
      <c r="U89" s="2658"/>
      <c r="V89" s="2658"/>
      <c r="W89" s="2658"/>
      <c r="X89" s="2658"/>
      <c r="Y89" s="2658"/>
      <c r="Z89" s="2658"/>
      <c r="AA89" s="2658"/>
      <c r="AB89" s="2658"/>
      <c r="AC89" s="2658"/>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0"/>
      <c r="O90" s="2750"/>
      <c r="P90" s="2758"/>
      <c r="Q90" s="2735"/>
      <c r="R90" s="2658"/>
      <c r="S90" s="2658"/>
      <c r="T90" s="2658"/>
      <c r="U90" s="2658"/>
      <c r="V90" s="2658"/>
      <c r="W90" s="2658"/>
      <c r="X90" s="2658"/>
      <c r="Y90" s="2658"/>
      <c r="Z90" s="2658"/>
      <c r="AA90" s="2658"/>
      <c r="AB90" s="2658"/>
      <c r="AC90" s="2658"/>
    </row>
    <row r="91" spans="1:29" s="420" customFormat="1" ht="15.75" thickTop="1">
      <c r="A91" s="500"/>
      <c r="B91" s="485" t="str">
        <f>B28</f>
        <v>朝向</v>
      </c>
      <c r="C91" s="501"/>
      <c r="D91" s="501"/>
      <c r="E91" s="501"/>
      <c r="F91" s="501"/>
      <c r="G91" s="501"/>
      <c r="H91" s="502"/>
      <c r="I91" s="502"/>
      <c r="J91" s="502"/>
      <c r="K91" s="502"/>
      <c r="L91" s="503"/>
      <c r="M91" s="504"/>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1"/>
      <c r="B93" s="485">
        <f>B29</f>
        <v>111</v>
      </c>
      <c r="C93" s="501"/>
      <c r="D93" s="501"/>
      <c r="E93" s="501"/>
      <c r="F93" s="501"/>
      <c r="G93" s="501"/>
      <c r="H93" s="501"/>
      <c r="I93" s="501"/>
      <c r="J93" s="501"/>
      <c r="K93" s="501"/>
      <c r="L93" s="527"/>
      <c r="M93" s="528"/>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507"/>
      <c r="D94" s="483"/>
      <c r="E94" s="483"/>
      <c r="F94" s="483"/>
      <c r="G94" s="483"/>
      <c r="H94" s="483"/>
      <c r="I94" s="483"/>
      <c r="J94" s="483"/>
      <c r="K94" s="483"/>
      <c r="L94" s="483"/>
      <c r="M94" s="484"/>
      <c r="N94" s="2750"/>
      <c r="O94" s="2750"/>
      <c r="P94" s="2758"/>
      <c r="Q94" s="2735"/>
      <c r="R94" s="2721"/>
      <c r="S94" s="2721"/>
      <c r="T94" s="2721"/>
      <c r="U94" s="2721"/>
      <c r="V94" s="2721"/>
      <c r="W94" s="2721"/>
      <c r="X94" s="2721"/>
      <c r="Y94" s="2721"/>
      <c r="Z94" s="2721"/>
      <c r="AA94" s="2721"/>
      <c r="AB94" s="2721"/>
      <c r="AC94" s="2721"/>
    </row>
    <row r="95" spans="1:29" ht="15.75" thickTop="1">
      <c r="A95" s="481"/>
      <c r="B95" s="485">
        <f>B30</f>
        <v>111</v>
      </c>
      <c r="C95" s="501"/>
      <c r="D95" s="501"/>
      <c r="E95" s="501"/>
      <c r="F95" s="501"/>
      <c r="G95" s="530"/>
      <c r="H95" s="530"/>
      <c r="I95" s="530"/>
      <c r="J95" s="530"/>
      <c r="K95" s="531"/>
      <c r="L95" s="532"/>
      <c r="M95" s="533"/>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507"/>
      <c r="D96" s="507"/>
      <c r="E96" s="507"/>
      <c r="F96" s="507"/>
      <c r="G96" s="483"/>
      <c r="H96" s="483"/>
      <c r="I96" s="483"/>
      <c r="J96" s="483"/>
      <c r="K96" s="483"/>
      <c r="L96" s="483"/>
      <c r="M96" s="484"/>
      <c r="N96" s="2750"/>
      <c r="O96" s="2750"/>
      <c r="P96" s="2758"/>
      <c r="Q96" s="2735"/>
      <c r="R96" s="2721"/>
      <c r="S96" s="2721"/>
      <c r="T96" s="2721"/>
      <c r="U96" s="2721"/>
      <c r="V96" s="2721"/>
      <c r="W96" s="2721"/>
      <c r="X96" s="2721"/>
      <c r="Y96" s="2721"/>
      <c r="Z96" s="2721"/>
      <c r="AA96" s="2721"/>
      <c r="AB96" s="2721"/>
      <c r="AC96" s="2721"/>
    </row>
    <row r="97" spans="1:29" ht="15.75" thickTop="1">
      <c r="A97" s="481"/>
      <c r="B97" s="485">
        <f>B31</f>
        <v>111</v>
      </c>
      <c r="C97" s="501"/>
      <c r="D97" s="501"/>
      <c r="E97" s="501"/>
      <c r="F97" s="501"/>
      <c r="G97" s="530"/>
      <c r="H97" s="530"/>
      <c r="I97" s="530"/>
      <c r="J97" s="530"/>
      <c r="K97" s="531"/>
      <c r="L97" s="532"/>
      <c r="M97" s="533"/>
      <c r="N97" s="2749"/>
      <c r="O97" s="2749"/>
      <c r="P97" s="2758"/>
      <c r="Q97" s="2735"/>
      <c r="R97" s="2721"/>
      <c r="S97" s="2721"/>
      <c r="T97" s="2721"/>
      <c r="U97" s="2721"/>
      <c r="V97" s="2721"/>
      <c r="W97" s="2721"/>
      <c r="X97" s="2721"/>
      <c r="Y97" s="2721"/>
      <c r="Z97" s="2721"/>
      <c r="AA97" s="2721"/>
      <c r="AB97" s="2721"/>
      <c r="AC97" s="2721"/>
    </row>
    <row r="98" spans="1:29" ht="15.75" thickBot="1">
      <c r="A98" s="481"/>
      <c r="B98" s="490"/>
      <c r="C98" s="507"/>
      <c r="D98" s="483"/>
      <c r="E98" s="483"/>
      <c r="F98" s="483"/>
      <c r="G98" s="483"/>
      <c r="H98" s="483"/>
      <c r="I98" s="483"/>
      <c r="J98" s="483"/>
      <c r="K98" s="483"/>
      <c r="L98" s="483"/>
      <c r="M98" s="484"/>
      <c r="N98" s="2750"/>
      <c r="O98" s="2750"/>
      <c r="P98" s="2758"/>
      <c r="Q98" s="2735"/>
      <c r="R98" s="2721"/>
      <c r="S98" s="2721"/>
      <c r="T98" s="2721"/>
      <c r="U98" s="2721"/>
      <c r="V98" s="2721"/>
      <c r="W98" s="2721"/>
      <c r="X98" s="2721"/>
      <c r="Y98" s="2721"/>
      <c r="Z98" s="2721"/>
      <c r="AA98" s="2721"/>
      <c r="AB98" s="2721"/>
      <c r="AC98" s="2721"/>
    </row>
    <row r="99" spans="1:29" ht="15.75" thickTop="1">
      <c r="A99" s="481"/>
      <c r="B99" s="493">
        <f>B32</f>
        <v>111</v>
      </c>
      <c r="C99" s="470"/>
      <c r="D99" s="470"/>
      <c r="E99" s="470"/>
      <c r="F99" s="470"/>
      <c r="G99" s="534"/>
      <c r="H99" s="534"/>
      <c r="I99" s="534"/>
      <c r="J99" s="534"/>
      <c r="K99" s="535"/>
      <c r="L99" s="536"/>
      <c r="M99" s="537"/>
      <c r="N99" s="2749"/>
      <c r="O99" s="2749"/>
      <c r="P99" s="2758"/>
      <c r="Q99" s="2735"/>
      <c r="R99" s="2721"/>
      <c r="S99" s="2721"/>
      <c r="T99" s="2721"/>
      <c r="U99" s="2721"/>
      <c r="V99" s="2721"/>
      <c r="W99" s="2721"/>
      <c r="X99" s="2721"/>
      <c r="Y99" s="2721"/>
      <c r="Z99" s="2721"/>
      <c r="AA99" s="2721"/>
      <c r="AB99" s="2721"/>
      <c r="AC99" s="2721"/>
    </row>
    <row r="100" spans="1:29" ht="15.75" thickBot="1">
      <c r="A100" s="1925"/>
      <c r="B100" s="516"/>
      <c r="C100" s="517"/>
      <c r="D100" s="517"/>
      <c r="E100" s="517"/>
      <c r="F100" s="517"/>
      <c r="G100" s="538"/>
      <c r="H100" s="538"/>
      <c r="I100" s="538"/>
      <c r="J100" s="538"/>
      <c r="K100" s="538"/>
      <c r="L100" s="538"/>
      <c r="M100" s="539"/>
      <c r="N100" s="2750"/>
      <c r="O100" s="2750"/>
      <c r="P100" s="2758"/>
      <c r="Q100" s="2735"/>
      <c r="R100" s="2721"/>
      <c r="S100" s="2721"/>
      <c r="T100" s="2721"/>
      <c r="U100" s="2721"/>
      <c r="V100" s="2721"/>
      <c r="W100" s="2721"/>
      <c r="X100" s="2721"/>
      <c r="Y100" s="2721"/>
      <c r="Z100" s="2721"/>
      <c r="AA100" s="2721"/>
      <c r="AB100" s="2721"/>
      <c r="AC100" s="2721"/>
    </row>
    <row r="101" spans="1:29">
      <c r="A101" s="474" t="s">
        <v>1694</v>
      </c>
      <c r="B101" s="475" t="s">
        <v>1736</v>
      </c>
      <c r="C101" s="477"/>
      <c r="D101" s="477"/>
      <c r="E101" s="477"/>
      <c r="F101" s="477"/>
      <c r="G101" s="477"/>
      <c r="H101" s="477"/>
      <c r="I101" s="477"/>
      <c r="J101" s="477"/>
      <c r="K101" s="478"/>
      <c r="L101" s="479"/>
      <c r="M101" s="480"/>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0" customFormat="1">
      <c r="A104" s="540"/>
      <c r="B104" s="541"/>
      <c r="C104" s="542"/>
      <c r="D104" s="542"/>
      <c r="E104" s="542"/>
      <c r="F104" s="542"/>
      <c r="G104" s="542"/>
      <c r="H104" s="542"/>
      <c r="I104" s="542"/>
      <c r="J104" s="543"/>
      <c r="K104" s="543"/>
      <c r="L104" s="544"/>
      <c r="M104" s="545"/>
      <c r="N104" s="2751"/>
      <c r="O104" s="2751"/>
      <c r="P104" s="2759"/>
      <c r="Q104" s="2742"/>
      <c r="R104" s="2743"/>
      <c r="S104" s="2743"/>
      <c r="T104" s="2743"/>
      <c r="U104" s="2743"/>
      <c r="V104" s="2743"/>
      <c r="W104" s="2743"/>
      <c r="X104" s="2743"/>
      <c r="Y104" s="2743"/>
      <c r="Z104" s="2743"/>
      <c r="AA104" s="2743"/>
      <c r="AB104" s="2743"/>
      <c r="AC104" s="2743"/>
    </row>
    <row r="105" spans="1:29" s="420" customFormat="1" ht="15.75" thickBot="1">
      <c r="A105" s="500"/>
      <c r="B105" s="490"/>
      <c r="C105" s="507"/>
      <c r="D105" s="483"/>
      <c r="E105" s="483"/>
      <c r="F105" s="483"/>
      <c r="G105" s="483"/>
      <c r="H105" s="483"/>
      <c r="I105" s="483"/>
      <c r="J105" s="483"/>
      <c r="K105" s="483"/>
      <c r="L105" s="483"/>
      <c r="M105" s="484"/>
      <c r="N105" s="2750"/>
      <c r="O105" s="2750"/>
      <c r="P105" s="2759"/>
      <c r="Q105" s="2742"/>
      <c r="R105" s="2743"/>
      <c r="S105" s="2743"/>
      <c r="T105" s="2743"/>
      <c r="U105" s="2743"/>
      <c r="V105" s="2743"/>
      <c r="W105" s="2743"/>
      <c r="X105" s="2743"/>
      <c r="Y105" s="2743"/>
      <c r="Z105" s="2743"/>
      <c r="AA105" s="2743"/>
      <c r="AB105" s="2743"/>
      <c r="AC105" s="2743"/>
    </row>
    <row r="106" spans="1:29" ht="15" thickTop="1">
      <c r="A106" s="546"/>
      <c r="B106" s="485" t="s">
        <v>1738</v>
      </c>
      <c r="C106" s="501"/>
      <c r="D106" s="501"/>
      <c r="E106" s="530"/>
      <c r="F106" s="530"/>
      <c r="G106" s="530"/>
      <c r="H106" s="530"/>
      <c r="I106" s="530"/>
      <c r="J106" s="530"/>
      <c r="K106" s="531"/>
      <c r="L106" s="532"/>
      <c r="M106" s="533"/>
      <c r="N106" s="2749"/>
      <c r="O106" s="2749"/>
      <c r="P106" s="2758"/>
      <c r="Q106" s="2735"/>
      <c r="R106" s="2721"/>
      <c r="S106" s="2721"/>
      <c r="T106" s="2721"/>
      <c r="U106" s="2721"/>
      <c r="V106" s="2721"/>
      <c r="W106" s="2721"/>
      <c r="X106" s="2721"/>
      <c r="Y106" s="2721"/>
      <c r="Z106" s="2721"/>
      <c r="AA106" s="2721"/>
      <c r="AB106" s="2721"/>
      <c r="AC106" s="2721"/>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6"/>
      <c r="B108" s="485" t="s">
        <v>1740</v>
      </c>
      <c r="C108" s="501"/>
      <c r="D108" s="501"/>
      <c r="E108" s="501"/>
      <c r="F108" s="530"/>
      <c r="G108" s="530"/>
      <c r="H108" s="530"/>
      <c r="I108" s="530"/>
      <c r="J108" s="530"/>
      <c r="K108" s="531"/>
      <c r="L108" s="532"/>
      <c r="M108" s="533"/>
      <c r="N108" s="2749"/>
      <c r="O108" s="2749"/>
      <c r="P108" s="2758"/>
      <c r="Q108" s="2735"/>
      <c r="R108" s="2721"/>
      <c r="S108" s="2721"/>
      <c r="T108" s="2721"/>
      <c r="U108" s="2721"/>
      <c r="V108" s="2721"/>
      <c r="W108" s="2721"/>
      <c r="X108" s="2721"/>
      <c r="Y108" s="2721"/>
      <c r="Z108" s="2721"/>
      <c r="AA108" s="2721"/>
      <c r="AB108" s="2721"/>
      <c r="AC108" s="2721"/>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9"/>
      <c r="O110" s="2749"/>
      <c r="P110" s="2758"/>
      <c r="Q110" s="2735"/>
      <c r="R110" s="2721"/>
      <c r="S110" s="2721"/>
      <c r="T110" s="2721"/>
      <c r="U110" s="2721"/>
      <c r="V110" s="2721"/>
      <c r="W110" s="2721"/>
      <c r="X110" s="2721"/>
      <c r="Y110" s="2721"/>
      <c r="Z110" s="2721"/>
      <c r="AA110" s="2721"/>
      <c r="AB110" s="2721"/>
      <c r="AC110" s="2721"/>
    </row>
    <row r="111" spans="1:29">
      <c r="A111" s="546"/>
      <c r="B111" s="493"/>
      <c r="C111" s="550">
        <v>0.5</v>
      </c>
      <c r="D111" s="550">
        <v>0.6</v>
      </c>
      <c r="E111" s="550">
        <v>0.7</v>
      </c>
      <c r="F111" s="550">
        <v>0.8</v>
      </c>
      <c r="G111" s="550">
        <v>0.9</v>
      </c>
      <c r="H111" s="550">
        <v>1.0001</v>
      </c>
      <c r="I111" s="569"/>
      <c r="J111" s="569"/>
      <c r="K111" s="570"/>
      <c r="L111" s="571"/>
      <c r="M111" s="572"/>
      <c r="N111" s="2749"/>
      <c r="O111" s="2749"/>
      <c r="P111" s="2758"/>
      <c r="Q111" s="2735"/>
      <c r="R111" s="2721"/>
      <c r="S111" s="2721"/>
      <c r="T111" s="2721"/>
      <c r="U111" s="2721"/>
      <c r="V111" s="2721"/>
      <c r="W111" s="2721"/>
      <c r="X111" s="2721"/>
      <c r="Y111" s="2721"/>
      <c r="Z111" s="2721"/>
      <c r="AA111" s="2721"/>
      <c r="AB111" s="2721"/>
      <c r="AC111" s="2721"/>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0"/>
      <c r="O112" s="2750"/>
      <c r="P112" s="2758"/>
      <c r="Q112" s="2735"/>
      <c r="R112" s="2721"/>
      <c r="S112" s="2721"/>
      <c r="T112" s="2721"/>
      <c r="U112" s="2721"/>
      <c r="V112" s="2721"/>
      <c r="W112" s="2721"/>
      <c r="X112" s="2721"/>
      <c r="Y112" s="2721"/>
      <c r="Z112" s="2721"/>
      <c r="AA112" s="2721"/>
      <c r="AB112" s="2721"/>
      <c r="AC112" s="2721"/>
    </row>
    <row r="113" spans="1:29" s="420" customFormat="1" ht="15" thickTop="1">
      <c r="A113" s="540"/>
      <c r="B113" s="485" t="s">
        <v>1824</v>
      </c>
      <c r="C113" s="501"/>
      <c r="D113" s="501"/>
      <c r="E113" s="501"/>
      <c r="F113" s="501"/>
      <c r="G113" s="501"/>
      <c r="H113" s="530"/>
      <c r="I113" s="530"/>
      <c r="J113" s="530"/>
      <c r="K113" s="531"/>
      <c r="L113" s="532"/>
      <c r="M113" s="533"/>
      <c r="N113" s="2751"/>
      <c r="O113" s="2751"/>
      <c r="P113" s="2759"/>
      <c r="Q113" s="2742"/>
      <c r="R113" s="2743"/>
      <c r="S113" s="2743"/>
      <c r="T113" s="2743"/>
      <c r="U113" s="2743"/>
      <c r="V113" s="2743"/>
      <c r="W113" s="2743"/>
      <c r="X113" s="2743"/>
      <c r="Y113" s="2743"/>
      <c r="Z113" s="2743"/>
      <c r="AA113" s="2743"/>
      <c r="AB113" s="2743"/>
      <c r="AC113" s="2743"/>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6"/>
      <c r="B115" s="485" t="s">
        <v>1741</v>
      </c>
      <c r="C115" s="501"/>
      <c r="D115" s="501"/>
      <c r="E115" s="530"/>
      <c r="F115" s="530"/>
      <c r="G115" s="530"/>
      <c r="H115" s="530"/>
      <c r="I115" s="530"/>
      <c r="J115" s="530"/>
      <c r="K115" s="531"/>
      <c r="L115" s="532"/>
      <c r="M115" s="533"/>
      <c r="N115" s="2749"/>
      <c r="O115" s="2749"/>
      <c r="P115" s="2758"/>
      <c r="Q115" s="2735"/>
      <c r="R115" s="2721"/>
      <c r="S115" s="2721"/>
      <c r="T115" s="2721"/>
      <c r="U115" s="2721"/>
      <c r="V115" s="2721"/>
      <c r="W115" s="2721"/>
      <c r="X115" s="2721"/>
      <c r="Y115" s="2721"/>
      <c r="Z115" s="2721"/>
      <c r="AA115" s="2721"/>
      <c r="AB115" s="2721"/>
      <c r="AC115" s="2721"/>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6"/>
      <c r="B117" s="485" t="s">
        <v>1742</v>
      </c>
      <c r="C117" s="501"/>
      <c r="D117" s="501"/>
      <c r="E117" s="501"/>
      <c r="F117" s="501"/>
      <c r="G117" s="501"/>
      <c r="H117" s="530"/>
      <c r="I117" s="530"/>
      <c r="J117" s="530"/>
      <c r="K117" s="531"/>
      <c r="L117" s="532"/>
      <c r="M117" s="533"/>
      <c r="N117" s="2749"/>
      <c r="O117" s="2749"/>
      <c r="P117" s="2758"/>
      <c r="Q117" s="2735"/>
      <c r="R117" s="2721"/>
      <c r="S117" s="2721"/>
      <c r="T117" s="2721"/>
      <c r="U117" s="2721"/>
      <c r="V117" s="2721"/>
      <c r="W117" s="2721"/>
      <c r="X117" s="2721"/>
      <c r="Y117" s="2721"/>
      <c r="Z117" s="2721"/>
      <c r="AA117" s="2721"/>
      <c r="AB117" s="2721"/>
      <c r="AC117" s="2721"/>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0"/>
      <c r="O118" s="2750"/>
      <c r="P118" s="2758"/>
      <c r="Q118" s="2735"/>
      <c r="R118" s="2721"/>
      <c r="S118" s="2721"/>
      <c r="T118" s="2721"/>
      <c r="U118" s="2721"/>
      <c r="V118" s="2721"/>
      <c r="W118" s="2721"/>
      <c r="X118" s="2721"/>
      <c r="Y118" s="2721"/>
      <c r="Z118" s="2721"/>
      <c r="AA118" s="2721"/>
      <c r="AB118" s="2721"/>
      <c r="AC118" s="2721"/>
    </row>
    <row r="119" spans="1:29" ht="15" thickTop="1">
      <c r="A119" s="546"/>
      <c r="B119" s="582" t="s">
        <v>1825</v>
      </c>
      <c r="C119" s="530"/>
      <c r="D119" s="530"/>
      <c r="E119" s="530"/>
      <c r="F119" s="530"/>
      <c r="G119" s="530"/>
      <c r="H119" s="530"/>
      <c r="I119" s="530"/>
      <c r="J119" s="530"/>
      <c r="K119" s="530"/>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0"/>
      <c r="O120" s="2750"/>
      <c r="P120" s="2758"/>
      <c r="Q120" s="2735"/>
      <c r="R120" s="2721"/>
      <c r="S120" s="2721"/>
      <c r="T120" s="2721"/>
      <c r="U120" s="2721"/>
      <c r="V120" s="2721"/>
      <c r="W120" s="2721"/>
      <c r="X120" s="2721"/>
      <c r="Y120" s="2721"/>
      <c r="Z120" s="2721"/>
      <c r="AA120" s="2721"/>
      <c r="AB120" s="2721"/>
      <c r="AC120" s="2721"/>
    </row>
    <row r="121" spans="1:29" s="420" customFormat="1" ht="15" thickTop="1">
      <c r="A121" s="540"/>
      <c r="B121" s="485" t="s">
        <v>1808</v>
      </c>
      <c r="C121" s="501"/>
      <c r="D121" s="501"/>
      <c r="E121" s="501"/>
      <c r="F121" s="530"/>
      <c r="G121" s="502"/>
      <c r="H121" s="502"/>
      <c r="I121" s="502"/>
      <c r="J121" s="502"/>
      <c r="K121" s="502"/>
      <c r="L121" s="503"/>
      <c r="M121" s="504"/>
      <c r="N121" s="2751"/>
      <c r="O121" s="2751"/>
      <c r="P121" s="2759"/>
      <c r="Q121" s="2742"/>
      <c r="R121" s="2743"/>
      <c r="S121" s="2743"/>
      <c r="T121" s="2743"/>
      <c r="U121" s="2743"/>
      <c r="V121" s="2743"/>
      <c r="W121" s="2743"/>
      <c r="X121" s="2743"/>
      <c r="Y121" s="2743"/>
      <c r="Z121" s="2743"/>
      <c r="AA121" s="2743"/>
      <c r="AB121" s="2743"/>
      <c r="AC121" s="2743"/>
    </row>
    <row r="122" spans="1:29" s="420" customFormat="1" ht="15.75" thickBot="1">
      <c r="A122" s="500"/>
      <c r="B122" s="482"/>
      <c r="C122" s="507"/>
      <c r="D122" s="507"/>
      <c r="E122" s="507"/>
      <c r="F122" s="507"/>
      <c r="G122" s="507"/>
      <c r="H122" s="507"/>
      <c r="I122" s="507"/>
      <c r="J122" s="507"/>
      <c r="K122" s="507"/>
      <c r="L122" s="507"/>
      <c r="M122" s="507"/>
      <c r="N122" s="2751"/>
      <c r="O122" s="2751"/>
      <c r="P122" s="2759"/>
      <c r="Q122" s="2742"/>
      <c r="R122" s="2743"/>
      <c r="S122" s="2743"/>
      <c r="T122" s="2743"/>
      <c r="U122" s="2743"/>
      <c r="V122" s="2743"/>
      <c r="W122" s="2743"/>
      <c r="X122" s="2743"/>
      <c r="Y122" s="2743"/>
      <c r="Z122" s="2743"/>
      <c r="AA122" s="2743"/>
      <c r="AB122" s="2743"/>
      <c r="AC122" s="2743"/>
    </row>
    <row r="123" spans="1:29" ht="15" thickTop="1">
      <c r="A123" s="546"/>
      <c r="B123" s="485" t="s">
        <v>1744</v>
      </c>
      <c r="C123" s="501"/>
      <c r="D123" s="501"/>
      <c r="E123" s="501"/>
      <c r="F123" s="530"/>
      <c r="G123" s="530"/>
      <c r="H123" s="530"/>
      <c r="I123" s="530"/>
      <c r="J123" s="530"/>
      <c r="K123" s="531"/>
      <c r="L123" s="532"/>
      <c r="M123" s="533"/>
      <c r="N123" s="2749"/>
      <c r="O123" s="2749"/>
      <c r="P123" s="2758"/>
      <c r="Q123" s="2735"/>
      <c r="R123" s="2721"/>
      <c r="S123" s="2721"/>
      <c r="T123" s="2721"/>
      <c r="U123" s="2721"/>
      <c r="V123" s="2721"/>
      <c r="W123" s="2721"/>
      <c r="X123" s="2721"/>
      <c r="Y123" s="2721"/>
      <c r="Z123" s="2721"/>
      <c r="AA123" s="2721"/>
      <c r="AB123" s="2721"/>
      <c r="AC123" s="2721"/>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9"/>
      <c r="O125" s="2749"/>
      <c r="P125" s="2759"/>
      <c r="Q125" s="2735"/>
      <c r="R125" s="2721"/>
      <c r="S125" s="2721"/>
      <c r="T125" s="2721"/>
      <c r="U125" s="2721"/>
      <c r="V125" s="2721"/>
      <c r="W125" s="2721"/>
      <c r="X125" s="2721"/>
      <c r="Y125" s="2721"/>
      <c r="Z125" s="2721"/>
      <c r="AA125" s="2721"/>
      <c r="AB125" s="2721"/>
      <c r="AC125" s="2721"/>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0"/>
      <c r="O126" s="2750"/>
      <c r="P126" s="2758"/>
      <c r="Q126" s="2735"/>
      <c r="R126" s="2721"/>
      <c r="S126" s="2721"/>
      <c r="T126" s="2721"/>
      <c r="U126" s="2721"/>
      <c r="V126" s="2721"/>
      <c r="W126" s="2721"/>
      <c r="X126" s="2721"/>
      <c r="Y126" s="2721"/>
      <c r="Z126" s="2721"/>
      <c r="AA126" s="2721"/>
      <c r="AB126" s="2721"/>
      <c r="AC126" s="2721"/>
    </row>
    <row r="127" spans="1:29" s="420" customFormat="1" ht="15" thickTop="1">
      <c r="A127" s="540"/>
      <c r="B127" s="485">
        <f>B45</f>
        <v>111</v>
      </c>
      <c r="C127" s="501"/>
      <c r="D127" s="501"/>
      <c r="E127" s="501"/>
      <c r="F127" s="501"/>
      <c r="G127" s="501"/>
      <c r="H127" s="502"/>
      <c r="I127" s="502"/>
      <c r="J127" s="502"/>
      <c r="K127" s="502"/>
      <c r="L127" s="503"/>
      <c r="M127" s="504"/>
      <c r="N127" s="2751"/>
      <c r="O127" s="2751"/>
      <c r="P127" s="2759"/>
      <c r="Q127" s="2742"/>
      <c r="R127" s="2743"/>
      <c r="S127" s="2743"/>
      <c r="T127" s="2743"/>
      <c r="U127" s="2743"/>
      <c r="V127" s="2743"/>
      <c r="W127" s="2743"/>
      <c r="X127" s="2743"/>
      <c r="Y127" s="2743"/>
      <c r="Z127" s="2743"/>
      <c r="AA127" s="2743"/>
      <c r="AB127" s="2743"/>
      <c r="AC127" s="2743"/>
    </row>
    <row r="128" spans="1:29" s="420" customFormat="1" ht="15.75" thickBot="1">
      <c r="A128" s="500"/>
      <c r="B128" s="490"/>
      <c r="C128" s="507"/>
      <c r="D128" s="483"/>
      <c r="E128" s="483"/>
      <c r="F128" s="483"/>
      <c r="G128" s="507"/>
      <c r="H128" s="509"/>
      <c r="I128" s="509"/>
      <c r="J128" s="509"/>
      <c r="K128" s="509"/>
      <c r="L128" s="509"/>
      <c r="M128" s="510"/>
      <c r="N128" s="2751"/>
      <c r="O128" s="2751"/>
      <c r="P128" s="2759"/>
      <c r="Q128" s="2742"/>
      <c r="R128" s="2743"/>
      <c r="S128" s="2743"/>
      <c r="T128" s="2743"/>
      <c r="U128" s="2743"/>
      <c r="V128" s="2743"/>
      <c r="W128" s="2743"/>
      <c r="X128" s="2743"/>
      <c r="Y128" s="2743"/>
      <c r="Z128" s="2743"/>
      <c r="AA128" s="2743"/>
      <c r="AB128" s="2743"/>
      <c r="AC128" s="2743"/>
    </row>
    <row r="129" spans="1:29" ht="15" thickTop="1">
      <c r="A129" s="546"/>
      <c r="B129" s="485">
        <f>B46</f>
        <v>111</v>
      </c>
      <c r="C129" s="501"/>
      <c r="D129" s="501"/>
      <c r="E129" s="501"/>
      <c r="F129" s="501"/>
      <c r="G129" s="530"/>
      <c r="H129" s="530"/>
      <c r="I129" s="530"/>
      <c r="J129" s="530"/>
      <c r="K129" s="531"/>
      <c r="L129" s="532"/>
      <c r="M129" s="533"/>
      <c r="N129" s="2749"/>
      <c r="O129" s="2749"/>
      <c r="P129" s="2758"/>
      <c r="Q129" s="2735"/>
      <c r="R129" s="2721"/>
      <c r="S129" s="2721"/>
      <c r="T129" s="2721"/>
      <c r="U129" s="2721"/>
      <c r="V129" s="2721"/>
      <c r="W129" s="2721"/>
      <c r="X129" s="2721"/>
      <c r="Y129" s="2721"/>
      <c r="Z129" s="2721"/>
      <c r="AA129" s="2721"/>
      <c r="AB129" s="2721"/>
      <c r="AC129" s="2721"/>
    </row>
    <row r="130" spans="1:29" ht="15.75" thickBot="1">
      <c r="A130" s="481"/>
      <c r="B130" s="490"/>
      <c r="C130" s="507"/>
      <c r="D130" s="507"/>
      <c r="E130" s="507"/>
      <c r="F130" s="507"/>
      <c r="G130" s="483"/>
      <c r="H130" s="483"/>
      <c r="I130" s="483"/>
      <c r="J130" s="483"/>
      <c r="K130" s="483"/>
      <c r="L130" s="483"/>
      <c r="M130" s="484"/>
      <c r="N130" s="2750"/>
      <c r="O130" s="2750"/>
      <c r="P130" s="2758"/>
      <c r="Q130" s="2735"/>
      <c r="R130" s="2721"/>
      <c r="S130" s="2721"/>
      <c r="T130" s="2721"/>
      <c r="U130" s="2721"/>
      <c r="V130" s="2721"/>
      <c r="W130" s="2721"/>
      <c r="X130" s="2721"/>
      <c r="Y130" s="2721"/>
      <c r="Z130" s="2721"/>
      <c r="AA130" s="2721"/>
      <c r="AB130" s="2721"/>
      <c r="AC130" s="2721"/>
    </row>
    <row r="131" spans="1:29" ht="15" thickTop="1">
      <c r="A131" s="546"/>
      <c r="B131" s="493">
        <f>B47</f>
        <v>111</v>
      </c>
      <c r="C131" s="470"/>
      <c r="D131" s="470"/>
      <c r="E131" s="470"/>
      <c r="F131" s="470"/>
      <c r="G131" s="534"/>
      <c r="H131" s="534"/>
      <c r="I131" s="534"/>
      <c r="J131" s="534"/>
      <c r="K131" s="470"/>
      <c r="L131" s="471"/>
      <c r="M131" s="537"/>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6"/>
      <c r="C132" s="517"/>
      <c r="D132" s="517"/>
      <c r="E132" s="517"/>
      <c r="F132" s="517"/>
      <c r="G132" s="538"/>
      <c r="H132" s="538"/>
      <c r="I132" s="538"/>
      <c r="J132" s="538"/>
      <c r="K132" s="538"/>
      <c r="L132" s="538"/>
      <c r="M132" s="539"/>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受贵公司委托，我公司对北京市朝阳区望京东路4号院1号楼房地产抵押价值进行了预评估。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估价对象为北京市朝阳区望京东路4号院1号楼房地产，为所有。根据《国有土地使用证》[]，估价对象（分摊）出让国有建设用地使用权面积为0平方米，建筑面积为55858.87平方米。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开发建设的，该项目尚在开发建设中。根据《国有土地使用证》[]，估价对象（分摊）出让国有建设用地使用权面积为0平方米，规划建筑面积为55858.87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2023年12月12日（评估专业人员实地查勘之日）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3337</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17"/>
      <c r="AC5" s="3717"/>
    </row>
    <row r="6" spans="1:29" ht="15.75" thickBot="1">
      <c r="A6" s="358"/>
      <c r="B6" s="359"/>
      <c r="C6" s="3736" t="s">
        <v>1677</v>
      </c>
      <c r="D6" s="3737"/>
      <c r="E6" s="3744" t="s">
        <v>1677</v>
      </c>
      <c r="F6" s="3745"/>
      <c r="G6" s="3736" t="s">
        <v>1677</v>
      </c>
      <c r="H6" s="3737"/>
      <c r="I6" s="3736" t="s">
        <v>1677</v>
      </c>
      <c r="J6" s="3737"/>
      <c r="K6" s="557" t="s">
        <v>1678</v>
      </c>
      <c r="L6" s="2711"/>
      <c r="M6" s="2712"/>
      <c r="N6" s="2712"/>
      <c r="O6" s="2712"/>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64"/>
      <c r="F7" s="365">
        <f>SUMIF(48:48,YEAR(E7)&amp;"-"&amp;MONTH(E7),49:49)</f>
        <v>0</v>
      </c>
      <c r="G7" s="364"/>
      <c r="H7" s="363">
        <f>SUMIF(48:48,YEAR(G7)&amp;"-"&amp;MONTH(G7),49:49)</f>
        <v>0</v>
      </c>
      <c r="I7" s="364"/>
      <c r="J7" s="363">
        <f>SUMIF(48:48,YEAR(I7)&amp;"-"&amp;MONTH(I7),49:49)</f>
        <v>0</v>
      </c>
      <c r="K7" s="558"/>
      <c r="L7" s="2713"/>
      <c r="M7" s="2714"/>
      <c r="N7" s="2714"/>
      <c r="O7" s="2714"/>
      <c r="P7" s="3740" t="s">
        <v>1680</v>
      </c>
      <c r="Q7" s="3742"/>
      <c r="R7" s="698" t="s">
        <v>14</v>
      </c>
      <c r="S7" s="699">
        <f t="shared" ref="S7:S14" si="0">F7</f>
        <v>0</v>
      </c>
      <c r="T7" s="698" t="s">
        <v>14</v>
      </c>
      <c r="U7" s="699">
        <f t="shared" ref="U7:U14" si="1">H7</f>
        <v>0</v>
      </c>
      <c r="V7" s="698" t="s">
        <v>14</v>
      </c>
      <c r="W7" s="699">
        <f t="shared" ref="W7:W14" si="2">J7</f>
        <v>0</v>
      </c>
      <c r="X7" s="700"/>
      <c r="Y7" s="3740" t="s">
        <v>1680</v>
      </c>
      <c r="Z7" s="3741"/>
      <c r="AA7" s="701" t="e">
        <f>D7/F7</f>
        <v>#DIV/0!</v>
      </c>
      <c r="AB7" s="701" t="e">
        <f>D7/H7</f>
        <v>#DIV/0!</v>
      </c>
      <c r="AC7" s="701" t="e">
        <f>D7/J7</f>
        <v>#DIV/0!</v>
      </c>
    </row>
    <row r="8" spans="1:29" s="108"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3"/>
      <c r="M8" s="2714"/>
      <c r="N8" s="2714"/>
      <c r="O8" s="2714"/>
      <c r="P8" s="3740" t="s">
        <v>1683</v>
      </c>
      <c r="Q8" s="3741"/>
      <c r="R8" s="698" t="s">
        <v>14</v>
      </c>
      <c r="S8" s="699">
        <f t="shared" si="0"/>
        <v>100</v>
      </c>
      <c r="T8" s="698" t="s">
        <v>14</v>
      </c>
      <c r="U8" s="699">
        <f t="shared" si="1"/>
        <v>100</v>
      </c>
      <c r="V8" s="698" t="s">
        <v>14</v>
      </c>
      <c r="W8" s="699">
        <f t="shared" si="2"/>
        <v>100</v>
      </c>
      <c r="X8" s="700"/>
      <c r="Y8" s="3740" t="s">
        <v>1683</v>
      </c>
      <c r="Z8" s="3741"/>
      <c r="AA8" s="701">
        <f t="shared" ref="AA8:AA36" si="3">D8/F8</f>
        <v>1</v>
      </c>
      <c r="AB8" s="701">
        <f t="shared" ref="AB8:AB36" si="4">D8/H8</f>
        <v>1</v>
      </c>
      <c r="AC8" s="701">
        <f t="shared" ref="AC8:AC36" si="5">D8/J8</f>
        <v>1</v>
      </c>
    </row>
    <row r="9" spans="1:29" s="108"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3"/>
      <c r="M9" s="2714"/>
      <c r="N9" s="2714"/>
      <c r="O9" s="2714"/>
      <c r="P9" s="3706" t="s">
        <v>1686</v>
      </c>
      <c r="Q9" s="1340" t="str">
        <f t="shared" ref="Q9:Q14" si="6">B9</f>
        <v>用途</v>
      </c>
      <c r="R9" s="698" t="s">
        <v>14</v>
      </c>
      <c r="S9" s="699">
        <f t="shared" si="0"/>
        <v>100</v>
      </c>
      <c r="T9" s="698" t="s">
        <v>14</v>
      </c>
      <c r="U9" s="699">
        <f t="shared" si="1"/>
        <v>100</v>
      </c>
      <c r="V9" s="698" t="s">
        <v>14</v>
      </c>
      <c r="W9" s="699">
        <f t="shared" si="2"/>
        <v>100</v>
      </c>
      <c r="X9" s="700"/>
      <c r="Y9" s="3610" t="s">
        <v>1687</v>
      </c>
      <c r="Z9" s="52" t="str">
        <f t="shared" ref="Z9:Z14" si="7">Q9</f>
        <v>用途</v>
      </c>
      <c r="AA9" s="701">
        <f t="shared" si="3"/>
        <v>1</v>
      </c>
      <c r="AB9" s="701">
        <f t="shared" si="4"/>
        <v>1</v>
      </c>
      <c r="AC9" s="701">
        <f t="shared" si="5"/>
        <v>1</v>
      </c>
    </row>
    <row r="10" spans="1:29" s="376" customFormat="1" ht="27">
      <c r="A10" s="587"/>
      <c r="B10" s="588" t="s">
        <v>1688</v>
      </c>
      <c r="C10" s="3430"/>
      <c r="D10" s="125">
        <v>100</v>
      </c>
      <c r="E10" s="3430"/>
      <c r="F10" s="125">
        <f>SUMIF(55:55,E10,56:56)-SUMIF(55:55,C10,56:56)+100</f>
        <v>100</v>
      </c>
      <c r="G10" s="3431"/>
      <c r="H10" s="125">
        <f>SUMIF(55:55,G10,56:56)-SUMIF(55:55,C10,56:56)+100</f>
        <v>100</v>
      </c>
      <c r="I10" s="3430"/>
      <c r="J10" s="125">
        <f>SUMIF(55:55,I10,56:56)-SUMIF(55:55,C10,56:56)+100</f>
        <v>100</v>
      </c>
      <c r="K10" s="558"/>
      <c r="L10" s="2715"/>
      <c r="M10" s="2716"/>
      <c r="N10" s="2716"/>
      <c r="O10" s="2716"/>
      <c r="P10" s="3706"/>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7"/>
      <c r="M11" s="2712"/>
      <c r="N11" s="2712"/>
      <c r="O11" s="2712"/>
      <c r="P11" s="3706"/>
      <c r="Q11" s="1340">
        <f t="shared" si="6"/>
        <v>111</v>
      </c>
      <c r="R11" s="698" t="s">
        <v>14</v>
      </c>
      <c r="S11" s="699">
        <f t="shared" si="0"/>
        <v>100</v>
      </c>
      <c r="T11" s="698" t="s">
        <v>14</v>
      </c>
      <c r="U11" s="699">
        <f t="shared" si="1"/>
        <v>100</v>
      </c>
      <c r="V11" s="698" t="s">
        <v>14</v>
      </c>
      <c r="W11" s="699">
        <f t="shared" si="2"/>
        <v>100</v>
      </c>
      <c r="X11" s="700"/>
      <c r="Y11" s="3610"/>
      <c r="Z11" s="52">
        <f t="shared" si="7"/>
        <v>111</v>
      </c>
      <c r="AA11" s="701">
        <f t="shared" si="3"/>
        <v>1</v>
      </c>
      <c r="AB11" s="701">
        <f t="shared" si="4"/>
        <v>1</v>
      </c>
      <c r="AC11" s="701">
        <f t="shared" si="5"/>
        <v>1</v>
      </c>
    </row>
    <row r="12" spans="1:29" s="108"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3"/>
      <c r="M12" s="2714"/>
      <c r="N12" s="2714"/>
      <c r="O12" s="2714"/>
      <c r="P12" s="3706"/>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8"/>
      <c r="M13" s="2712"/>
      <c r="N13" s="2712"/>
      <c r="O13" s="2712"/>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8"/>
      <c r="M14" s="2712"/>
      <c r="N14" s="2712"/>
      <c r="O14" s="2712"/>
      <c r="P14" s="3711" t="s">
        <v>1691</v>
      </c>
      <c r="Q14" s="1349" t="str">
        <f t="shared" si="6"/>
        <v>交通便捷度</v>
      </c>
      <c r="R14" s="702" t="s">
        <v>14</v>
      </c>
      <c r="S14" s="703">
        <f t="shared" si="0"/>
        <v>100</v>
      </c>
      <c r="T14" s="702" t="s">
        <v>14</v>
      </c>
      <c r="U14" s="703">
        <f t="shared" si="1"/>
        <v>100</v>
      </c>
      <c r="V14" s="702" t="s">
        <v>14</v>
      </c>
      <c r="W14" s="703">
        <f t="shared" si="2"/>
        <v>100</v>
      </c>
      <c r="X14" s="1352"/>
      <c r="Y14" s="3711"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8"/>
      <c r="M15" s="2712"/>
      <c r="N15" s="2712"/>
      <c r="O15" s="2712"/>
      <c r="P15" s="3712"/>
      <c r="Q15" s="1349"/>
      <c r="R15" s="702"/>
      <c r="S15" s="703"/>
      <c r="T15" s="702"/>
      <c r="U15" s="703"/>
      <c r="V15" s="702"/>
      <c r="W15" s="703"/>
      <c r="X15" s="1352"/>
      <c r="Y15" s="3712"/>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8"/>
      <c r="M16" s="2712"/>
      <c r="N16" s="2712"/>
      <c r="O16" s="2712"/>
      <c r="P16" s="3712"/>
      <c r="Q16" s="1349" t="str">
        <f>B16</f>
        <v>公共配套设施</v>
      </c>
      <c r="R16" s="702" t="s">
        <v>14</v>
      </c>
      <c r="S16" s="703">
        <f>F16</f>
        <v>100</v>
      </c>
      <c r="T16" s="702" t="s">
        <v>14</v>
      </c>
      <c r="U16" s="703">
        <f>H16</f>
        <v>100</v>
      </c>
      <c r="V16" s="702" t="s">
        <v>14</v>
      </c>
      <c r="W16" s="703">
        <f>J16</f>
        <v>100</v>
      </c>
      <c r="X16" s="1352"/>
      <c r="Y16" s="3712"/>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8"/>
      <c r="M17" s="2712"/>
      <c r="N17" s="2712"/>
      <c r="O17" s="2712"/>
      <c r="P17" s="3712"/>
      <c r="Q17" s="1349"/>
      <c r="R17" s="702"/>
      <c r="S17" s="703"/>
      <c r="T17" s="702"/>
      <c r="U17" s="703"/>
      <c r="V17" s="702"/>
      <c r="W17" s="703"/>
      <c r="X17" s="1352"/>
      <c r="Y17" s="3712"/>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8"/>
      <c r="M18" s="2712"/>
      <c r="N18" s="2712"/>
      <c r="O18" s="2712"/>
      <c r="P18" s="3712"/>
      <c r="Q18" s="1349" t="str">
        <f>B18</f>
        <v>基础设施水平</v>
      </c>
      <c r="R18" s="702" t="s">
        <v>14</v>
      </c>
      <c r="S18" s="703">
        <f>F18</f>
        <v>100</v>
      </c>
      <c r="T18" s="702" t="s">
        <v>14</v>
      </c>
      <c r="U18" s="703">
        <f>H18</f>
        <v>100</v>
      </c>
      <c r="V18" s="702" t="s">
        <v>14</v>
      </c>
      <c r="W18" s="703">
        <f>J18</f>
        <v>100</v>
      </c>
      <c r="X18" s="1352"/>
      <c r="Y18" s="3712"/>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8"/>
      <c r="M19" s="2712"/>
      <c r="N19" s="2712"/>
      <c r="O19" s="2712"/>
      <c r="P19" s="3712"/>
      <c r="Q19" s="1349"/>
      <c r="R19" s="702"/>
      <c r="S19" s="703"/>
      <c r="T19" s="702"/>
      <c r="U19" s="703"/>
      <c r="V19" s="702"/>
      <c r="W19" s="703"/>
      <c r="X19" s="1352"/>
      <c r="Y19" s="3712"/>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8"/>
      <c r="M20" s="2712"/>
      <c r="N20" s="2712"/>
      <c r="O20" s="2712"/>
      <c r="P20" s="3712"/>
      <c r="Q20" s="1349" t="str">
        <f>B20</f>
        <v>自然及人文环境</v>
      </c>
      <c r="R20" s="702" t="s">
        <v>14</v>
      </c>
      <c r="S20" s="703">
        <f>F20</f>
        <v>100</v>
      </c>
      <c r="T20" s="702" t="s">
        <v>14</v>
      </c>
      <c r="U20" s="703">
        <f>H20</f>
        <v>100</v>
      </c>
      <c r="V20" s="702" t="s">
        <v>14</v>
      </c>
      <c r="W20" s="703">
        <f>J20</f>
        <v>100</v>
      </c>
      <c r="X20" s="1352"/>
      <c r="Y20" s="3712"/>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8"/>
      <c r="M21" s="2712"/>
      <c r="N21" s="2712"/>
      <c r="O21" s="2712"/>
      <c r="P21" s="3712"/>
      <c r="Q21" s="1349"/>
      <c r="R21" s="702"/>
      <c r="S21" s="703"/>
      <c r="T21" s="702"/>
      <c r="U21" s="703"/>
      <c r="V21" s="702"/>
      <c r="W21" s="703"/>
      <c r="X21" s="1352"/>
      <c r="Y21" s="3712"/>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8"/>
      <c r="M22" s="2712"/>
      <c r="N22" s="2712"/>
      <c r="O22" s="2712"/>
      <c r="P22" s="3712"/>
      <c r="Q22" s="1349" t="str">
        <f>B22</f>
        <v>楼层</v>
      </c>
      <c r="R22" s="702" t="s">
        <v>14</v>
      </c>
      <c r="S22" s="703">
        <f>F22</f>
        <v>100</v>
      </c>
      <c r="T22" s="702" t="s">
        <v>14</v>
      </c>
      <c r="U22" s="703">
        <f>H22</f>
        <v>100</v>
      </c>
      <c r="V22" s="702" t="s">
        <v>14</v>
      </c>
      <c r="W22" s="703">
        <f>J22</f>
        <v>100</v>
      </c>
      <c r="X22" s="1352"/>
      <c r="Y22" s="3712"/>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8"/>
      <c r="M23" s="2712"/>
      <c r="N23" s="2712"/>
      <c r="O23" s="2712"/>
      <c r="P23" s="3712"/>
      <c r="Q23" s="1349">
        <f>B23</f>
        <v>111</v>
      </c>
      <c r="R23" s="702" t="s">
        <v>14</v>
      </c>
      <c r="S23" s="703">
        <f>F23</f>
        <v>100</v>
      </c>
      <c r="T23" s="702" t="s">
        <v>14</v>
      </c>
      <c r="U23" s="703">
        <f>H23</f>
        <v>100</v>
      </c>
      <c r="V23" s="702" t="s">
        <v>14</v>
      </c>
      <c r="W23" s="703">
        <f>J23</f>
        <v>100</v>
      </c>
      <c r="X23" s="1352"/>
      <c r="Y23" s="3712"/>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8"/>
      <c r="M24" s="2712"/>
      <c r="N24" s="2712"/>
      <c r="O24" s="2712"/>
      <c r="P24" s="3712"/>
      <c r="Q24" s="1349">
        <f t="shared" ref="Q24:Q36" si="11">B24</f>
        <v>111</v>
      </c>
      <c r="R24" s="702" t="s">
        <v>14</v>
      </c>
      <c r="S24" s="703">
        <f>F24</f>
        <v>100</v>
      </c>
      <c r="T24" s="702" t="s">
        <v>14</v>
      </c>
      <c r="U24" s="703">
        <f>H24</f>
        <v>100</v>
      </c>
      <c r="V24" s="702" t="s">
        <v>14</v>
      </c>
      <c r="W24" s="703">
        <f>J24</f>
        <v>100</v>
      </c>
      <c r="X24" s="1352"/>
      <c r="Y24" s="3712"/>
      <c r="Z24" s="1353">
        <f>Q24</f>
        <v>111</v>
      </c>
      <c r="AA24" s="1350">
        <f t="shared" si="3"/>
        <v>1</v>
      </c>
      <c r="AB24" s="1350">
        <f t="shared" si="4"/>
        <v>1</v>
      </c>
      <c r="AC24" s="1350">
        <f t="shared" si="5"/>
        <v>1</v>
      </c>
    </row>
    <row r="25" spans="1:29" s="108"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3"/>
      <c r="M25" s="2714"/>
      <c r="N25" s="2714"/>
      <c r="O25" s="2714"/>
      <c r="P25" s="3712"/>
      <c r="Q25" s="1340">
        <f t="shared" si="11"/>
        <v>111</v>
      </c>
      <c r="R25" s="698" t="s">
        <v>14</v>
      </c>
      <c r="S25" s="699">
        <f>F25</f>
        <v>100</v>
      </c>
      <c r="T25" s="698" t="s">
        <v>14</v>
      </c>
      <c r="U25" s="699">
        <f>H25</f>
        <v>100</v>
      </c>
      <c r="V25" s="698" t="s">
        <v>14</v>
      </c>
      <c r="W25" s="699">
        <f>J25</f>
        <v>100</v>
      </c>
      <c r="X25" s="700"/>
      <c r="Y25" s="3712"/>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8"/>
      <c r="M26" s="2712"/>
      <c r="N26" s="2712"/>
      <c r="O26" s="2712"/>
      <c r="P26" s="3713"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14"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7"/>
      <c r="M27" s="2719"/>
      <c r="N27" s="2719"/>
      <c r="O27" s="2719"/>
      <c r="P27" s="3714"/>
      <c r="Q27" s="704" t="str">
        <f t="shared" si="11"/>
        <v>项目停车位配比</v>
      </c>
      <c r="R27" s="705" t="s">
        <v>14</v>
      </c>
      <c r="S27" s="706">
        <f t="shared" si="12"/>
        <v>100</v>
      </c>
      <c r="T27" s="705" t="s">
        <v>14</v>
      </c>
      <c r="U27" s="706">
        <f t="shared" si="13"/>
        <v>100</v>
      </c>
      <c r="V27" s="705" t="s">
        <v>14</v>
      </c>
      <c r="W27" s="706">
        <f t="shared" si="14"/>
        <v>100</v>
      </c>
      <c r="X27" s="707"/>
      <c r="Y27" s="3714"/>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8"/>
      <c r="M28" s="2712"/>
      <c r="N28" s="2712"/>
      <c r="O28" s="2712"/>
      <c r="P28" s="3714"/>
      <c r="Q28" s="1349" t="str">
        <f t="shared" si="11"/>
        <v>公共部分装修</v>
      </c>
      <c r="R28" s="702" t="s">
        <v>14</v>
      </c>
      <c r="S28" s="703">
        <f t="shared" si="12"/>
        <v>100</v>
      </c>
      <c r="T28" s="702" t="s">
        <v>14</v>
      </c>
      <c r="U28" s="703">
        <f t="shared" si="13"/>
        <v>100</v>
      </c>
      <c r="V28" s="702" t="s">
        <v>14</v>
      </c>
      <c r="W28" s="703">
        <f t="shared" si="14"/>
        <v>100</v>
      </c>
      <c r="X28" s="1352"/>
      <c r="Y28" s="3714"/>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8"/>
      <c r="M29" s="2712"/>
      <c r="N29" s="2712"/>
      <c r="O29" s="2712"/>
      <c r="P29" s="3714"/>
      <c r="Q29" s="1349" t="str">
        <f t="shared" si="11"/>
        <v>成新率</v>
      </c>
      <c r="R29" s="702" t="s">
        <v>14</v>
      </c>
      <c r="S29" s="703" t="e">
        <f t="shared" si="12"/>
        <v>#N/A</v>
      </c>
      <c r="T29" s="702" t="s">
        <v>14</v>
      </c>
      <c r="U29" s="703" t="e">
        <f t="shared" si="13"/>
        <v>#N/A</v>
      </c>
      <c r="V29" s="702" t="s">
        <v>14</v>
      </c>
      <c r="W29" s="703" t="e">
        <f t="shared" si="14"/>
        <v>#N/A</v>
      </c>
      <c r="X29" s="1352"/>
      <c r="Y29" s="3714"/>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8"/>
      <c r="M30" s="2712"/>
      <c r="N30" s="2712"/>
      <c r="O30" s="2712"/>
      <c r="P30" s="3714"/>
      <c r="Q30" s="1349" t="str">
        <f t="shared" si="11"/>
        <v>物业等级</v>
      </c>
      <c r="R30" s="702" t="s">
        <v>14</v>
      </c>
      <c r="S30" s="703">
        <f t="shared" si="12"/>
        <v>100</v>
      </c>
      <c r="T30" s="702" t="s">
        <v>14</v>
      </c>
      <c r="U30" s="703">
        <f t="shared" si="13"/>
        <v>100</v>
      </c>
      <c r="V30" s="702" t="s">
        <v>14</v>
      </c>
      <c r="W30" s="703">
        <f t="shared" si="14"/>
        <v>100</v>
      </c>
      <c r="X30" s="1352"/>
      <c r="Y30" s="3714"/>
      <c r="Z30" s="1353" t="str">
        <f t="shared" si="15"/>
        <v>物业等级</v>
      </c>
      <c r="AA30" s="1350">
        <f t="shared" si="3"/>
        <v>1</v>
      </c>
      <c r="AB30" s="1350">
        <f t="shared" si="4"/>
        <v>1</v>
      </c>
      <c r="AC30" s="1350">
        <f t="shared" si="5"/>
        <v>1</v>
      </c>
    </row>
    <row r="31" spans="1:29" s="108"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3"/>
      <c r="M31" s="2714"/>
      <c r="N31" s="2714"/>
      <c r="O31" s="2714"/>
      <c r="P31" s="3714"/>
      <c r="Q31" s="1340" t="str">
        <f t="shared" si="11"/>
        <v>停车位面积</v>
      </c>
      <c r="R31" s="698" t="s">
        <v>14</v>
      </c>
      <c r="S31" s="699" t="e">
        <f t="shared" si="12"/>
        <v>#N/A</v>
      </c>
      <c r="T31" s="698" t="s">
        <v>14</v>
      </c>
      <c r="U31" s="699" t="e">
        <f t="shared" si="13"/>
        <v>#N/A</v>
      </c>
      <c r="V31" s="698" t="s">
        <v>14</v>
      </c>
      <c r="W31" s="699" t="e">
        <f t="shared" si="14"/>
        <v>#N/A</v>
      </c>
      <c r="X31" s="700"/>
      <c r="Y31" s="3714"/>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8"/>
      <c r="M32" s="2712"/>
      <c r="N32" s="2712"/>
      <c r="O32" s="2712"/>
      <c r="P32" s="3714" t="s">
        <v>1696</v>
      </c>
      <c r="Q32" s="1349" t="str">
        <f t="shared" si="11"/>
        <v>车位类型</v>
      </c>
      <c r="R32" s="702" t="s">
        <v>14</v>
      </c>
      <c r="S32" s="703">
        <f t="shared" si="12"/>
        <v>100</v>
      </c>
      <c r="T32" s="702" t="s">
        <v>14</v>
      </c>
      <c r="U32" s="703">
        <f t="shared" si="13"/>
        <v>100</v>
      </c>
      <c r="V32" s="702" t="s">
        <v>14</v>
      </c>
      <c r="W32" s="703">
        <f t="shared" si="14"/>
        <v>100</v>
      </c>
      <c r="X32" s="1352"/>
      <c r="Y32" s="3714"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8"/>
      <c r="M33" s="2712"/>
      <c r="N33" s="2712"/>
      <c r="O33" s="2712"/>
      <c r="P33" s="3714"/>
      <c r="Q33" s="1349" t="str">
        <f t="shared" si="11"/>
        <v>是否直接入户</v>
      </c>
      <c r="R33" s="702" t="s">
        <v>14</v>
      </c>
      <c r="S33" s="703">
        <f t="shared" si="12"/>
        <v>100</v>
      </c>
      <c r="T33" s="702" t="s">
        <v>14</v>
      </c>
      <c r="U33" s="703">
        <f t="shared" si="13"/>
        <v>100</v>
      </c>
      <c r="V33" s="702" t="s">
        <v>14</v>
      </c>
      <c r="W33" s="703">
        <f t="shared" si="14"/>
        <v>100</v>
      </c>
      <c r="X33" s="1352"/>
      <c r="Y33" s="3714"/>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8"/>
      <c r="M34" s="2712"/>
      <c r="N34" s="2712"/>
      <c r="O34" s="2712"/>
      <c r="P34" s="3714"/>
      <c r="Q34" s="1349">
        <f t="shared" si="11"/>
        <v>111</v>
      </c>
      <c r="R34" s="702" t="s">
        <v>14</v>
      </c>
      <c r="S34" s="703">
        <f t="shared" si="12"/>
        <v>100</v>
      </c>
      <c r="T34" s="702" t="s">
        <v>14</v>
      </c>
      <c r="U34" s="703">
        <f t="shared" si="13"/>
        <v>100</v>
      </c>
      <c r="V34" s="702" t="s">
        <v>14</v>
      </c>
      <c r="W34" s="703">
        <f t="shared" si="14"/>
        <v>100</v>
      </c>
      <c r="X34" s="1352"/>
      <c r="Y34" s="3714"/>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7"/>
      <c r="M35" s="2719"/>
      <c r="N35" s="2719"/>
      <c r="O35" s="2719"/>
      <c r="P35" s="3714"/>
      <c r="Q35" s="704">
        <f t="shared" si="11"/>
        <v>111</v>
      </c>
      <c r="R35" s="705" t="s">
        <v>14</v>
      </c>
      <c r="S35" s="706">
        <f t="shared" si="12"/>
        <v>100</v>
      </c>
      <c r="T35" s="705" t="s">
        <v>14</v>
      </c>
      <c r="U35" s="706">
        <f t="shared" si="13"/>
        <v>100</v>
      </c>
      <c r="V35" s="705" t="s">
        <v>14</v>
      </c>
      <c r="W35" s="706">
        <f t="shared" si="14"/>
        <v>100</v>
      </c>
      <c r="X35" s="707"/>
      <c r="Y35" s="3714"/>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8"/>
      <c r="M36" s="2712"/>
      <c r="N36" s="2712"/>
      <c r="O36" s="2712"/>
      <c r="P36" s="3714"/>
      <c r="Q36" s="1349">
        <f t="shared" si="11"/>
        <v>111</v>
      </c>
      <c r="R36" s="702" t="s">
        <v>14</v>
      </c>
      <c r="S36" s="703">
        <f t="shared" si="12"/>
        <v>100</v>
      </c>
      <c r="T36" s="702" t="s">
        <v>14</v>
      </c>
      <c r="U36" s="703">
        <f t="shared" si="13"/>
        <v>100</v>
      </c>
      <c r="V36" s="702" t="s">
        <v>14</v>
      </c>
      <c r="W36" s="703">
        <f t="shared" si="14"/>
        <v>100</v>
      </c>
      <c r="X36" s="1352"/>
      <c r="Y36" s="3714"/>
      <c r="Z36" s="1353">
        <f t="shared" si="15"/>
        <v>111</v>
      </c>
      <c r="AA36" s="1350">
        <f t="shared" si="3"/>
        <v>1</v>
      </c>
      <c r="AB36" s="1350">
        <f t="shared" si="4"/>
        <v>1</v>
      </c>
      <c r="AC36" s="1350">
        <f t="shared" si="5"/>
        <v>1</v>
      </c>
    </row>
    <row r="37" spans="1:29" ht="15">
      <c r="A37" s="428" t="s">
        <v>1844</v>
      </c>
      <c r="B37" s="1970" t="s">
        <v>3358</v>
      </c>
      <c r="C37" s="1151" t="s">
        <v>0</v>
      </c>
      <c r="D37" s="1152"/>
      <c r="E37" s="1153"/>
      <c r="F37" s="1154"/>
      <c r="G37" s="1155"/>
      <c r="H37" s="1156"/>
      <c r="I37" s="1153"/>
      <c r="J37" s="1156"/>
      <c r="K37" s="566"/>
      <c r="L37" s="2720"/>
      <c r="M37" s="2721"/>
      <c r="N37" s="2712"/>
      <c r="O37" s="2721"/>
      <c r="P37" s="3706" t="str">
        <f>A37</f>
        <v>成交单价</v>
      </c>
      <c r="Q37" s="3706"/>
      <c r="R37" s="3707">
        <f>E37</f>
        <v>0</v>
      </c>
      <c r="S37" s="3707"/>
      <c r="T37" s="3707">
        <f>G37</f>
        <v>0</v>
      </c>
      <c r="U37" s="3707"/>
      <c r="V37" s="3707">
        <f>I37</f>
        <v>0</v>
      </c>
      <c r="W37" s="3707"/>
      <c r="X37" s="687"/>
      <c r="Y37" s="709"/>
      <c r="Z37" s="687"/>
      <c r="AA37" s="687"/>
      <c r="AB37" s="687"/>
      <c r="AC37" s="687"/>
    </row>
    <row r="38" spans="1:29" ht="15.75" thickBot="1">
      <c r="A38" s="435" t="s">
        <v>1845</v>
      </c>
      <c r="B38" s="436" t="str">
        <f>B37</f>
        <v>元/平方米</v>
      </c>
      <c r="C38" s="1157" t="e">
        <f>R39</f>
        <v>#DIV/0!</v>
      </c>
      <c r="D38" s="2314" t="s">
        <v>2138</v>
      </c>
      <c r="E38" s="1158" t="e">
        <f>R38</f>
        <v>#DIV/0!</v>
      </c>
      <c r="F38" s="2315"/>
      <c r="G38" s="1157" t="e">
        <f>T38</f>
        <v>#DIV/0!</v>
      </c>
      <c r="H38" s="2315"/>
      <c r="I38" s="1158" t="e">
        <f>V38</f>
        <v>#DIV/0!</v>
      </c>
      <c r="J38" s="2315"/>
      <c r="K38" s="2317">
        <f>F38+H38+J38</f>
        <v>0</v>
      </c>
      <c r="L38" s="2720"/>
      <c r="M38" s="2721"/>
      <c r="N38" s="2721"/>
      <c r="O38" s="2721"/>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20"/>
      <c r="M39" s="2721"/>
      <c r="N39" s="2721"/>
      <c r="O39" s="2721"/>
      <c r="P39" s="3708" t="str">
        <f>A39</f>
        <v>估价对象XX用房的比较价值（楼面单价，元/平方米）</v>
      </c>
      <c r="Q39" s="3709"/>
      <c r="R39" s="3795" t="e">
        <f>IF(F1="售价",ROUND(IF(D38="简单平均",AVERAGE(R38:W38),R38*F38+T38*H38+V38*J38),0),ROUND(IF(D38="简单平均",AVERAGE(R38:V38),R38*F38+T38*H38+V38*J38),1))</f>
        <v>#DIV/0!</v>
      </c>
      <c r="S39" s="3795"/>
      <c r="T39" s="3795"/>
      <c r="U39" s="3795"/>
      <c r="V39" s="3795"/>
      <c r="W39" s="3795"/>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9" customFormat="1" ht="13.5" customHeight="1">
      <c r="A44" s="2724"/>
      <c r="B44" s="2724"/>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9"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5" customFormat="1" ht="15">
      <c r="A48" s="452" t="s">
        <v>1851</v>
      </c>
      <c r="B48" s="453"/>
      <c r="C48" s="1181" t="str">
        <f>YEAR(C7)&amp;"-"&amp;MONTH(C7)</f>
        <v>2023-12</v>
      </c>
      <c r="D48" s="1182">
        <f>EDATE(C48,-1)</f>
        <v>45231</v>
      </c>
      <c r="E48" s="1182">
        <f t="shared" ref="E48:O48" si="16">EDATE(D48,-1)</f>
        <v>45200</v>
      </c>
      <c r="F48" s="1182">
        <f t="shared" si="16"/>
        <v>45170</v>
      </c>
      <c r="G48" s="1182">
        <f t="shared" si="16"/>
        <v>45139</v>
      </c>
      <c r="H48" s="1182">
        <f t="shared" si="16"/>
        <v>45108</v>
      </c>
      <c r="I48" s="1182">
        <f t="shared" si="16"/>
        <v>45078</v>
      </c>
      <c r="J48" s="1182">
        <f t="shared" si="16"/>
        <v>45047</v>
      </c>
      <c r="K48" s="1182">
        <f t="shared" si="16"/>
        <v>45017</v>
      </c>
      <c r="L48" s="1182">
        <f t="shared" si="16"/>
        <v>44986</v>
      </c>
      <c r="M48" s="1182">
        <f t="shared" si="16"/>
        <v>44958</v>
      </c>
      <c r="N48" s="1182">
        <f t="shared" si="16"/>
        <v>44927</v>
      </c>
      <c r="O48" s="1182">
        <f t="shared" si="16"/>
        <v>44896</v>
      </c>
      <c r="P48" s="2755"/>
      <c r="Q48" s="2737"/>
      <c r="R48" s="2737"/>
      <c r="S48" s="2737"/>
      <c r="T48" s="2737"/>
      <c r="U48" s="2737"/>
      <c r="V48" s="2737"/>
      <c r="W48" s="2737"/>
      <c r="X48" s="2737"/>
      <c r="Y48" s="2737"/>
      <c r="Z48" s="2737"/>
      <c r="AA48" s="2737"/>
      <c r="AB48" s="2737"/>
      <c r="AC48" s="2737"/>
    </row>
    <row r="49" spans="1:29" s="108" customFormat="1" ht="15">
      <c r="A49" s="456"/>
      <c r="B49" s="457"/>
      <c r="C49" s="1174">
        <v>100</v>
      </c>
      <c r="D49" s="459"/>
      <c r="E49" s="459"/>
      <c r="F49" s="459"/>
      <c r="G49" s="459"/>
      <c r="H49" s="459"/>
      <c r="I49" s="459"/>
      <c r="J49" s="459"/>
      <c r="K49" s="459"/>
      <c r="L49" s="459"/>
      <c r="M49" s="460"/>
      <c r="N49" s="459"/>
      <c r="O49" s="460"/>
      <c r="P49" s="2756"/>
      <c r="Q49" s="2658"/>
      <c r="R49" s="2658"/>
      <c r="S49" s="2658"/>
      <c r="T49" s="2658"/>
      <c r="U49" s="2658"/>
      <c r="V49" s="2658"/>
      <c r="W49" s="2658"/>
      <c r="X49" s="2658"/>
      <c r="Y49" s="2658"/>
      <c r="Z49" s="2658"/>
      <c r="AA49" s="2658"/>
      <c r="AB49" s="2658"/>
      <c r="AC49" s="2658"/>
    </row>
    <row r="50" spans="1:29" s="108" customFormat="1" ht="15.75" thickBot="1">
      <c r="A50" s="462" t="s">
        <v>1716</v>
      </c>
      <c r="B50" s="463"/>
      <c r="C50" s="464"/>
      <c r="D50" s="465"/>
      <c r="E50" s="465"/>
      <c r="F50" s="465"/>
      <c r="G50" s="465"/>
      <c r="H50" s="465"/>
      <c r="I50" s="465"/>
      <c r="J50" s="465"/>
      <c r="K50" s="465"/>
      <c r="L50" s="465"/>
      <c r="M50" s="466"/>
      <c r="N50" s="465"/>
      <c r="O50" s="466"/>
      <c r="P50" s="2756"/>
      <c r="Q50" s="2735"/>
      <c r="R50" s="2658"/>
      <c r="S50" s="2658"/>
      <c r="T50" s="2658"/>
      <c r="U50" s="2658"/>
      <c r="V50" s="2658"/>
      <c r="W50" s="2658"/>
      <c r="X50" s="2658"/>
      <c r="Y50" s="2658"/>
      <c r="Z50" s="2658"/>
      <c r="AA50" s="2658"/>
      <c r="AB50" s="2658"/>
      <c r="AC50" s="2658"/>
    </row>
    <row r="51" spans="1:29" s="108" customFormat="1" ht="15">
      <c r="A51" s="468" t="s">
        <v>1681</v>
      </c>
      <c r="B51" s="457"/>
      <c r="C51" s="469" t="s">
        <v>1776</v>
      </c>
      <c r="D51" s="470"/>
      <c r="E51" s="470"/>
      <c r="F51" s="470"/>
      <c r="G51" s="470"/>
      <c r="H51" s="470"/>
      <c r="I51" s="470"/>
      <c r="J51" s="470"/>
      <c r="K51" s="470"/>
      <c r="L51" s="471"/>
      <c r="M51" s="472"/>
      <c r="N51" s="2748"/>
      <c r="O51" s="2748"/>
      <c r="P51" s="2757"/>
      <c r="Q51" s="2735"/>
      <c r="R51" s="2658"/>
      <c r="S51" s="2658"/>
      <c r="T51" s="2658"/>
      <c r="U51" s="2658"/>
      <c r="V51" s="2658"/>
      <c r="W51" s="2658"/>
      <c r="X51" s="2658"/>
      <c r="Y51" s="2658"/>
      <c r="Z51" s="2658"/>
      <c r="AA51" s="2658"/>
      <c r="AB51" s="2658"/>
      <c r="AC51" s="2658"/>
    </row>
    <row r="52" spans="1:29" s="108" customFormat="1" ht="15.75" thickBot="1">
      <c r="A52" s="468"/>
      <c r="B52" s="457"/>
      <c r="C52" s="585">
        <v>100</v>
      </c>
      <c r="D52" s="459"/>
      <c r="E52" s="459"/>
      <c r="F52" s="459"/>
      <c r="G52" s="459"/>
      <c r="H52" s="459"/>
      <c r="I52" s="459"/>
      <c r="J52" s="459"/>
      <c r="K52" s="459"/>
      <c r="L52" s="459"/>
      <c r="M52" s="461"/>
      <c r="N52" s="2748"/>
      <c r="O52" s="2748"/>
      <c r="P52" s="2756"/>
      <c r="Q52" s="2735"/>
      <c r="R52" s="2658"/>
      <c r="S52" s="2658"/>
      <c r="T52" s="2658"/>
      <c r="U52" s="2658"/>
      <c r="V52" s="2658"/>
      <c r="W52" s="2658"/>
      <c r="X52" s="2658"/>
      <c r="Y52" s="2658"/>
      <c r="Z52" s="2658"/>
      <c r="AA52" s="2658"/>
      <c r="AB52" s="2658"/>
      <c r="AC52" s="2658"/>
    </row>
    <row r="53" spans="1:29">
      <c r="A53" s="474" t="s">
        <v>1719</v>
      </c>
      <c r="B53" s="475" t="s">
        <v>1685</v>
      </c>
      <c r="C53" s="476">
        <f>C9</f>
        <v>0</v>
      </c>
      <c r="D53" s="477"/>
      <c r="E53" s="477"/>
      <c r="F53" s="477"/>
      <c r="G53" s="477"/>
      <c r="H53" s="477"/>
      <c r="I53" s="477"/>
      <c r="J53" s="477"/>
      <c r="K53" s="478"/>
      <c r="L53" s="479"/>
      <c r="M53" s="480"/>
      <c r="N53" s="2749"/>
      <c r="O53" s="2749"/>
      <c r="P53" s="2758"/>
      <c r="Q53" s="2735"/>
      <c r="R53" s="2721"/>
      <c r="S53" s="2721"/>
      <c r="T53" s="2721"/>
      <c r="U53" s="2721"/>
      <c r="V53" s="2721"/>
      <c r="W53" s="2721"/>
      <c r="X53" s="2721"/>
      <c r="Y53" s="2721"/>
      <c r="Z53" s="2721"/>
      <c r="AA53" s="2721"/>
      <c r="AB53" s="2721"/>
      <c r="AC53" s="2721"/>
    </row>
    <row r="54" spans="1:29" ht="15.75" thickBot="1">
      <c r="A54" s="481"/>
      <c r="B54" s="482"/>
      <c r="C54" s="483">
        <v>100</v>
      </c>
      <c r="D54" s="483"/>
      <c r="E54" s="483"/>
      <c r="F54" s="483"/>
      <c r="G54" s="483"/>
      <c r="H54" s="483"/>
      <c r="I54" s="483"/>
      <c r="J54" s="483"/>
      <c r="K54" s="483"/>
      <c r="L54" s="483"/>
      <c r="M54" s="484"/>
      <c r="N54" s="2750"/>
      <c r="O54" s="2750"/>
      <c r="P54" s="2758"/>
      <c r="Q54" s="2735"/>
      <c r="R54" s="2721"/>
      <c r="S54" s="2721"/>
      <c r="T54" s="2721"/>
      <c r="U54" s="2721"/>
      <c r="V54" s="2721"/>
      <c r="W54" s="2721"/>
      <c r="X54" s="2721"/>
      <c r="Y54" s="2721"/>
      <c r="Z54" s="2721"/>
      <c r="AA54" s="2721"/>
      <c r="AB54" s="2721"/>
      <c r="AC54" s="2721"/>
    </row>
    <row r="55" spans="1:29" ht="27.75" thickTop="1">
      <c r="A55" s="481"/>
      <c r="B55" s="485" t="s">
        <v>1688</v>
      </c>
      <c r="C55" s="530"/>
      <c r="D55" s="530"/>
      <c r="E55" s="530"/>
      <c r="F55" s="530"/>
      <c r="G55" s="530"/>
      <c r="H55" s="530"/>
      <c r="I55" s="530"/>
      <c r="J55" s="530"/>
      <c r="K55" s="531"/>
      <c r="L55" s="532"/>
      <c r="M55" s="533"/>
      <c r="N55" s="2749"/>
      <c r="O55" s="2749"/>
      <c r="P55" s="2758"/>
      <c r="Q55" s="2735"/>
      <c r="R55" s="2721"/>
      <c r="S55" s="2721"/>
      <c r="T55" s="2721"/>
      <c r="U55" s="2721"/>
      <c r="V55" s="2721"/>
      <c r="W55" s="2721"/>
      <c r="X55" s="2721"/>
      <c r="Y55" s="2721"/>
      <c r="Z55" s="2721"/>
      <c r="AA55" s="2721"/>
      <c r="AB55" s="2721"/>
      <c r="AC55" s="2721"/>
    </row>
    <row r="56" spans="1:29" ht="15.75" thickBot="1">
      <c r="A56" s="481"/>
      <c r="B56" s="490"/>
      <c r="C56" s="483"/>
      <c r="D56" s="483"/>
      <c r="E56" s="483"/>
      <c r="F56" s="483"/>
      <c r="G56" s="483"/>
      <c r="H56" s="483"/>
      <c r="I56" s="483"/>
      <c r="J56" s="483"/>
      <c r="K56" s="483"/>
      <c r="L56" s="483"/>
      <c r="M56" s="484"/>
      <c r="N56" s="2750"/>
      <c r="O56" s="2750"/>
      <c r="P56" s="2758"/>
      <c r="Q56" s="2735"/>
      <c r="R56" s="2721"/>
      <c r="S56" s="2721"/>
      <c r="T56" s="2721"/>
      <c r="U56" s="2721"/>
      <c r="V56" s="2721"/>
      <c r="W56" s="2721"/>
      <c r="X56" s="2721"/>
      <c r="Y56" s="2721"/>
      <c r="Z56" s="2721"/>
      <c r="AA56" s="2721"/>
      <c r="AB56" s="2721"/>
      <c r="AC56" s="2721"/>
    </row>
    <row r="57" spans="1:29" ht="15.75" thickTop="1">
      <c r="A57" s="481"/>
      <c r="B57" s="606">
        <f>B11</f>
        <v>111</v>
      </c>
      <c r="C57" s="496"/>
      <c r="D57" s="496"/>
      <c r="E57" s="496"/>
      <c r="F57" s="496"/>
      <c r="G57" s="496"/>
      <c r="H57" s="496"/>
      <c r="I57" s="496"/>
      <c r="J57" s="496"/>
      <c r="K57" s="497"/>
      <c r="L57" s="498"/>
      <c r="M57" s="499"/>
      <c r="N57" s="2749"/>
      <c r="O57" s="2749"/>
      <c r="P57" s="2758"/>
      <c r="Q57" s="2735"/>
      <c r="R57" s="2721"/>
      <c r="S57" s="2721"/>
      <c r="T57" s="2721"/>
      <c r="U57" s="2721"/>
      <c r="V57" s="2721"/>
      <c r="W57" s="2721"/>
      <c r="X57" s="2721"/>
      <c r="Y57" s="2721"/>
      <c r="Z57" s="2721"/>
      <c r="AA57" s="2721"/>
      <c r="AB57" s="2721"/>
      <c r="AC57" s="2721"/>
    </row>
    <row r="58" spans="1:29" ht="15.75" thickBot="1">
      <c r="A58" s="481"/>
      <c r="B58" s="482"/>
      <c r="C58" s="507"/>
      <c r="D58" s="483"/>
      <c r="E58" s="483"/>
      <c r="F58" s="483"/>
      <c r="G58" s="483"/>
      <c r="H58" s="483"/>
      <c r="I58" s="483"/>
      <c r="J58" s="483"/>
      <c r="K58" s="483"/>
      <c r="L58" s="483"/>
      <c r="M58" s="484"/>
      <c r="N58" s="2750"/>
      <c r="O58" s="2750"/>
      <c r="P58" s="2758"/>
      <c r="Q58" s="2735"/>
      <c r="R58" s="2721"/>
      <c r="S58" s="2721"/>
      <c r="T58" s="2721"/>
      <c r="U58" s="2721"/>
      <c r="V58" s="2721"/>
      <c r="W58" s="2721"/>
      <c r="X58" s="2721"/>
      <c r="Y58" s="2721"/>
      <c r="Z58" s="2721"/>
      <c r="AA58" s="2721"/>
      <c r="AB58" s="2721"/>
      <c r="AC58" s="2721"/>
    </row>
    <row r="59" spans="1:29" s="420" customFormat="1" ht="15.75" thickTop="1">
      <c r="A59" s="500"/>
      <c r="B59" s="485">
        <f>B12</f>
        <v>111</v>
      </c>
      <c r="C59" s="496"/>
      <c r="D59" s="496"/>
      <c r="E59" s="496"/>
      <c r="F59" s="496"/>
      <c r="G59" s="501"/>
      <c r="H59" s="502"/>
      <c r="I59" s="502"/>
      <c r="J59" s="502"/>
      <c r="K59" s="502"/>
      <c r="L59" s="503"/>
      <c r="M59" s="504"/>
      <c r="N59" s="2751"/>
      <c r="O59" s="2751"/>
      <c r="P59" s="2759"/>
      <c r="Q59" s="2742"/>
      <c r="R59" s="2743"/>
      <c r="S59" s="2743"/>
      <c r="T59" s="2743"/>
      <c r="U59" s="2743"/>
      <c r="V59" s="2743"/>
      <c r="W59" s="2743"/>
      <c r="X59" s="2743"/>
      <c r="Y59" s="2743"/>
      <c r="Z59" s="2743"/>
      <c r="AA59" s="2743"/>
      <c r="AB59" s="2743"/>
      <c r="AC59" s="2743"/>
    </row>
    <row r="60" spans="1:29" s="420" customFormat="1" ht="15.75" thickBot="1">
      <c r="A60" s="500"/>
      <c r="B60" s="490"/>
      <c r="C60" s="507"/>
      <c r="D60" s="483"/>
      <c r="E60" s="483"/>
      <c r="F60" s="483"/>
      <c r="G60" s="483"/>
      <c r="H60" s="483"/>
      <c r="I60" s="483"/>
      <c r="J60" s="483"/>
      <c r="K60" s="483"/>
      <c r="L60" s="483"/>
      <c r="M60" s="484"/>
      <c r="N60" s="2750"/>
      <c r="O60" s="2750"/>
      <c r="P60" s="2759"/>
      <c r="Q60" s="2742"/>
      <c r="R60" s="2743"/>
      <c r="S60" s="2743"/>
      <c r="T60" s="2743"/>
      <c r="U60" s="2743"/>
      <c r="V60" s="2743"/>
      <c r="W60" s="2743"/>
      <c r="X60" s="2743"/>
      <c r="Y60" s="2743"/>
      <c r="Z60" s="2743"/>
      <c r="AA60" s="2743"/>
      <c r="AB60" s="2743"/>
      <c r="AC60" s="2743"/>
    </row>
    <row r="61" spans="1:29" s="420" customFormat="1" ht="15.75" thickTop="1">
      <c r="A61" s="500"/>
      <c r="B61" s="485">
        <f>B13</f>
        <v>111</v>
      </c>
      <c r="C61" s="501"/>
      <c r="D61" s="501"/>
      <c r="E61" s="501"/>
      <c r="F61" s="501"/>
      <c r="G61" s="501"/>
      <c r="H61" s="502"/>
      <c r="I61" s="502"/>
      <c r="J61" s="502"/>
      <c r="K61" s="502"/>
      <c r="L61" s="503"/>
      <c r="M61" s="504"/>
      <c r="N61" s="2751"/>
      <c r="O61" s="2751"/>
      <c r="P61" s="2760"/>
      <c r="Q61" s="2745"/>
      <c r="R61" s="2743"/>
      <c r="S61" s="2743"/>
      <c r="T61" s="2743"/>
      <c r="U61" s="2743"/>
      <c r="V61" s="2743"/>
      <c r="W61" s="2743"/>
      <c r="X61" s="2743"/>
      <c r="Y61" s="2743"/>
      <c r="Z61" s="2743"/>
      <c r="AA61" s="2743"/>
      <c r="AB61" s="2743"/>
      <c r="AC61" s="2743"/>
    </row>
    <row r="62" spans="1:29" s="420" customFormat="1" ht="15.75" thickBot="1">
      <c r="A62" s="500"/>
      <c r="B62" s="490"/>
      <c r="C62" s="507"/>
      <c r="D62" s="507"/>
      <c r="E62" s="507"/>
      <c r="F62" s="507"/>
      <c r="G62" s="507"/>
      <c r="H62" s="509"/>
      <c r="I62" s="509"/>
      <c r="J62" s="509"/>
      <c r="K62" s="509"/>
      <c r="L62" s="509"/>
      <c r="M62" s="510"/>
      <c r="N62" s="2751"/>
      <c r="O62" s="2751"/>
      <c r="P62" s="2759"/>
      <c r="Q62" s="2742"/>
      <c r="R62" s="2743"/>
      <c r="S62" s="2743"/>
      <c r="T62" s="2743"/>
      <c r="U62" s="2743"/>
      <c r="V62" s="2743"/>
      <c r="W62" s="2743"/>
      <c r="X62" s="2743"/>
      <c r="Y62" s="2743"/>
      <c r="Z62" s="2743"/>
      <c r="AA62" s="2743"/>
      <c r="AB62" s="2743"/>
      <c r="AC62" s="2743"/>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9"/>
      <c r="O63" s="2749"/>
      <c r="P63" s="2762"/>
      <c r="Q63" s="2735"/>
      <c r="R63" s="2721"/>
      <c r="S63" s="2721"/>
      <c r="T63" s="2721"/>
      <c r="U63" s="2721"/>
      <c r="V63" s="2721"/>
      <c r="W63" s="2721"/>
      <c r="X63" s="2721"/>
      <c r="Y63" s="2721"/>
      <c r="Z63" s="2721"/>
      <c r="AA63" s="2721"/>
      <c r="AB63" s="2721"/>
      <c r="AC63" s="2721"/>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0"/>
      <c r="O64" s="2750"/>
      <c r="P64" s="2758"/>
      <c r="Q64" s="2735"/>
      <c r="R64" s="2721"/>
      <c r="S64" s="2721"/>
      <c r="T64" s="2721"/>
      <c r="U64" s="2721"/>
      <c r="V64" s="2721"/>
      <c r="W64" s="2721"/>
      <c r="X64" s="2721"/>
      <c r="Y64" s="2721"/>
      <c r="Z64" s="2721"/>
      <c r="AA64" s="2721"/>
      <c r="AB64" s="2721"/>
      <c r="AC64" s="2721"/>
    </row>
    <row r="65" spans="1:29" ht="15.75" thickTop="1">
      <c r="A65" s="481"/>
      <c r="B65" s="485" t="s">
        <v>1727</v>
      </c>
      <c r="C65" s="525" t="s">
        <v>1721</v>
      </c>
      <c r="D65" s="525" t="s">
        <v>1722</v>
      </c>
      <c r="E65" s="525" t="s">
        <v>1723</v>
      </c>
      <c r="F65" s="525" t="s">
        <v>1724</v>
      </c>
      <c r="G65" s="525" t="s">
        <v>1725</v>
      </c>
      <c r="H65" s="486"/>
      <c r="I65" s="486"/>
      <c r="J65" s="486"/>
      <c r="K65" s="487"/>
      <c r="L65" s="488"/>
      <c r="M65" s="489"/>
      <c r="N65" s="2749"/>
      <c r="O65" s="2749"/>
      <c r="P65" s="2758"/>
      <c r="Q65" s="2735"/>
      <c r="R65" s="2721"/>
      <c r="S65" s="2721"/>
      <c r="T65" s="2721"/>
      <c r="U65" s="2721"/>
      <c r="V65" s="2721"/>
      <c r="W65" s="2721"/>
      <c r="X65" s="2721"/>
      <c r="Y65" s="2721"/>
      <c r="Z65" s="2721"/>
      <c r="AA65" s="2721"/>
      <c r="AB65" s="2721"/>
      <c r="AC65" s="2721"/>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0"/>
      <c r="O66" s="2750"/>
      <c r="P66" s="2758"/>
      <c r="Q66" s="2735"/>
      <c r="R66" s="2721"/>
      <c r="S66" s="2721"/>
      <c r="T66" s="2721"/>
      <c r="U66" s="2721"/>
      <c r="V66" s="2721"/>
      <c r="W66" s="2721"/>
      <c r="X66" s="2721"/>
      <c r="Y66" s="2721"/>
      <c r="Z66" s="2721"/>
      <c r="AA66" s="2721"/>
      <c r="AB66" s="2721"/>
      <c r="AC66" s="2721"/>
    </row>
    <row r="67" spans="1:29" ht="15.75" thickTop="1">
      <c r="A67" s="481"/>
      <c r="B67" s="493" t="s">
        <v>1813</v>
      </c>
      <c r="C67" s="606" t="s">
        <v>1799</v>
      </c>
      <c r="D67" s="606" t="s">
        <v>1800</v>
      </c>
      <c r="E67" s="606" t="s">
        <v>1801</v>
      </c>
      <c r="F67" s="606" t="s">
        <v>1802</v>
      </c>
      <c r="G67" s="606" t="s">
        <v>1803</v>
      </c>
      <c r="H67" s="486"/>
      <c r="I67" s="486"/>
      <c r="J67" s="486"/>
      <c r="K67" s="486"/>
      <c r="L67" s="486"/>
      <c r="M67" s="1126"/>
      <c r="N67" s="2750"/>
      <c r="O67" s="2750"/>
      <c r="P67" s="2758"/>
      <c r="Q67" s="2735"/>
      <c r="R67" s="2721"/>
      <c r="S67" s="2721"/>
      <c r="T67" s="2721"/>
      <c r="U67" s="2721"/>
      <c r="V67" s="2721"/>
      <c r="W67" s="2721"/>
      <c r="X67" s="2721"/>
      <c r="Y67" s="2721"/>
      <c r="Z67" s="2721"/>
      <c r="AA67" s="2721"/>
      <c r="AB67" s="2721"/>
      <c r="AC67" s="2721"/>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0"/>
      <c r="O68" s="2750"/>
      <c r="P68" s="2758"/>
      <c r="Q68" s="2735"/>
      <c r="R68" s="2721"/>
      <c r="S68" s="2721"/>
      <c r="T68" s="2721"/>
      <c r="U68" s="2721"/>
      <c r="V68" s="2721"/>
      <c r="W68" s="2721"/>
      <c r="X68" s="2721"/>
      <c r="Y68" s="2721"/>
      <c r="Z68" s="2721"/>
      <c r="AA68" s="2721"/>
      <c r="AB68" s="2721"/>
      <c r="AC68" s="2721"/>
    </row>
    <row r="69" spans="1:29" ht="15.75" thickTop="1">
      <c r="A69" s="481"/>
      <c r="B69" s="485" t="s">
        <v>1733</v>
      </c>
      <c r="C69" s="525" t="s">
        <v>1721</v>
      </c>
      <c r="D69" s="525" t="s">
        <v>1722</v>
      </c>
      <c r="E69" s="525" t="s">
        <v>1723</v>
      </c>
      <c r="F69" s="525" t="s">
        <v>1724</v>
      </c>
      <c r="G69" s="525" t="s">
        <v>1725</v>
      </c>
      <c r="H69" s="486"/>
      <c r="I69" s="486"/>
      <c r="J69" s="486"/>
      <c r="K69" s="487"/>
      <c r="L69" s="488"/>
      <c r="M69" s="489"/>
      <c r="N69" s="2749"/>
      <c r="O69" s="2749"/>
      <c r="P69" s="2758"/>
      <c r="Q69" s="2735"/>
      <c r="R69" s="2721"/>
      <c r="S69" s="2721"/>
      <c r="T69" s="2721"/>
      <c r="U69" s="2721"/>
      <c r="V69" s="2721"/>
      <c r="W69" s="2721"/>
      <c r="X69" s="2721"/>
      <c r="Y69" s="2721"/>
      <c r="Z69" s="2721"/>
      <c r="AA69" s="2721"/>
      <c r="AB69" s="2721"/>
      <c r="AC69" s="2721"/>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0"/>
      <c r="O70" s="2750"/>
      <c r="P70" s="2758"/>
      <c r="Q70" s="2735"/>
      <c r="R70" s="2721"/>
      <c r="S70" s="2721"/>
      <c r="T70" s="2721"/>
      <c r="U70" s="2721"/>
      <c r="V70" s="2721"/>
      <c r="W70" s="2721"/>
      <c r="X70" s="2721"/>
      <c r="Y70" s="2721"/>
      <c r="Z70" s="2721"/>
      <c r="AA70" s="2721"/>
      <c r="AB70" s="2721"/>
      <c r="AC70" s="2721"/>
    </row>
    <row r="71" spans="1:29" ht="15.75" thickTop="1">
      <c r="A71" s="481"/>
      <c r="B71" s="485" t="s">
        <v>1852</v>
      </c>
      <c r="C71" s="501"/>
      <c r="D71" s="501"/>
      <c r="E71" s="501"/>
      <c r="F71" s="501"/>
      <c r="G71" s="501"/>
      <c r="H71" s="530"/>
      <c r="I71" s="530"/>
      <c r="J71" s="530"/>
      <c r="K71" s="531"/>
      <c r="L71" s="532"/>
      <c r="M71" s="533"/>
      <c r="N71" s="2749"/>
      <c r="O71" s="2749"/>
      <c r="P71" s="2758"/>
      <c r="Q71" s="2735"/>
      <c r="R71" s="2721"/>
      <c r="S71" s="2721"/>
      <c r="T71" s="2721"/>
      <c r="U71" s="2721"/>
      <c r="V71" s="2721"/>
      <c r="W71" s="2721"/>
      <c r="X71" s="2721"/>
      <c r="Y71" s="2721"/>
      <c r="Z71" s="2721"/>
      <c r="AA71" s="2721"/>
      <c r="AB71" s="2721"/>
      <c r="AC71" s="2721"/>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0"/>
      <c r="O72" s="2750"/>
      <c r="P72" s="2758"/>
      <c r="Q72" s="2735"/>
      <c r="R72" s="2721"/>
      <c r="S72" s="2721"/>
      <c r="T72" s="2721"/>
      <c r="U72" s="2721"/>
      <c r="V72" s="2721"/>
      <c r="W72" s="2721"/>
      <c r="X72" s="2721"/>
      <c r="Y72" s="2721"/>
      <c r="Z72" s="2721"/>
      <c r="AA72" s="2721"/>
      <c r="AB72" s="2721"/>
      <c r="AC72" s="2721"/>
    </row>
    <row r="73" spans="1:29" s="108" customFormat="1" ht="15.75" thickTop="1">
      <c r="A73" s="526"/>
      <c r="B73" s="485">
        <f>B23</f>
        <v>111</v>
      </c>
      <c r="C73" s="496"/>
      <c r="D73" s="496"/>
      <c r="E73" s="496"/>
      <c r="F73" s="496"/>
      <c r="G73" s="501"/>
      <c r="H73" s="501"/>
      <c r="I73" s="501"/>
      <c r="J73" s="501"/>
      <c r="K73" s="501"/>
      <c r="L73" s="527"/>
      <c r="M73" s="528"/>
      <c r="N73" s="2748"/>
      <c r="O73" s="2748"/>
      <c r="P73" s="2758"/>
      <c r="Q73" s="2735"/>
      <c r="R73" s="2658"/>
      <c r="S73" s="2658"/>
      <c r="T73" s="2658"/>
      <c r="U73" s="2658"/>
      <c r="V73" s="2658"/>
      <c r="W73" s="2658"/>
      <c r="X73" s="2658"/>
      <c r="Y73" s="2658"/>
      <c r="Z73" s="2658"/>
      <c r="AA73" s="2658"/>
      <c r="AB73" s="2658"/>
      <c r="AC73" s="2658"/>
    </row>
    <row r="74" spans="1:29" s="108" customFormat="1" ht="15.75" thickBot="1">
      <c r="A74" s="526"/>
      <c r="B74" s="490"/>
      <c r="C74" s="507"/>
      <c r="D74" s="483"/>
      <c r="E74" s="483"/>
      <c r="F74" s="483"/>
      <c r="G74" s="483"/>
      <c r="H74" s="483"/>
      <c r="I74" s="483"/>
      <c r="J74" s="483"/>
      <c r="K74" s="483"/>
      <c r="L74" s="483"/>
      <c r="M74" s="484"/>
      <c r="N74" s="2750"/>
      <c r="O74" s="2750"/>
      <c r="P74" s="2758"/>
      <c r="Q74" s="2735"/>
      <c r="R74" s="2658"/>
      <c r="S74" s="2658"/>
      <c r="T74" s="2658"/>
      <c r="U74" s="2658"/>
      <c r="V74" s="2658"/>
      <c r="W74" s="2658"/>
      <c r="X74" s="2658"/>
      <c r="Y74" s="2658"/>
      <c r="Z74" s="2658"/>
      <c r="AA74" s="2658"/>
      <c r="AB74" s="2658"/>
      <c r="AC74" s="2658"/>
    </row>
    <row r="75" spans="1:29" s="108" customFormat="1" ht="15.75" thickTop="1">
      <c r="A75" s="526"/>
      <c r="B75" s="485">
        <f>B24</f>
        <v>111</v>
      </c>
      <c r="C75" s="496"/>
      <c r="D75" s="496"/>
      <c r="E75" s="496"/>
      <c r="F75" s="496"/>
      <c r="G75" s="501"/>
      <c r="H75" s="501"/>
      <c r="I75" s="501"/>
      <c r="J75" s="501"/>
      <c r="K75" s="501"/>
      <c r="L75" s="501"/>
      <c r="M75" s="528"/>
      <c r="N75" s="2748"/>
      <c r="O75" s="2748"/>
      <c r="P75" s="2758"/>
      <c r="Q75" s="2735"/>
      <c r="R75" s="2658"/>
      <c r="S75" s="2658"/>
      <c r="T75" s="2658"/>
      <c r="U75" s="2658"/>
      <c r="V75" s="2658"/>
      <c r="W75" s="2658"/>
      <c r="X75" s="2658"/>
      <c r="Y75" s="2658"/>
      <c r="Z75" s="2658"/>
      <c r="AA75" s="2658"/>
      <c r="AB75" s="2658"/>
      <c r="AC75" s="2658"/>
    </row>
    <row r="76" spans="1:29" s="108" customFormat="1" ht="15.75" thickBot="1">
      <c r="A76" s="526"/>
      <c r="B76" s="490"/>
      <c r="C76" s="507"/>
      <c r="D76" s="483"/>
      <c r="E76" s="483"/>
      <c r="F76" s="483"/>
      <c r="G76" s="483"/>
      <c r="H76" s="483"/>
      <c r="I76" s="483"/>
      <c r="J76" s="483"/>
      <c r="K76" s="483"/>
      <c r="L76" s="483"/>
      <c r="M76" s="484"/>
      <c r="N76" s="2750"/>
      <c r="O76" s="2750"/>
      <c r="P76" s="2758"/>
      <c r="Q76" s="2735"/>
      <c r="R76" s="2658"/>
      <c r="S76" s="2658"/>
      <c r="T76" s="2658"/>
      <c r="U76" s="2658"/>
      <c r="V76" s="2658"/>
      <c r="W76" s="2658"/>
      <c r="X76" s="2658"/>
      <c r="Y76" s="2658"/>
      <c r="Z76" s="2658"/>
      <c r="AA76" s="2658"/>
      <c r="AB76" s="2658"/>
      <c r="AC76" s="2658"/>
    </row>
    <row r="77" spans="1:29" s="420" customFormat="1" ht="15.75" thickTop="1">
      <c r="A77" s="500"/>
      <c r="B77" s="485">
        <f>B25</f>
        <v>111</v>
      </c>
      <c r="C77" s="501"/>
      <c r="D77" s="501"/>
      <c r="E77" s="501"/>
      <c r="F77" s="501"/>
      <c r="G77" s="501"/>
      <c r="H77" s="502"/>
      <c r="I77" s="502"/>
      <c r="J77" s="502"/>
      <c r="K77" s="502"/>
      <c r="L77" s="503"/>
      <c r="M77" s="504"/>
      <c r="N77" s="2751"/>
      <c r="O77" s="2751"/>
      <c r="P77" s="2759"/>
      <c r="Q77" s="2742"/>
      <c r="R77" s="2743"/>
      <c r="S77" s="2743"/>
      <c r="T77" s="2743"/>
      <c r="U77" s="2743"/>
      <c r="V77" s="2743"/>
      <c r="W77" s="2743"/>
      <c r="X77" s="2743"/>
      <c r="Y77" s="2743"/>
      <c r="Z77" s="2743"/>
      <c r="AA77" s="2743"/>
      <c r="AB77" s="2743"/>
      <c r="AC77" s="2743"/>
    </row>
    <row r="78" spans="1:29" s="420" customFormat="1" ht="15.75" thickBot="1">
      <c r="A78" s="500"/>
      <c r="B78" s="490"/>
      <c r="C78" s="507"/>
      <c r="D78" s="507"/>
      <c r="E78" s="507"/>
      <c r="F78" s="507"/>
      <c r="G78" s="483"/>
      <c r="H78" s="483"/>
      <c r="I78" s="483"/>
      <c r="J78" s="483"/>
      <c r="K78" s="483"/>
      <c r="L78" s="483"/>
      <c r="M78" s="484"/>
      <c r="N78" s="2751"/>
      <c r="O78" s="2751"/>
      <c r="P78" s="2759"/>
      <c r="Q78" s="2742"/>
      <c r="R78" s="2743"/>
      <c r="S78" s="2743"/>
      <c r="T78" s="2743"/>
      <c r="U78" s="2743"/>
      <c r="V78" s="2743"/>
      <c r="W78" s="2743"/>
      <c r="X78" s="2743"/>
      <c r="Y78" s="2743"/>
      <c r="Z78" s="2743"/>
      <c r="AA78" s="2743"/>
      <c r="AB78" s="2743"/>
      <c r="AC78" s="2743"/>
    </row>
    <row r="79" spans="1:29" ht="27.75" thickTop="1">
      <c r="A79" s="474" t="s">
        <v>1694</v>
      </c>
      <c r="B79" s="475" t="s">
        <v>1853</v>
      </c>
      <c r="C79" s="476" t="str">
        <f>C26</f>
        <v>车库</v>
      </c>
      <c r="D79" s="477"/>
      <c r="E79" s="477"/>
      <c r="F79" s="477"/>
      <c r="G79" s="477"/>
      <c r="H79" s="477"/>
      <c r="I79" s="477"/>
      <c r="J79" s="477"/>
      <c r="K79" s="478"/>
      <c r="L79" s="479"/>
      <c r="M79" s="480"/>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1"/>
      <c r="B81" s="485" t="s">
        <v>1854</v>
      </c>
      <c r="C81" s="607"/>
      <c r="D81" s="607"/>
      <c r="E81" s="607"/>
      <c r="F81" s="607"/>
      <c r="G81" s="607"/>
      <c r="H81" s="607"/>
      <c r="I81" s="607"/>
      <c r="J81" s="607"/>
      <c r="K81" s="608"/>
      <c r="L81" s="609"/>
      <c r="M81" s="610"/>
      <c r="N81" s="2748"/>
      <c r="O81" s="2748"/>
      <c r="P81" s="2758"/>
      <c r="Q81" s="2735"/>
      <c r="R81" s="2721"/>
      <c r="S81" s="2721"/>
      <c r="T81" s="2721"/>
      <c r="U81" s="2721"/>
      <c r="V81" s="2721"/>
      <c r="W81" s="2721"/>
      <c r="X81" s="2721"/>
      <c r="Y81" s="2721"/>
      <c r="Z81" s="2721"/>
      <c r="AA81" s="2721"/>
      <c r="AB81" s="2721"/>
      <c r="AC81" s="2721"/>
    </row>
    <row r="82" spans="1:29" s="420" customFormat="1" ht="15.75" thickBot="1">
      <c r="A82" s="500"/>
      <c r="B82" s="490"/>
      <c r="C82" s="507"/>
      <c r="D82" s="483"/>
      <c r="E82" s="483"/>
      <c r="F82" s="483"/>
      <c r="G82" s="483"/>
      <c r="H82" s="483"/>
      <c r="I82" s="483"/>
      <c r="J82" s="483"/>
      <c r="K82" s="483"/>
      <c r="L82" s="483"/>
      <c r="M82" s="484"/>
      <c r="N82" s="2750"/>
      <c r="O82" s="2750"/>
      <c r="P82" s="2759"/>
      <c r="Q82" s="2742"/>
      <c r="R82" s="2743"/>
      <c r="S82" s="2743"/>
      <c r="T82" s="2743"/>
      <c r="U82" s="2743"/>
      <c r="V82" s="2743"/>
      <c r="W82" s="2743"/>
      <c r="X82" s="2743"/>
      <c r="Y82" s="2743"/>
      <c r="Z82" s="2743"/>
      <c r="AA82" s="2743"/>
      <c r="AB82" s="2743"/>
      <c r="AC82" s="2743"/>
    </row>
    <row r="83" spans="1:29" ht="15" thickTop="1">
      <c r="A83" s="546"/>
      <c r="B83" s="485" t="s">
        <v>1740</v>
      </c>
      <c r="C83" s="501"/>
      <c r="D83" s="501"/>
      <c r="E83" s="530"/>
      <c r="F83" s="530"/>
      <c r="G83" s="530"/>
      <c r="H83" s="530"/>
      <c r="I83" s="530"/>
      <c r="J83" s="530"/>
      <c r="K83" s="531"/>
      <c r="L83" s="532"/>
      <c r="M83" s="533"/>
      <c r="N83" s="2749"/>
      <c r="O83" s="2749"/>
      <c r="P83" s="2758"/>
      <c r="Q83" s="2735"/>
      <c r="R83" s="2721"/>
      <c r="S83" s="2721"/>
      <c r="T83" s="2721"/>
      <c r="U83" s="2721"/>
      <c r="V83" s="2721"/>
      <c r="W83" s="2721"/>
      <c r="X83" s="2721"/>
      <c r="Y83" s="2721"/>
      <c r="Z83" s="2721"/>
      <c r="AA83" s="2721"/>
      <c r="AB83" s="2721"/>
      <c r="AC83" s="2721"/>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9"/>
      <c r="O85" s="2749"/>
      <c r="P85" s="2758"/>
      <c r="Q85" s="2735"/>
      <c r="R85" s="2721"/>
      <c r="S85" s="2721"/>
      <c r="T85" s="2721"/>
      <c r="U85" s="2721"/>
      <c r="V85" s="2721"/>
      <c r="W85" s="2721"/>
      <c r="X85" s="2721"/>
      <c r="Y85" s="2721"/>
      <c r="Z85" s="2721"/>
      <c r="AA85" s="2721"/>
      <c r="AB85" s="2721"/>
      <c r="AC85" s="2721"/>
    </row>
    <row r="86" spans="1:29">
      <c r="A86" s="546"/>
      <c r="B86" s="493"/>
      <c r="C86" s="550">
        <v>0.5</v>
      </c>
      <c r="D86" s="550">
        <v>0.6</v>
      </c>
      <c r="E86" s="550">
        <v>0.7</v>
      </c>
      <c r="F86" s="550">
        <v>0.8</v>
      </c>
      <c r="G86" s="550">
        <v>0.9</v>
      </c>
      <c r="H86" s="550">
        <v>1.0001</v>
      </c>
      <c r="I86" s="569"/>
      <c r="J86" s="569"/>
      <c r="K86" s="570"/>
      <c r="L86" s="571"/>
      <c r="M86" s="572"/>
      <c r="N86" s="2749"/>
      <c r="O86" s="2749"/>
      <c r="P86" s="2758"/>
      <c r="Q86" s="2735"/>
      <c r="R86" s="2721"/>
      <c r="S86" s="2721"/>
      <c r="T86" s="2721"/>
      <c r="U86" s="2721"/>
      <c r="V86" s="2721"/>
      <c r="W86" s="2721"/>
      <c r="X86" s="2721"/>
      <c r="Y86" s="2721"/>
      <c r="Z86" s="2721"/>
      <c r="AA86" s="2721"/>
      <c r="AB86" s="2721"/>
      <c r="AC86" s="2721"/>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6"/>
      <c r="B88" s="493" t="s">
        <v>1856</v>
      </c>
      <c r="C88" s="477"/>
      <c r="D88" s="477"/>
      <c r="E88" s="477"/>
      <c r="F88" s="477"/>
      <c r="G88" s="477"/>
      <c r="H88" s="477"/>
      <c r="I88" s="477"/>
      <c r="J88" s="477"/>
      <c r="K88" s="478"/>
      <c r="L88" s="479"/>
      <c r="M88" s="480"/>
      <c r="N88" s="2749"/>
      <c r="O88" s="2749"/>
      <c r="P88" s="2758"/>
      <c r="Q88" s="2735"/>
      <c r="R88" s="2721"/>
      <c r="S88" s="2721"/>
      <c r="T88" s="2721"/>
      <c r="U88" s="2721"/>
      <c r="V88" s="2721"/>
      <c r="W88" s="2721"/>
      <c r="X88" s="2721"/>
      <c r="Y88" s="2721"/>
      <c r="Z88" s="2721"/>
      <c r="AA88" s="2721"/>
      <c r="AB88" s="2721"/>
      <c r="AC88" s="2721"/>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0"/>
      <c r="O89" s="2750"/>
      <c r="P89" s="2758"/>
      <c r="Q89" s="2735"/>
      <c r="R89" s="2721"/>
      <c r="S89" s="2721"/>
      <c r="T89" s="2721"/>
      <c r="U89" s="2721"/>
      <c r="V89" s="2721"/>
      <c r="W89" s="2721"/>
      <c r="X89" s="2721"/>
      <c r="Y89" s="2721"/>
      <c r="Z89" s="2721"/>
      <c r="AA89" s="2721"/>
      <c r="AB89" s="2721"/>
      <c r="AC89" s="2721"/>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1"/>
      <c r="O90" s="2751"/>
      <c r="P90" s="2759"/>
      <c r="Q90" s="2742"/>
      <c r="R90" s="2743"/>
      <c r="S90" s="2743"/>
      <c r="T90" s="2743"/>
      <c r="U90" s="2743"/>
      <c r="V90" s="2743"/>
      <c r="W90" s="2743"/>
      <c r="X90" s="2743"/>
      <c r="Y90" s="2743"/>
      <c r="Z90" s="2743"/>
      <c r="AA90" s="2743"/>
      <c r="AB90" s="2743"/>
      <c r="AC90" s="2743"/>
    </row>
    <row r="91" spans="1:29" s="420" customFormat="1">
      <c r="A91" s="540"/>
      <c r="B91" s="493"/>
      <c r="C91" s="542"/>
      <c r="D91" s="542"/>
      <c r="E91" s="542"/>
      <c r="F91" s="542"/>
      <c r="G91" s="542"/>
      <c r="H91" s="542"/>
      <c r="I91" s="542"/>
      <c r="J91" s="543"/>
      <c r="K91" s="543"/>
      <c r="L91" s="544"/>
      <c r="M91" s="545"/>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07"/>
      <c r="D92" s="483"/>
      <c r="E92" s="483"/>
      <c r="F92" s="483"/>
      <c r="G92" s="483"/>
      <c r="H92" s="483"/>
      <c r="I92" s="483"/>
      <c r="J92" s="483"/>
      <c r="K92" s="483"/>
      <c r="L92" s="483"/>
      <c r="M92" s="484"/>
      <c r="N92" s="2751"/>
      <c r="O92" s="2751"/>
      <c r="P92" s="2759"/>
      <c r="Q92" s="2742"/>
      <c r="R92" s="2743"/>
      <c r="S92" s="2743"/>
      <c r="T92" s="2743"/>
      <c r="U92" s="2743"/>
      <c r="V92" s="2743"/>
      <c r="W92" s="2743"/>
      <c r="X92" s="2743"/>
      <c r="Y92" s="2743"/>
      <c r="Z92" s="2743"/>
      <c r="AA92" s="2743"/>
      <c r="AB92" s="2743"/>
      <c r="AC92" s="2743"/>
    </row>
    <row r="93" spans="1:29" ht="15" thickTop="1">
      <c r="A93" s="546"/>
      <c r="B93" s="485" t="s">
        <v>1858</v>
      </c>
      <c r="C93" s="501"/>
      <c r="D93" s="501"/>
      <c r="E93" s="530"/>
      <c r="F93" s="530"/>
      <c r="G93" s="530"/>
      <c r="H93" s="530"/>
      <c r="I93" s="530"/>
      <c r="J93" s="530"/>
      <c r="K93" s="531"/>
      <c r="L93" s="532"/>
      <c r="M93" s="533"/>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6"/>
      <c r="B95" s="485" t="s">
        <v>1859</v>
      </c>
      <c r="C95" s="477"/>
      <c r="D95" s="477"/>
      <c r="E95" s="477"/>
      <c r="F95" s="477"/>
      <c r="G95" s="477"/>
      <c r="H95" s="477"/>
      <c r="I95" s="477"/>
      <c r="J95" s="477"/>
      <c r="K95" s="478"/>
      <c r="L95" s="479"/>
      <c r="M95" s="480"/>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0"/>
      <c r="O96" s="2750"/>
      <c r="P96" s="2758"/>
      <c r="Q96" s="2735"/>
      <c r="R96" s="2721"/>
      <c r="S96" s="2721"/>
      <c r="T96" s="2721"/>
      <c r="U96" s="2721"/>
      <c r="V96" s="2721"/>
      <c r="W96" s="2721"/>
      <c r="X96" s="2721"/>
      <c r="Y96" s="2721"/>
      <c r="Z96" s="2721"/>
      <c r="AA96" s="2721"/>
      <c r="AB96" s="2721"/>
      <c r="AC96" s="2721"/>
    </row>
    <row r="97" spans="1:29" ht="15" thickTop="1">
      <c r="A97" s="546"/>
      <c r="B97" s="582">
        <f>B34</f>
        <v>111</v>
      </c>
      <c r="C97" s="496"/>
      <c r="D97" s="496"/>
      <c r="E97" s="496"/>
      <c r="F97" s="496"/>
      <c r="G97" s="501"/>
      <c r="H97" s="502"/>
      <c r="I97" s="502"/>
      <c r="J97" s="502"/>
      <c r="K97" s="502"/>
      <c r="L97" s="503"/>
      <c r="M97" s="504"/>
      <c r="N97" s="2750"/>
      <c r="O97" s="2750"/>
      <c r="P97" s="2763"/>
      <c r="Q97" s="2764"/>
      <c r="R97" s="2721"/>
      <c r="S97" s="2721"/>
      <c r="T97" s="2721"/>
      <c r="U97" s="2721"/>
      <c r="V97" s="2721"/>
      <c r="W97" s="2721"/>
      <c r="X97" s="2721"/>
      <c r="Y97" s="2721"/>
      <c r="Z97" s="2721"/>
      <c r="AA97" s="2721"/>
      <c r="AB97" s="2721"/>
      <c r="AC97" s="2721"/>
    </row>
    <row r="98" spans="1:29" ht="15.75" thickBot="1">
      <c r="A98" s="481"/>
      <c r="B98" s="490"/>
      <c r="C98" s="507"/>
      <c r="D98" s="483"/>
      <c r="E98" s="483"/>
      <c r="F98" s="483"/>
      <c r="G98" s="507"/>
      <c r="H98" s="509"/>
      <c r="I98" s="509"/>
      <c r="J98" s="509"/>
      <c r="K98" s="509"/>
      <c r="L98" s="509"/>
      <c r="M98" s="510"/>
      <c r="N98" s="2750"/>
      <c r="O98" s="2750"/>
      <c r="P98" s="2758"/>
      <c r="Q98" s="2735"/>
      <c r="R98" s="2721"/>
      <c r="S98" s="2721"/>
      <c r="T98" s="2721"/>
      <c r="U98" s="2721"/>
      <c r="V98" s="2721"/>
      <c r="W98" s="2721"/>
      <c r="X98" s="2721"/>
      <c r="Y98" s="2721"/>
      <c r="Z98" s="2721"/>
      <c r="AA98" s="2721"/>
      <c r="AB98" s="2721"/>
      <c r="AC98" s="2721"/>
    </row>
    <row r="99" spans="1:29" s="420" customFormat="1" ht="15" thickTop="1">
      <c r="A99" s="540"/>
      <c r="B99" s="485">
        <f>B35</f>
        <v>111</v>
      </c>
      <c r="C99" s="496"/>
      <c r="D99" s="496"/>
      <c r="E99" s="496"/>
      <c r="F99" s="496"/>
      <c r="G99" s="501"/>
      <c r="H99" s="502"/>
      <c r="I99" s="502"/>
      <c r="J99" s="502"/>
      <c r="K99" s="502"/>
      <c r="L99" s="503"/>
      <c r="M99" s="504"/>
      <c r="N99" s="2751"/>
      <c r="O99" s="2751"/>
      <c r="P99" s="2759"/>
      <c r="Q99" s="2742"/>
      <c r="R99" s="2743"/>
      <c r="S99" s="2743"/>
      <c r="T99" s="2743"/>
      <c r="U99" s="2743"/>
      <c r="V99" s="2743"/>
      <c r="W99" s="2743"/>
      <c r="X99" s="2743"/>
      <c r="Y99" s="2743"/>
      <c r="Z99" s="2743"/>
      <c r="AA99" s="2743"/>
      <c r="AB99" s="2743"/>
      <c r="AC99" s="2743"/>
    </row>
    <row r="100" spans="1:29" s="420" customFormat="1" ht="15.75" thickBot="1">
      <c r="A100" s="500"/>
      <c r="B100" s="482"/>
      <c r="C100" s="507"/>
      <c r="D100" s="483"/>
      <c r="E100" s="483"/>
      <c r="F100" s="483"/>
      <c r="G100" s="507"/>
      <c r="H100" s="509"/>
      <c r="I100" s="509"/>
      <c r="J100" s="509"/>
      <c r="K100" s="509"/>
      <c r="L100" s="509"/>
      <c r="M100" s="510"/>
      <c r="N100" s="2751"/>
      <c r="O100" s="2751"/>
      <c r="P100" s="2759"/>
      <c r="Q100" s="2742"/>
      <c r="R100" s="2743"/>
      <c r="S100" s="2743"/>
      <c r="T100" s="2743"/>
      <c r="U100" s="2743"/>
      <c r="V100" s="2743"/>
      <c r="W100" s="2743"/>
      <c r="X100" s="2743"/>
      <c r="Y100" s="2743"/>
      <c r="Z100" s="2743"/>
      <c r="AA100" s="2743"/>
      <c r="AB100" s="2743"/>
      <c r="AC100" s="2743"/>
    </row>
    <row r="101" spans="1:29" ht="15" thickTop="1">
      <c r="A101" s="546"/>
      <c r="B101" s="485">
        <f>B36</f>
        <v>111</v>
      </c>
      <c r="C101" s="501"/>
      <c r="D101" s="501"/>
      <c r="E101" s="501"/>
      <c r="F101" s="501"/>
      <c r="G101" s="501"/>
      <c r="H101" s="502"/>
      <c r="I101" s="502"/>
      <c r="J101" s="502"/>
      <c r="K101" s="502"/>
      <c r="L101" s="503"/>
      <c r="M101" s="504"/>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507"/>
      <c r="D102" s="507"/>
      <c r="E102" s="507"/>
      <c r="F102" s="507"/>
      <c r="G102" s="507"/>
      <c r="H102" s="509"/>
      <c r="I102" s="509"/>
      <c r="J102" s="509"/>
      <c r="K102" s="509"/>
      <c r="L102" s="509"/>
      <c r="M102" s="510"/>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3338</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17"/>
      <c r="AC5" s="3717"/>
    </row>
    <row r="6" spans="1:29" ht="15.75" thickBot="1">
      <c r="A6" s="358"/>
      <c r="B6" s="359"/>
      <c r="C6" s="3736" t="s">
        <v>1677</v>
      </c>
      <c r="D6" s="3737"/>
      <c r="E6" s="3744" t="s">
        <v>1677</v>
      </c>
      <c r="F6" s="3745"/>
      <c r="G6" s="3736" t="s">
        <v>1677</v>
      </c>
      <c r="H6" s="3737"/>
      <c r="I6" s="3736" t="s">
        <v>1677</v>
      </c>
      <c r="J6" s="3737"/>
      <c r="K6" s="557" t="s">
        <v>1678</v>
      </c>
      <c r="L6" s="2711"/>
      <c r="M6" s="2712"/>
      <c r="N6" s="2712"/>
      <c r="O6" s="2712"/>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64"/>
      <c r="F7" s="365">
        <f>SUMIF(46:46,YEAR(E7)&amp;"-"&amp;MONTH(E7),47:47)</f>
        <v>0</v>
      </c>
      <c r="G7" s="1971"/>
      <c r="H7" s="363">
        <f>SUMIF(46:46,YEAR(G7)&amp;"-"&amp;MONTH(G7),47:47)</f>
        <v>0</v>
      </c>
      <c r="I7" s="364"/>
      <c r="J7" s="363">
        <f>SUMIF(46:46,YEAR(I7)&amp;"-"&amp;MONTH(I7),47:47)</f>
        <v>0</v>
      </c>
      <c r="K7" s="558"/>
      <c r="L7" s="2713"/>
      <c r="M7" s="2714"/>
      <c r="N7" s="2714"/>
      <c r="O7" s="2714"/>
      <c r="P7" s="3740" t="s">
        <v>1680</v>
      </c>
      <c r="Q7" s="3742"/>
      <c r="R7" s="698" t="s">
        <v>14</v>
      </c>
      <c r="S7" s="699">
        <f t="shared" ref="S7:S14" si="0">F7</f>
        <v>0</v>
      </c>
      <c r="T7" s="698" t="s">
        <v>14</v>
      </c>
      <c r="U7" s="699">
        <f t="shared" ref="U7:U14" si="1">H7</f>
        <v>0</v>
      </c>
      <c r="V7" s="698" t="s">
        <v>14</v>
      </c>
      <c r="W7" s="699">
        <f t="shared" ref="W7:W14" si="2">J7</f>
        <v>0</v>
      </c>
      <c r="X7" s="700"/>
      <c r="Y7" s="3740" t="s">
        <v>1680</v>
      </c>
      <c r="Z7" s="3741"/>
      <c r="AA7" s="701" t="e">
        <f>D7/F7</f>
        <v>#DIV/0!</v>
      </c>
      <c r="AB7" s="701" t="e">
        <f>D7/H7</f>
        <v>#DIV/0!</v>
      </c>
      <c r="AC7" s="701" t="e">
        <f>D7/J7</f>
        <v>#DIV/0!</v>
      </c>
    </row>
    <row r="8" spans="1:29" s="108"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3"/>
      <c r="M8" s="2714"/>
      <c r="N8" s="2714"/>
      <c r="O8" s="2714"/>
      <c r="P8" s="3740" t="s">
        <v>1683</v>
      </c>
      <c r="Q8" s="3741"/>
      <c r="R8" s="698" t="s">
        <v>14</v>
      </c>
      <c r="S8" s="699">
        <f t="shared" si="0"/>
        <v>100</v>
      </c>
      <c r="T8" s="698" t="s">
        <v>14</v>
      </c>
      <c r="U8" s="699">
        <f t="shared" si="1"/>
        <v>100</v>
      </c>
      <c r="V8" s="698" t="s">
        <v>14</v>
      </c>
      <c r="W8" s="699">
        <f t="shared" si="2"/>
        <v>100</v>
      </c>
      <c r="X8" s="700"/>
      <c r="Y8" s="3740" t="s">
        <v>1683</v>
      </c>
      <c r="Z8" s="3741"/>
      <c r="AA8" s="701">
        <f t="shared" ref="AA8:AA34" si="3">D8/F8</f>
        <v>1</v>
      </c>
      <c r="AB8" s="701">
        <f t="shared" ref="AB8:AB34" si="4">D8/H8</f>
        <v>1</v>
      </c>
      <c r="AC8" s="701">
        <f t="shared" ref="AC8:AC34" si="5">D8/J8</f>
        <v>1</v>
      </c>
    </row>
    <row r="9" spans="1:29" s="108"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3"/>
      <c r="M9" s="2714"/>
      <c r="N9" s="2714"/>
      <c r="O9" s="2768"/>
      <c r="P9" s="3706" t="s">
        <v>1686</v>
      </c>
      <c r="Q9" s="1340" t="str">
        <f t="shared" ref="Q9:Q14" si="6">B9</f>
        <v>用途</v>
      </c>
      <c r="R9" s="698" t="s">
        <v>14</v>
      </c>
      <c r="S9" s="699">
        <f t="shared" si="0"/>
        <v>100</v>
      </c>
      <c r="T9" s="698" t="s">
        <v>14</v>
      </c>
      <c r="U9" s="699">
        <f t="shared" si="1"/>
        <v>100</v>
      </c>
      <c r="V9" s="698" t="s">
        <v>14</v>
      </c>
      <c r="W9" s="699">
        <f t="shared" si="2"/>
        <v>100</v>
      </c>
      <c r="X9" s="700"/>
      <c r="Y9" s="3610" t="s">
        <v>1687</v>
      </c>
      <c r="Z9" s="52" t="str">
        <f t="shared" ref="Z9:Z14" si="7">Q9</f>
        <v>用途</v>
      </c>
      <c r="AA9" s="701">
        <f t="shared" si="3"/>
        <v>1</v>
      </c>
      <c r="AB9" s="701">
        <f t="shared" si="4"/>
        <v>1</v>
      </c>
      <c r="AC9" s="701">
        <f t="shared" si="5"/>
        <v>1</v>
      </c>
    </row>
    <row r="10" spans="1:29" s="376" customFormat="1" ht="27">
      <c r="A10" s="372"/>
      <c r="B10" s="373" t="s">
        <v>1688</v>
      </c>
      <c r="C10" s="3430"/>
      <c r="D10" s="125">
        <v>100</v>
      </c>
      <c r="E10" s="3430"/>
      <c r="F10" s="374">
        <f>SUMIF(53:53,E10,54:54)-SUMIF(53:53,C10,54:54)+100</f>
        <v>100</v>
      </c>
      <c r="G10" s="3430"/>
      <c r="H10" s="125">
        <f>SUMIF(53:53,G10,54:54)-SUMIF(53:53,C10,54:54)+100</f>
        <v>100</v>
      </c>
      <c r="I10" s="3430"/>
      <c r="J10" s="125">
        <f>SUMIF(53:53,I10,54:54)-SUMIF(53:53,C10,54:54)+100</f>
        <v>100</v>
      </c>
      <c r="K10" s="558"/>
      <c r="L10" s="2715"/>
      <c r="M10" s="2716"/>
      <c r="N10" s="2716"/>
      <c r="O10" s="2769"/>
      <c r="P10" s="3706"/>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7"/>
      <c r="M11" s="2712"/>
      <c r="N11" s="2712"/>
      <c r="O11" s="2770"/>
      <c r="P11" s="3706"/>
      <c r="Q11" s="1340">
        <f t="shared" si="6"/>
        <v>111</v>
      </c>
      <c r="R11" s="698" t="s">
        <v>14</v>
      </c>
      <c r="S11" s="699">
        <f t="shared" si="0"/>
        <v>100</v>
      </c>
      <c r="T11" s="698" t="s">
        <v>14</v>
      </c>
      <c r="U11" s="699">
        <f t="shared" si="1"/>
        <v>100</v>
      </c>
      <c r="V11" s="698" t="s">
        <v>14</v>
      </c>
      <c r="W11" s="699">
        <f t="shared" si="2"/>
        <v>100</v>
      </c>
      <c r="X11" s="700"/>
      <c r="Y11" s="3610"/>
      <c r="Z11" s="52">
        <f t="shared" si="7"/>
        <v>111</v>
      </c>
      <c r="AA11" s="701">
        <f t="shared" si="3"/>
        <v>1</v>
      </c>
      <c r="AB11" s="701">
        <f t="shared" si="4"/>
        <v>1</v>
      </c>
      <c r="AC11" s="701">
        <f t="shared" si="5"/>
        <v>1</v>
      </c>
    </row>
    <row r="12" spans="1:29" s="108"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3"/>
      <c r="M12" s="2714"/>
      <c r="N12" s="2714"/>
      <c r="O12" s="2768"/>
      <c r="P12" s="3706"/>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8"/>
      <c r="M13" s="2712"/>
      <c r="N13" s="2712"/>
      <c r="O13" s="2770"/>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8"/>
      <c r="M14" s="2712"/>
      <c r="N14" s="2712"/>
      <c r="O14" s="2770"/>
      <c r="P14" s="3711" t="s">
        <v>1691</v>
      </c>
      <c r="Q14" s="1349" t="str">
        <f t="shared" si="6"/>
        <v>交通便捷度</v>
      </c>
      <c r="R14" s="702" t="s">
        <v>14</v>
      </c>
      <c r="S14" s="703">
        <f t="shared" si="0"/>
        <v>100</v>
      </c>
      <c r="T14" s="702" t="s">
        <v>14</v>
      </c>
      <c r="U14" s="703">
        <f t="shared" si="1"/>
        <v>100</v>
      </c>
      <c r="V14" s="702" t="s">
        <v>14</v>
      </c>
      <c r="W14" s="703">
        <f t="shared" si="2"/>
        <v>100</v>
      </c>
      <c r="X14" s="1352"/>
      <c r="Y14" s="3711"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8"/>
      <c r="M15" s="2712"/>
      <c r="N15" s="2712"/>
      <c r="O15" s="2770"/>
      <c r="P15" s="3712"/>
      <c r="Q15" s="1349"/>
      <c r="R15" s="702"/>
      <c r="S15" s="703"/>
      <c r="T15" s="702"/>
      <c r="U15" s="703"/>
      <c r="V15" s="702"/>
      <c r="W15" s="703"/>
      <c r="X15" s="1352"/>
      <c r="Y15" s="3712"/>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8"/>
      <c r="M16" s="2712"/>
      <c r="N16" s="2712"/>
      <c r="O16" s="2770"/>
      <c r="P16" s="3712"/>
      <c r="Q16" s="1349" t="str">
        <f>B16</f>
        <v>公共配套设施</v>
      </c>
      <c r="R16" s="702" t="s">
        <v>14</v>
      </c>
      <c r="S16" s="703">
        <f>F16</f>
        <v>100</v>
      </c>
      <c r="T16" s="702" t="s">
        <v>14</v>
      </c>
      <c r="U16" s="703">
        <f>H16</f>
        <v>100</v>
      </c>
      <c r="V16" s="702" t="s">
        <v>14</v>
      </c>
      <c r="W16" s="703">
        <f>J16</f>
        <v>100</v>
      </c>
      <c r="X16" s="1352"/>
      <c r="Y16" s="3712"/>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8"/>
      <c r="M17" s="2712"/>
      <c r="N17" s="2712"/>
      <c r="O17" s="2770"/>
      <c r="P17" s="3712"/>
      <c r="Q17" s="1349"/>
      <c r="R17" s="702"/>
      <c r="S17" s="703"/>
      <c r="T17" s="702"/>
      <c r="U17" s="703"/>
      <c r="V17" s="702"/>
      <c r="W17" s="703"/>
      <c r="X17" s="1352"/>
      <c r="Y17" s="3712"/>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8"/>
      <c r="M18" s="2712"/>
      <c r="N18" s="2712"/>
      <c r="O18" s="2770"/>
      <c r="P18" s="3712"/>
      <c r="Q18" s="1349" t="str">
        <f>B18</f>
        <v>基础设施水平</v>
      </c>
      <c r="R18" s="702" t="s">
        <v>14</v>
      </c>
      <c r="S18" s="703">
        <f>F18</f>
        <v>100</v>
      </c>
      <c r="T18" s="702" t="s">
        <v>14</v>
      </c>
      <c r="U18" s="703">
        <f>H18</f>
        <v>100</v>
      </c>
      <c r="V18" s="702" t="s">
        <v>14</v>
      </c>
      <c r="W18" s="703">
        <f>J18</f>
        <v>100</v>
      </c>
      <c r="X18" s="1352"/>
      <c r="Y18" s="3712"/>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8"/>
      <c r="M19" s="2712"/>
      <c r="N19" s="2712"/>
      <c r="O19" s="2770"/>
      <c r="P19" s="3712"/>
      <c r="Q19" s="1349"/>
      <c r="R19" s="702"/>
      <c r="S19" s="703"/>
      <c r="T19" s="702"/>
      <c r="U19" s="703"/>
      <c r="V19" s="702"/>
      <c r="W19" s="703"/>
      <c r="X19" s="1352"/>
      <c r="Y19" s="3712"/>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8"/>
      <c r="M20" s="2712"/>
      <c r="N20" s="2712"/>
      <c r="O20" s="2770"/>
      <c r="P20" s="3712"/>
      <c r="Q20" s="1349" t="str">
        <f>B20</f>
        <v>自然及人文环境</v>
      </c>
      <c r="R20" s="702" t="s">
        <v>14</v>
      </c>
      <c r="S20" s="703">
        <f>F20</f>
        <v>100</v>
      </c>
      <c r="T20" s="702" t="s">
        <v>14</v>
      </c>
      <c r="U20" s="703">
        <f>H20</f>
        <v>100</v>
      </c>
      <c r="V20" s="702" t="s">
        <v>14</v>
      </c>
      <c r="W20" s="703">
        <f>J20</f>
        <v>100</v>
      </c>
      <c r="X20" s="1352"/>
      <c r="Y20" s="3712"/>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8"/>
      <c r="M21" s="2712"/>
      <c r="N21" s="2712"/>
      <c r="O21" s="2770"/>
      <c r="P21" s="3712"/>
      <c r="Q21" s="1349"/>
      <c r="R21" s="702"/>
      <c r="S21" s="703"/>
      <c r="T21" s="702"/>
      <c r="U21" s="703"/>
      <c r="V21" s="702"/>
      <c r="W21" s="703"/>
      <c r="X21" s="1352"/>
      <c r="Y21" s="3712"/>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8"/>
      <c r="M22" s="2712"/>
      <c r="N22" s="2712"/>
      <c r="O22" s="2770"/>
      <c r="P22" s="3712"/>
      <c r="Q22" s="1349" t="str">
        <f>B22</f>
        <v>楼层</v>
      </c>
      <c r="R22" s="702" t="s">
        <v>14</v>
      </c>
      <c r="S22" s="703">
        <f>F22</f>
        <v>100</v>
      </c>
      <c r="T22" s="702" t="s">
        <v>14</v>
      </c>
      <c r="U22" s="703">
        <f>H22</f>
        <v>100</v>
      </c>
      <c r="V22" s="702" t="s">
        <v>14</v>
      </c>
      <c r="W22" s="703">
        <f>J22</f>
        <v>100</v>
      </c>
      <c r="X22" s="1352"/>
      <c r="Y22" s="3712"/>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8"/>
      <c r="M23" s="2712"/>
      <c r="N23" s="2712"/>
      <c r="O23" s="2770"/>
      <c r="P23" s="3712"/>
      <c r="Q23" s="1349">
        <f>B23</f>
        <v>111</v>
      </c>
      <c r="R23" s="702" t="s">
        <v>14</v>
      </c>
      <c r="S23" s="703">
        <f>F23</f>
        <v>100</v>
      </c>
      <c r="T23" s="702" t="s">
        <v>14</v>
      </c>
      <c r="U23" s="703">
        <f>H23</f>
        <v>100</v>
      </c>
      <c r="V23" s="702" t="s">
        <v>14</v>
      </c>
      <c r="W23" s="703">
        <f>J23</f>
        <v>100</v>
      </c>
      <c r="X23" s="1352"/>
      <c r="Y23" s="3712"/>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8"/>
      <c r="M24" s="2712"/>
      <c r="N24" s="2712"/>
      <c r="O24" s="2770"/>
      <c r="P24" s="3712"/>
      <c r="Q24" s="1349">
        <f t="shared" ref="Q24:Q34" si="11">B24</f>
        <v>111</v>
      </c>
      <c r="R24" s="702" t="s">
        <v>14</v>
      </c>
      <c r="S24" s="703">
        <f>F24</f>
        <v>100</v>
      </c>
      <c r="T24" s="702" t="s">
        <v>14</v>
      </c>
      <c r="U24" s="703">
        <f>H24</f>
        <v>100</v>
      </c>
      <c r="V24" s="702" t="s">
        <v>14</v>
      </c>
      <c r="W24" s="703">
        <f>J24</f>
        <v>100</v>
      </c>
      <c r="X24" s="1352"/>
      <c r="Y24" s="3712"/>
      <c r="Z24" s="1353">
        <f>Q24</f>
        <v>111</v>
      </c>
      <c r="AA24" s="1350">
        <f t="shared" si="3"/>
        <v>1</v>
      </c>
      <c r="AB24" s="1350">
        <f t="shared" si="4"/>
        <v>1</v>
      </c>
      <c r="AC24" s="1350">
        <f t="shared" si="5"/>
        <v>1</v>
      </c>
    </row>
    <row r="25" spans="1:29" s="108"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3"/>
      <c r="M25" s="2714"/>
      <c r="N25" s="2714"/>
      <c r="O25" s="2768"/>
      <c r="P25" s="3712"/>
      <c r="Q25" s="1340">
        <f t="shared" si="11"/>
        <v>111</v>
      </c>
      <c r="R25" s="698" t="s">
        <v>14</v>
      </c>
      <c r="S25" s="699">
        <f>F25</f>
        <v>100</v>
      </c>
      <c r="T25" s="698" t="s">
        <v>14</v>
      </c>
      <c r="U25" s="699">
        <f>H25</f>
        <v>100</v>
      </c>
      <c r="V25" s="698" t="s">
        <v>14</v>
      </c>
      <c r="W25" s="699">
        <f>J25</f>
        <v>100</v>
      </c>
      <c r="X25" s="700"/>
      <c r="Y25" s="3712"/>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8"/>
      <c r="M26" s="2712"/>
      <c r="N26" s="2712"/>
      <c r="O26" s="2770"/>
      <c r="P26" s="3713"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14"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7"/>
      <c r="M27" s="2719"/>
      <c r="N27" s="2719"/>
      <c r="O27" s="2771"/>
      <c r="P27" s="3714"/>
      <c r="Q27" s="704" t="str">
        <f t="shared" si="11"/>
        <v>成新率</v>
      </c>
      <c r="R27" s="705" t="s">
        <v>14</v>
      </c>
      <c r="S27" s="706" t="e">
        <f t="shared" si="12"/>
        <v>#N/A</v>
      </c>
      <c r="T27" s="705" t="s">
        <v>14</v>
      </c>
      <c r="U27" s="706" t="e">
        <f t="shared" si="13"/>
        <v>#N/A</v>
      </c>
      <c r="V27" s="705" t="s">
        <v>14</v>
      </c>
      <c r="W27" s="706" t="e">
        <f t="shared" si="14"/>
        <v>#N/A</v>
      </c>
      <c r="X27" s="707"/>
      <c r="Y27" s="3714"/>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8"/>
      <c r="M28" s="2712"/>
      <c r="N28" s="2712"/>
      <c r="O28" s="2770"/>
      <c r="P28" s="3714"/>
      <c r="Q28" s="1349" t="str">
        <f t="shared" si="11"/>
        <v>物业等级</v>
      </c>
      <c r="R28" s="702" t="s">
        <v>14</v>
      </c>
      <c r="S28" s="703">
        <f t="shared" si="12"/>
        <v>100</v>
      </c>
      <c r="T28" s="702" t="s">
        <v>14</v>
      </c>
      <c r="U28" s="703">
        <f t="shared" si="13"/>
        <v>100</v>
      </c>
      <c r="V28" s="702" t="s">
        <v>14</v>
      </c>
      <c r="W28" s="703">
        <f t="shared" si="14"/>
        <v>100</v>
      </c>
      <c r="X28" s="1352"/>
      <c r="Y28" s="3714"/>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8"/>
      <c r="M29" s="2712"/>
      <c r="N29" s="2712"/>
      <c r="O29" s="2770"/>
      <c r="P29" s="3714"/>
      <c r="Q29" s="1349" t="str">
        <f t="shared" si="11"/>
        <v>有无电梯</v>
      </c>
      <c r="R29" s="702" t="s">
        <v>14</v>
      </c>
      <c r="S29" s="703">
        <f t="shared" si="12"/>
        <v>100</v>
      </c>
      <c r="T29" s="702" t="s">
        <v>14</v>
      </c>
      <c r="U29" s="703">
        <f t="shared" si="13"/>
        <v>100</v>
      </c>
      <c r="V29" s="702" t="s">
        <v>14</v>
      </c>
      <c r="W29" s="703">
        <f t="shared" si="14"/>
        <v>100</v>
      </c>
      <c r="X29" s="1352"/>
      <c r="Y29" s="3714"/>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8"/>
      <c r="M30" s="2712"/>
      <c r="N30" s="2712"/>
      <c r="O30" s="2770"/>
      <c r="P30" s="3714"/>
      <c r="Q30" s="1349" t="str">
        <f t="shared" si="11"/>
        <v>建筑面积</v>
      </c>
      <c r="R30" s="702" t="s">
        <v>14</v>
      </c>
      <c r="S30" s="703" t="e">
        <f t="shared" si="12"/>
        <v>#N/A</v>
      </c>
      <c r="T30" s="702" t="s">
        <v>14</v>
      </c>
      <c r="U30" s="703" t="e">
        <f t="shared" si="13"/>
        <v>#N/A</v>
      </c>
      <c r="V30" s="702" t="s">
        <v>14</v>
      </c>
      <c r="W30" s="703" t="e">
        <f t="shared" si="14"/>
        <v>#N/A</v>
      </c>
      <c r="X30" s="1352"/>
      <c r="Y30" s="3714"/>
      <c r="Z30" s="1353" t="str">
        <f t="shared" si="15"/>
        <v>建筑面积</v>
      </c>
      <c r="AA30" s="1350" t="e">
        <f t="shared" si="3"/>
        <v>#N/A</v>
      </c>
      <c r="AB30" s="1350" t="e">
        <f t="shared" si="4"/>
        <v>#N/A</v>
      </c>
      <c r="AC30" s="1350" t="e">
        <f t="shared" si="5"/>
        <v>#N/A</v>
      </c>
    </row>
    <row r="31" spans="1:29" s="108"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3"/>
      <c r="M31" s="2714"/>
      <c r="N31" s="2714"/>
      <c r="O31" s="2768"/>
      <c r="P31" s="3714"/>
      <c r="Q31" s="1340" t="str">
        <f t="shared" si="11"/>
        <v>是否封闭</v>
      </c>
      <c r="R31" s="698" t="s">
        <v>14</v>
      </c>
      <c r="S31" s="699">
        <f t="shared" si="12"/>
        <v>100</v>
      </c>
      <c r="T31" s="698" t="s">
        <v>14</v>
      </c>
      <c r="U31" s="699">
        <f t="shared" si="13"/>
        <v>100</v>
      </c>
      <c r="V31" s="698" t="s">
        <v>14</v>
      </c>
      <c r="W31" s="699">
        <f t="shared" si="14"/>
        <v>100</v>
      </c>
      <c r="X31" s="700"/>
      <c r="Y31" s="3714"/>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8"/>
      <c r="M32" s="2712"/>
      <c r="N32" s="2712"/>
      <c r="O32" s="2770"/>
      <c r="P32" s="3714" t="s">
        <v>1696</v>
      </c>
      <c r="Q32" s="1349">
        <f t="shared" si="11"/>
        <v>111</v>
      </c>
      <c r="R32" s="702" t="s">
        <v>14</v>
      </c>
      <c r="S32" s="703">
        <f t="shared" si="12"/>
        <v>100</v>
      </c>
      <c r="T32" s="702" t="s">
        <v>14</v>
      </c>
      <c r="U32" s="703">
        <f t="shared" si="13"/>
        <v>100</v>
      </c>
      <c r="V32" s="702" t="s">
        <v>14</v>
      </c>
      <c r="W32" s="703">
        <f t="shared" si="14"/>
        <v>100</v>
      </c>
      <c r="X32" s="1352"/>
      <c r="Y32" s="3714"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8"/>
      <c r="M33" s="2712"/>
      <c r="N33" s="2712"/>
      <c r="O33" s="2770"/>
      <c r="P33" s="3714"/>
      <c r="Q33" s="1349">
        <f t="shared" si="11"/>
        <v>111</v>
      </c>
      <c r="R33" s="702" t="s">
        <v>14</v>
      </c>
      <c r="S33" s="703">
        <f t="shared" si="12"/>
        <v>100</v>
      </c>
      <c r="T33" s="702" t="s">
        <v>14</v>
      </c>
      <c r="U33" s="703">
        <f t="shared" si="13"/>
        <v>100</v>
      </c>
      <c r="V33" s="702" t="s">
        <v>14</v>
      </c>
      <c r="W33" s="703">
        <f t="shared" si="14"/>
        <v>100</v>
      </c>
      <c r="X33" s="1352"/>
      <c r="Y33" s="3714"/>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8"/>
      <c r="M34" s="2712"/>
      <c r="N34" s="2712"/>
      <c r="O34" s="2770"/>
      <c r="P34" s="3714"/>
      <c r="Q34" s="1349">
        <f t="shared" si="11"/>
        <v>111</v>
      </c>
      <c r="R34" s="702" t="s">
        <v>14</v>
      </c>
      <c r="S34" s="703">
        <f t="shared" si="12"/>
        <v>100</v>
      </c>
      <c r="T34" s="702" t="s">
        <v>14</v>
      </c>
      <c r="U34" s="703">
        <f t="shared" si="13"/>
        <v>100</v>
      </c>
      <c r="V34" s="702" t="s">
        <v>14</v>
      </c>
      <c r="W34" s="703">
        <f t="shared" si="14"/>
        <v>100</v>
      </c>
      <c r="X34" s="1352"/>
      <c r="Y34" s="3714"/>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20"/>
      <c r="M35" s="2721"/>
      <c r="N35" s="2712"/>
      <c r="O35" s="2721"/>
      <c r="P35" s="3706" t="str">
        <f>A35</f>
        <v>成交单价（元/平方米）</v>
      </c>
      <c r="Q35" s="3706"/>
      <c r="R35" s="3707">
        <f>E35</f>
        <v>0</v>
      </c>
      <c r="S35" s="3707"/>
      <c r="T35" s="3707">
        <f>G35</f>
        <v>0</v>
      </c>
      <c r="U35" s="3707"/>
      <c r="V35" s="3707">
        <f>I35</f>
        <v>0</v>
      </c>
      <c r="W35" s="3707"/>
      <c r="X35" s="687"/>
      <c r="Y35" s="709"/>
      <c r="Z35" s="687"/>
      <c r="AA35" s="687"/>
      <c r="AB35" s="687"/>
      <c r="AC35" s="687"/>
    </row>
    <row r="36" spans="1:30" ht="15.75" thickBot="1">
      <c r="A36" s="435" t="s">
        <v>1793</v>
      </c>
      <c r="B36" s="436"/>
      <c r="C36" s="1157" t="e">
        <f>R37</f>
        <v>#DIV/0!</v>
      </c>
      <c r="D36" s="2314" t="s">
        <v>2138</v>
      </c>
      <c r="E36" s="1158" t="e">
        <f>R36</f>
        <v>#DIV/0!</v>
      </c>
      <c r="F36" s="2315"/>
      <c r="G36" s="1157" t="e">
        <f>T36</f>
        <v>#DIV/0!</v>
      </c>
      <c r="H36" s="2315"/>
      <c r="I36" s="1158" t="e">
        <f>V36</f>
        <v>#DIV/0!</v>
      </c>
      <c r="J36" s="2315"/>
      <c r="K36" s="2317">
        <f>F36+H36+J36</f>
        <v>0</v>
      </c>
      <c r="L36" s="2720"/>
      <c r="M36" s="2721"/>
      <c r="N36" s="2712"/>
      <c r="O36" s="2721"/>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20"/>
      <c r="M37" s="2721"/>
      <c r="N37" s="2721"/>
      <c r="O37" s="2721"/>
      <c r="P37" s="3708" t="str">
        <f>A37</f>
        <v>估价对象XX用房的比较价值（楼面单价，元/平方米）</v>
      </c>
      <c r="Q37" s="3709"/>
      <c r="R37" s="3795" t="e">
        <f>IF(F1="售价",ROUND(IF(D36="简单平均",AVERAGE(R36:W36),R36*F36+T36*H36+V36*J36),0),ROUND(IF(D36="简单平均",AVERAGE(R36:V36),R36*F36+T36*H36+V36*J36),1))</f>
        <v>#DIV/0!</v>
      </c>
      <c r="S37" s="3795"/>
      <c r="T37" s="3795"/>
      <c r="U37" s="3795"/>
      <c r="V37" s="3795"/>
      <c r="W37" s="3795"/>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9" customFormat="1" ht="13.5" customHeight="1">
      <c r="A42" s="2724"/>
      <c r="B42" s="2724"/>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9"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5" customFormat="1" ht="15">
      <c r="A46" s="452" t="s">
        <v>1679</v>
      </c>
      <c r="B46" s="453"/>
      <c r="C46" s="1181" t="str">
        <f>YEAR(C7)&amp;"-"&amp;MONTH(C7)</f>
        <v>2023-12</v>
      </c>
      <c r="D46" s="1182">
        <f>EDATE(C46,-1)</f>
        <v>45231</v>
      </c>
      <c r="E46" s="1182">
        <f t="shared" ref="E46:O46" si="16">EDATE(D46,-1)</f>
        <v>45200</v>
      </c>
      <c r="F46" s="1182">
        <f t="shared" si="16"/>
        <v>45170</v>
      </c>
      <c r="G46" s="1182">
        <f t="shared" si="16"/>
        <v>45139</v>
      </c>
      <c r="H46" s="1182">
        <f t="shared" si="16"/>
        <v>45108</v>
      </c>
      <c r="I46" s="1182">
        <f t="shared" si="16"/>
        <v>45078</v>
      </c>
      <c r="J46" s="1182">
        <f t="shared" si="16"/>
        <v>45047</v>
      </c>
      <c r="K46" s="1182">
        <f t="shared" si="16"/>
        <v>45017</v>
      </c>
      <c r="L46" s="1182">
        <f t="shared" si="16"/>
        <v>44986</v>
      </c>
      <c r="M46" s="1182">
        <f t="shared" si="16"/>
        <v>44958</v>
      </c>
      <c r="N46" s="1182">
        <f t="shared" si="16"/>
        <v>44927</v>
      </c>
      <c r="O46" s="1182">
        <f t="shared" si="16"/>
        <v>44896</v>
      </c>
      <c r="P46" s="2772"/>
      <c r="Q46" s="2737"/>
      <c r="R46" s="2737"/>
      <c r="S46" s="2737"/>
      <c r="T46" s="2737"/>
      <c r="U46" s="2737"/>
      <c r="V46" s="2737"/>
      <c r="W46" s="2737"/>
      <c r="X46" s="2737"/>
      <c r="Y46" s="2737"/>
      <c r="Z46" s="2737"/>
      <c r="AA46" s="2737"/>
      <c r="AB46" s="2737"/>
      <c r="AC46" s="2737"/>
      <c r="AD46" s="2737"/>
    </row>
    <row r="47" spans="1:30" s="108" customFormat="1" ht="15">
      <c r="A47" s="456"/>
      <c r="B47" s="457"/>
      <c r="C47" s="1180">
        <v>100</v>
      </c>
      <c r="D47" s="459"/>
      <c r="E47" s="459"/>
      <c r="F47" s="459"/>
      <c r="G47" s="459"/>
      <c r="H47" s="459"/>
      <c r="I47" s="459"/>
      <c r="J47" s="459"/>
      <c r="K47" s="459"/>
      <c r="L47" s="459"/>
      <c r="M47" s="460"/>
      <c r="N47" s="459"/>
      <c r="O47" s="461"/>
      <c r="P47" s="2735"/>
      <c r="Q47" s="2658"/>
      <c r="R47" s="2658"/>
      <c r="S47" s="2658"/>
      <c r="T47" s="2658"/>
      <c r="U47" s="2658"/>
      <c r="V47" s="2658"/>
      <c r="W47" s="2658"/>
      <c r="X47" s="2658"/>
      <c r="Y47" s="2658"/>
      <c r="Z47" s="2658"/>
      <c r="AA47" s="2658"/>
      <c r="AB47" s="2658"/>
      <c r="AC47" s="2658"/>
      <c r="AD47" s="2658"/>
    </row>
    <row r="48" spans="1:30" s="108" customFormat="1" ht="15.75" thickBot="1">
      <c r="A48" s="462" t="s">
        <v>1716</v>
      </c>
      <c r="B48" s="463"/>
      <c r="C48" s="464"/>
      <c r="D48" s="465"/>
      <c r="E48" s="465"/>
      <c r="F48" s="465"/>
      <c r="G48" s="465"/>
      <c r="H48" s="465"/>
      <c r="I48" s="465"/>
      <c r="J48" s="465"/>
      <c r="K48" s="465"/>
      <c r="L48" s="465"/>
      <c r="M48" s="466"/>
      <c r="N48" s="465"/>
      <c r="O48" s="467"/>
      <c r="P48" s="2735"/>
      <c r="Q48" s="2735"/>
      <c r="R48" s="2658"/>
      <c r="S48" s="2658"/>
      <c r="T48" s="2658"/>
      <c r="U48" s="2658"/>
      <c r="V48" s="2658"/>
      <c r="W48" s="2658"/>
      <c r="X48" s="2658"/>
      <c r="Y48" s="2658"/>
      <c r="Z48" s="2658"/>
      <c r="AA48" s="2658"/>
      <c r="AB48" s="2658"/>
      <c r="AC48" s="2658"/>
      <c r="AD48" s="2658"/>
    </row>
    <row r="49" spans="1:30" s="108" customFormat="1" ht="15">
      <c r="A49" s="468" t="s">
        <v>1681</v>
      </c>
      <c r="B49" s="457"/>
      <c r="C49" s="469" t="s">
        <v>1776</v>
      </c>
      <c r="D49" s="470"/>
      <c r="E49" s="470"/>
      <c r="F49" s="470"/>
      <c r="G49" s="470"/>
      <c r="H49" s="470"/>
      <c r="I49" s="470"/>
      <c r="J49" s="470"/>
      <c r="K49" s="470"/>
      <c r="L49" s="471"/>
      <c r="M49" s="472"/>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68"/>
      <c r="B50" s="457"/>
      <c r="C50" s="585">
        <v>100</v>
      </c>
      <c r="D50" s="459"/>
      <c r="E50" s="459"/>
      <c r="F50" s="459"/>
      <c r="G50" s="459"/>
      <c r="H50" s="459"/>
      <c r="I50" s="459"/>
      <c r="J50" s="459"/>
      <c r="K50" s="459"/>
      <c r="L50" s="459"/>
      <c r="M50" s="461"/>
      <c r="N50" s="2748"/>
      <c r="O50" s="2748"/>
      <c r="P50" s="2735"/>
      <c r="Q50" s="2735"/>
      <c r="R50" s="2658"/>
      <c r="S50" s="2658"/>
      <c r="T50" s="2658"/>
      <c r="U50" s="2658"/>
      <c r="V50" s="2658"/>
      <c r="W50" s="2658"/>
      <c r="X50" s="2658"/>
      <c r="Y50" s="2658"/>
      <c r="Z50" s="2658"/>
      <c r="AA50" s="2658"/>
      <c r="AB50" s="2658"/>
      <c r="AC50" s="2658"/>
      <c r="AD50" s="2658"/>
    </row>
    <row r="51" spans="1:30">
      <c r="A51" s="474" t="s">
        <v>1719</v>
      </c>
      <c r="B51" s="475" t="s">
        <v>1685</v>
      </c>
      <c r="C51" s="476">
        <f>C9</f>
        <v>0</v>
      </c>
      <c r="D51" s="477"/>
      <c r="E51" s="477"/>
      <c r="F51" s="477"/>
      <c r="G51" s="477"/>
      <c r="H51" s="477"/>
      <c r="I51" s="477"/>
      <c r="J51" s="477"/>
      <c r="K51" s="478"/>
      <c r="L51" s="479"/>
      <c r="M51" s="480"/>
      <c r="N51" s="2749"/>
      <c r="O51" s="2749"/>
      <c r="P51" s="2774"/>
      <c r="Q51" s="2735"/>
      <c r="R51" s="2721"/>
      <c r="S51" s="2721"/>
      <c r="T51" s="2721"/>
      <c r="U51" s="2721"/>
      <c r="V51" s="2721"/>
      <c r="W51" s="2721"/>
      <c r="X51" s="2721"/>
      <c r="Y51" s="2721"/>
      <c r="Z51" s="2721"/>
      <c r="AA51" s="2721"/>
      <c r="AB51" s="2721"/>
      <c r="AC51" s="2721"/>
      <c r="AD51" s="2721"/>
    </row>
    <row r="52" spans="1:30" ht="15.75" thickBot="1">
      <c r="A52" s="481"/>
      <c r="B52" s="482"/>
      <c r="C52" s="483">
        <v>100</v>
      </c>
      <c r="D52" s="483"/>
      <c r="E52" s="483"/>
      <c r="F52" s="483"/>
      <c r="G52" s="483"/>
      <c r="H52" s="483"/>
      <c r="I52" s="483"/>
      <c r="J52" s="483"/>
      <c r="K52" s="483"/>
      <c r="L52" s="483"/>
      <c r="M52" s="484"/>
      <c r="N52" s="2750"/>
      <c r="O52" s="2750"/>
      <c r="P52" s="2774"/>
      <c r="Q52" s="2735"/>
      <c r="R52" s="2721"/>
      <c r="S52" s="2721"/>
      <c r="T52" s="2721"/>
      <c r="U52" s="2721"/>
      <c r="V52" s="2721"/>
      <c r="W52" s="2721"/>
      <c r="X52" s="2721"/>
      <c r="Y52" s="2721"/>
      <c r="Z52" s="2721"/>
      <c r="AA52" s="2721"/>
      <c r="AB52" s="2721"/>
      <c r="AC52" s="2721"/>
      <c r="AD52" s="2721"/>
    </row>
    <row r="53" spans="1:30" ht="27.75" thickTop="1">
      <c r="A53" s="481"/>
      <c r="B53" s="485" t="s">
        <v>1688</v>
      </c>
      <c r="C53" s="530"/>
      <c r="D53" s="530"/>
      <c r="E53" s="530"/>
      <c r="F53" s="530"/>
      <c r="G53" s="530"/>
      <c r="H53" s="530"/>
      <c r="I53" s="530"/>
      <c r="J53" s="530"/>
      <c r="K53" s="531"/>
      <c r="L53" s="532"/>
      <c r="M53" s="533"/>
      <c r="N53" s="2749"/>
      <c r="O53" s="2749"/>
      <c r="P53" s="2774"/>
      <c r="Q53" s="2735"/>
      <c r="R53" s="2721"/>
      <c r="S53" s="2721"/>
      <c r="T53" s="2721"/>
      <c r="U53" s="2721"/>
      <c r="V53" s="2721"/>
      <c r="W53" s="2721"/>
      <c r="X53" s="2721"/>
      <c r="Y53" s="2721"/>
      <c r="Z53" s="2721"/>
      <c r="AA53" s="2721"/>
      <c r="AB53" s="2721"/>
      <c r="AC53" s="2721"/>
      <c r="AD53" s="2721"/>
    </row>
    <row r="54" spans="1:30" ht="15.75" thickBot="1">
      <c r="A54" s="481"/>
      <c r="B54" s="490"/>
      <c r="C54" s="483"/>
      <c r="D54" s="483"/>
      <c r="E54" s="483"/>
      <c r="F54" s="483"/>
      <c r="G54" s="483"/>
      <c r="H54" s="483"/>
      <c r="I54" s="483"/>
      <c r="J54" s="483"/>
      <c r="K54" s="483"/>
      <c r="L54" s="483"/>
      <c r="M54" s="484"/>
      <c r="N54" s="2750"/>
      <c r="O54" s="2750"/>
      <c r="P54" s="2774"/>
      <c r="Q54" s="2735"/>
      <c r="R54" s="2721"/>
      <c r="S54" s="2721"/>
      <c r="T54" s="2721"/>
      <c r="U54" s="2721"/>
      <c r="V54" s="2721"/>
      <c r="W54" s="2721"/>
      <c r="X54" s="2721"/>
      <c r="Y54" s="2721"/>
      <c r="Z54" s="2721"/>
      <c r="AA54" s="2721"/>
      <c r="AB54" s="2721"/>
      <c r="AC54" s="2721"/>
      <c r="AD54" s="2721"/>
    </row>
    <row r="55" spans="1:30" ht="15.75" thickTop="1">
      <c r="A55" s="481"/>
      <c r="B55" s="606">
        <f>B11</f>
        <v>111</v>
      </c>
      <c r="C55" s="496"/>
      <c r="D55" s="496"/>
      <c r="E55" s="496"/>
      <c r="F55" s="496"/>
      <c r="G55" s="496"/>
      <c r="H55" s="496"/>
      <c r="I55" s="496"/>
      <c r="J55" s="496"/>
      <c r="K55" s="497"/>
      <c r="L55" s="498"/>
      <c r="M55" s="499"/>
      <c r="N55" s="2749"/>
      <c r="O55" s="2749"/>
      <c r="P55" s="2774"/>
      <c r="Q55" s="2735"/>
      <c r="R55" s="2721"/>
      <c r="S55" s="2721"/>
      <c r="T55" s="2721"/>
      <c r="U55" s="2721"/>
      <c r="V55" s="2721"/>
      <c r="W55" s="2721"/>
      <c r="X55" s="2721"/>
      <c r="Y55" s="2721"/>
      <c r="Z55" s="2721"/>
      <c r="AA55" s="2721"/>
      <c r="AB55" s="2721"/>
      <c r="AC55" s="2721"/>
      <c r="AD55" s="2721"/>
    </row>
    <row r="56" spans="1:30" ht="15.75" thickBot="1">
      <c r="A56" s="481"/>
      <c r="B56" s="482"/>
      <c r="C56" s="507"/>
      <c r="D56" s="483"/>
      <c r="E56" s="483"/>
      <c r="F56" s="483"/>
      <c r="G56" s="483"/>
      <c r="H56" s="483"/>
      <c r="I56" s="483"/>
      <c r="J56" s="483"/>
      <c r="K56" s="483"/>
      <c r="L56" s="483"/>
      <c r="M56" s="484"/>
      <c r="N56" s="2750"/>
      <c r="O56" s="2750"/>
      <c r="P56" s="2774"/>
      <c r="Q56" s="2735"/>
      <c r="R56" s="2721"/>
      <c r="S56" s="2721"/>
      <c r="T56" s="2721"/>
      <c r="U56" s="2721"/>
      <c r="V56" s="2721"/>
      <c r="W56" s="2721"/>
      <c r="X56" s="2721"/>
      <c r="Y56" s="2721"/>
      <c r="Z56" s="2721"/>
      <c r="AA56" s="2721"/>
      <c r="AB56" s="2721"/>
      <c r="AC56" s="2721"/>
      <c r="AD56" s="2721"/>
    </row>
    <row r="57" spans="1:30" s="420" customFormat="1" ht="15.75" thickTop="1">
      <c r="A57" s="500"/>
      <c r="B57" s="485">
        <f>B12</f>
        <v>111</v>
      </c>
      <c r="C57" s="496"/>
      <c r="D57" s="496"/>
      <c r="E57" s="496"/>
      <c r="F57" s="496"/>
      <c r="G57" s="501"/>
      <c r="H57" s="502"/>
      <c r="I57" s="502"/>
      <c r="J57" s="502"/>
      <c r="K57" s="502"/>
      <c r="L57" s="503"/>
      <c r="M57" s="504"/>
      <c r="N57" s="2751"/>
      <c r="O57" s="2751"/>
      <c r="P57" s="2775"/>
      <c r="Q57" s="2742"/>
      <c r="R57" s="2743"/>
      <c r="S57" s="2743"/>
      <c r="T57" s="2743"/>
      <c r="U57" s="2743"/>
      <c r="V57" s="2743"/>
      <c r="W57" s="2743"/>
      <c r="X57" s="2743"/>
      <c r="Y57" s="2743"/>
      <c r="Z57" s="2743"/>
      <c r="AA57" s="2743"/>
      <c r="AB57" s="2743"/>
      <c r="AC57" s="2743"/>
      <c r="AD57" s="2743"/>
    </row>
    <row r="58" spans="1:30" s="420" customFormat="1" ht="15.75" thickBot="1">
      <c r="A58" s="500"/>
      <c r="B58" s="490"/>
      <c r="C58" s="507"/>
      <c r="D58" s="483"/>
      <c r="E58" s="483"/>
      <c r="F58" s="483"/>
      <c r="G58" s="483"/>
      <c r="H58" s="483"/>
      <c r="I58" s="483"/>
      <c r="J58" s="483"/>
      <c r="K58" s="483"/>
      <c r="L58" s="483"/>
      <c r="M58" s="484"/>
      <c r="N58" s="2750"/>
      <c r="O58" s="2750"/>
      <c r="P58" s="2775"/>
      <c r="Q58" s="2742"/>
      <c r="R58" s="2743"/>
      <c r="S58" s="2743"/>
      <c r="T58" s="2743"/>
      <c r="U58" s="2743"/>
      <c r="V58" s="2743"/>
      <c r="W58" s="2743"/>
      <c r="X58" s="2743"/>
      <c r="Y58" s="2743"/>
      <c r="Z58" s="2743"/>
      <c r="AA58" s="2743"/>
      <c r="AB58" s="2743"/>
      <c r="AC58" s="2743"/>
      <c r="AD58" s="2743"/>
    </row>
    <row r="59" spans="1:30" s="420" customFormat="1" ht="15.75" thickTop="1">
      <c r="A59" s="500"/>
      <c r="B59" s="485">
        <f>B13</f>
        <v>111</v>
      </c>
      <c r="C59" s="496"/>
      <c r="D59" s="496"/>
      <c r="E59" s="496"/>
      <c r="F59" s="496"/>
      <c r="G59" s="501"/>
      <c r="H59" s="502"/>
      <c r="I59" s="502"/>
      <c r="J59" s="502"/>
      <c r="K59" s="502"/>
      <c r="L59" s="503"/>
      <c r="M59" s="504"/>
      <c r="N59" s="2751"/>
      <c r="O59" s="2751"/>
      <c r="P59" s="2719"/>
      <c r="Q59" s="2745"/>
      <c r="R59" s="2743"/>
      <c r="S59" s="2743"/>
      <c r="T59" s="2743"/>
      <c r="U59" s="2743"/>
      <c r="V59" s="2743"/>
      <c r="W59" s="2743"/>
      <c r="X59" s="2743"/>
      <c r="Y59" s="2743"/>
      <c r="Z59" s="2743"/>
      <c r="AA59" s="2743"/>
      <c r="AB59" s="2743"/>
      <c r="AC59" s="2743"/>
      <c r="AD59" s="2743"/>
    </row>
    <row r="60" spans="1:30" s="420" customFormat="1" ht="15.75" thickBot="1">
      <c r="A60" s="500"/>
      <c r="B60" s="490"/>
      <c r="C60" s="507"/>
      <c r="D60" s="507"/>
      <c r="E60" s="507"/>
      <c r="F60" s="507"/>
      <c r="G60" s="507"/>
      <c r="H60" s="509"/>
      <c r="I60" s="509"/>
      <c r="J60" s="509"/>
      <c r="K60" s="509"/>
      <c r="L60" s="509"/>
      <c r="M60" s="510"/>
      <c r="N60" s="2751"/>
      <c r="O60" s="2751"/>
      <c r="P60" s="2775"/>
      <c r="Q60" s="2742"/>
      <c r="R60" s="2743"/>
      <c r="S60" s="2743"/>
      <c r="T60" s="2743"/>
      <c r="U60" s="2743"/>
      <c r="V60" s="2743"/>
      <c r="W60" s="2743"/>
      <c r="X60" s="2743"/>
      <c r="Y60" s="2743"/>
      <c r="Z60" s="2743"/>
      <c r="AA60" s="2743"/>
      <c r="AB60" s="2743"/>
      <c r="AC60" s="2743"/>
      <c r="AD60" s="2743"/>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9"/>
      <c r="O61" s="2749"/>
      <c r="P61" s="2776"/>
      <c r="Q61" s="2735"/>
      <c r="R61" s="2721"/>
      <c r="S61" s="2721"/>
      <c r="T61" s="2721"/>
      <c r="U61" s="2721"/>
      <c r="V61" s="2721"/>
      <c r="W61" s="2721"/>
      <c r="X61" s="2721"/>
      <c r="Y61" s="2721"/>
      <c r="Z61" s="2721"/>
      <c r="AA61" s="2721"/>
      <c r="AB61" s="2721"/>
      <c r="AC61" s="2721"/>
      <c r="AD61" s="2721"/>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0"/>
      <c r="O62" s="2750"/>
      <c r="P62" s="2774"/>
      <c r="Q62" s="2735"/>
      <c r="R62" s="2721"/>
      <c r="S62" s="2721"/>
      <c r="T62" s="2721"/>
      <c r="U62" s="2721"/>
      <c r="V62" s="2721"/>
      <c r="W62" s="2721"/>
      <c r="X62" s="2721"/>
      <c r="Y62" s="2721"/>
      <c r="Z62" s="2721"/>
      <c r="AA62" s="2721"/>
      <c r="AB62" s="2721"/>
      <c r="AC62" s="2721"/>
      <c r="AD62" s="2721"/>
    </row>
    <row r="63" spans="1:30" ht="27.75" thickTop="1">
      <c r="A63" s="481"/>
      <c r="B63" s="485" t="s">
        <v>1863</v>
      </c>
      <c r="C63" s="525" t="s">
        <v>1721</v>
      </c>
      <c r="D63" s="525" t="s">
        <v>1722</v>
      </c>
      <c r="E63" s="525" t="s">
        <v>1723</v>
      </c>
      <c r="F63" s="525" t="s">
        <v>1724</v>
      </c>
      <c r="G63" s="525" t="s">
        <v>1725</v>
      </c>
      <c r="H63" s="486"/>
      <c r="I63" s="486"/>
      <c r="J63" s="486"/>
      <c r="K63" s="487"/>
      <c r="L63" s="488"/>
      <c r="M63" s="489"/>
      <c r="N63" s="2749"/>
      <c r="O63" s="2749"/>
      <c r="P63" s="2774"/>
      <c r="Q63" s="2735"/>
      <c r="R63" s="2721"/>
      <c r="S63" s="2721"/>
      <c r="T63" s="2721"/>
      <c r="U63" s="2721"/>
      <c r="V63" s="2721"/>
      <c r="W63" s="2721"/>
      <c r="X63" s="2721"/>
      <c r="Y63" s="2721"/>
      <c r="Z63" s="2721"/>
      <c r="AA63" s="2721"/>
      <c r="AB63" s="2721"/>
      <c r="AC63" s="2721"/>
      <c r="AD63" s="2721"/>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0"/>
      <c r="O64" s="2750"/>
      <c r="P64" s="2774"/>
      <c r="Q64" s="2735"/>
      <c r="R64" s="2721"/>
      <c r="S64" s="2721"/>
      <c r="T64" s="2721"/>
      <c r="U64" s="2721"/>
      <c r="V64" s="2721"/>
      <c r="W64" s="2721"/>
      <c r="X64" s="2721"/>
      <c r="Y64" s="2721"/>
      <c r="Z64" s="2721"/>
      <c r="AA64" s="2721"/>
      <c r="AB64" s="2721"/>
      <c r="AC64" s="2721"/>
      <c r="AD64" s="2721"/>
    </row>
    <row r="65" spans="1:30" ht="15.75" thickTop="1">
      <c r="A65" s="481"/>
      <c r="B65" s="493" t="s">
        <v>1813</v>
      </c>
      <c r="C65" s="606" t="s">
        <v>1799</v>
      </c>
      <c r="D65" s="606" t="s">
        <v>1800</v>
      </c>
      <c r="E65" s="606" t="s">
        <v>1801</v>
      </c>
      <c r="F65" s="606" t="s">
        <v>1802</v>
      </c>
      <c r="G65" s="606" t="s">
        <v>1803</v>
      </c>
      <c r="H65" s="486"/>
      <c r="I65" s="486"/>
      <c r="J65" s="486"/>
      <c r="K65" s="486"/>
      <c r="L65" s="486"/>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0"/>
      <c r="O66" s="2750"/>
      <c r="P66" s="2774"/>
      <c r="Q66" s="2735"/>
      <c r="R66" s="2721"/>
      <c r="S66" s="2721"/>
      <c r="T66" s="2721"/>
      <c r="U66" s="2721"/>
      <c r="V66" s="2721"/>
      <c r="W66" s="2721"/>
      <c r="X66" s="2721"/>
      <c r="Y66" s="2721"/>
      <c r="Z66" s="2721"/>
      <c r="AA66" s="2721"/>
      <c r="AB66" s="2721"/>
      <c r="AC66" s="2721"/>
      <c r="AD66" s="2721"/>
    </row>
    <row r="67" spans="1:30" ht="15.75" thickTop="1">
      <c r="A67" s="481"/>
      <c r="B67" s="485" t="s">
        <v>1733</v>
      </c>
      <c r="C67" s="525" t="s">
        <v>1721</v>
      </c>
      <c r="D67" s="525" t="s">
        <v>1722</v>
      </c>
      <c r="E67" s="525" t="s">
        <v>1723</v>
      </c>
      <c r="F67" s="525" t="s">
        <v>1724</v>
      </c>
      <c r="G67" s="525" t="s">
        <v>1725</v>
      </c>
      <c r="H67" s="486"/>
      <c r="I67" s="486"/>
      <c r="J67" s="486"/>
      <c r="K67" s="487"/>
      <c r="L67" s="488"/>
      <c r="M67" s="489"/>
      <c r="N67" s="2749"/>
      <c r="O67" s="2749"/>
      <c r="P67" s="2774"/>
      <c r="Q67" s="2735"/>
      <c r="R67" s="2721"/>
      <c r="S67" s="2721"/>
      <c r="T67" s="2721"/>
      <c r="U67" s="2721"/>
      <c r="V67" s="2721"/>
      <c r="W67" s="2721"/>
      <c r="X67" s="2721"/>
      <c r="Y67" s="2721"/>
      <c r="Z67" s="2721"/>
      <c r="AA67" s="2721"/>
      <c r="AB67" s="2721"/>
      <c r="AC67" s="2721"/>
      <c r="AD67" s="2721"/>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0"/>
      <c r="O68" s="2750"/>
      <c r="P68" s="2774"/>
      <c r="Q68" s="2735"/>
      <c r="R68" s="2721"/>
      <c r="S68" s="2721"/>
      <c r="T68" s="2721"/>
      <c r="U68" s="2721"/>
      <c r="V68" s="2721"/>
      <c r="W68" s="2721"/>
      <c r="X68" s="2721"/>
      <c r="Y68" s="2721"/>
      <c r="Z68" s="2721"/>
      <c r="AA68" s="2721"/>
      <c r="AB68" s="2721"/>
      <c r="AC68" s="2721"/>
      <c r="AD68" s="2721"/>
    </row>
    <row r="69" spans="1:30" ht="15.75" thickTop="1">
      <c r="A69" s="481"/>
      <c r="B69" s="485" t="s">
        <v>1852</v>
      </c>
      <c r="C69" s="501"/>
      <c r="D69" s="501"/>
      <c r="E69" s="501"/>
      <c r="F69" s="501"/>
      <c r="G69" s="501"/>
      <c r="H69" s="530"/>
      <c r="I69" s="530"/>
      <c r="J69" s="530"/>
      <c r="K69" s="531"/>
      <c r="L69" s="532"/>
      <c r="M69" s="533"/>
      <c r="N69" s="2749"/>
      <c r="O69" s="2749"/>
      <c r="P69" s="2774"/>
      <c r="Q69" s="2735"/>
      <c r="R69" s="2721"/>
      <c r="S69" s="2721"/>
      <c r="T69" s="2721"/>
      <c r="U69" s="2721"/>
      <c r="V69" s="2721"/>
      <c r="W69" s="2721"/>
      <c r="X69" s="2721"/>
      <c r="Y69" s="2721"/>
      <c r="Z69" s="2721"/>
      <c r="AA69" s="2721"/>
      <c r="AB69" s="2721"/>
      <c r="AC69" s="2721"/>
      <c r="AD69" s="2721"/>
    </row>
    <row r="70" spans="1:30" ht="15.75" thickBot="1">
      <c r="A70" s="481"/>
      <c r="B70" s="490"/>
      <c r="C70" s="491">
        <v>100</v>
      </c>
      <c r="D70" s="491">
        <f>C70-$K22</f>
        <v>100</v>
      </c>
      <c r="E70" s="491"/>
      <c r="F70" s="491"/>
      <c r="G70" s="491"/>
      <c r="H70" s="491"/>
      <c r="I70" s="491"/>
      <c r="J70" s="491"/>
      <c r="K70" s="491"/>
      <c r="L70" s="491"/>
      <c r="M70" s="492"/>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6"/>
      <c r="B71" s="485">
        <f>B23</f>
        <v>111</v>
      </c>
      <c r="C71" s="496"/>
      <c r="D71" s="496"/>
      <c r="E71" s="496"/>
      <c r="F71" s="496"/>
      <c r="G71" s="501"/>
      <c r="H71" s="501"/>
      <c r="I71" s="501"/>
      <c r="J71" s="501"/>
      <c r="K71" s="501"/>
      <c r="L71" s="527"/>
      <c r="M71" s="528"/>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6"/>
      <c r="B72" s="490"/>
      <c r="C72" s="507"/>
      <c r="D72" s="483"/>
      <c r="E72" s="483"/>
      <c r="F72" s="483"/>
      <c r="G72" s="483"/>
      <c r="H72" s="483"/>
      <c r="I72" s="483"/>
      <c r="J72" s="483"/>
      <c r="K72" s="483"/>
      <c r="L72" s="483"/>
      <c r="M72" s="484"/>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6"/>
      <c r="B73" s="485">
        <f>B24</f>
        <v>111</v>
      </c>
      <c r="C73" s="496"/>
      <c r="D73" s="496"/>
      <c r="E73" s="496"/>
      <c r="F73" s="496"/>
      <c r="G73" s="501"/>
      <c r="H73" s="501"/>
      <c r="I73" s="501"/>
      <c r="J73" s="501"/>
      <c r="K73" s="501"/>
      <c r="L73" s="501"/>
      <c r="M73" s="528"/>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6"/>
      <c r="B74" s="490"/>
      <c r="C74" s="507"/>
      <c r="D74" s="483"/>
      <c r="E74" s="483"/>
      <c r="F74" s="483"/>
      <c r="G74" s="483"/>
      <c r="H74" s="483"/>
      <c r="I74" s="483"/>
      <c r="J74" s="483"/>
      <c r="K74" s="483"/>
      <c r="L74" s="483"/>
      <c r="M74" s="484"/>
      <c r="N74" s="2750"/>
      <c r="O74" s="2750"/>
      <c r="P74" s="2774"/>
      <c r="Q74" s="2735"/>
      <c r="R74" s="2658"/>
      <c r="S74" s="2658"/>
      <c r="T74" s="2658"/>
      <c r="U74" s="2658"/>
      <c r="V74" s="2658"/>
      <c r="W74" s="2658"/>
      <c r="X74" s="2658"/>
      <c r="Y74" s="2658"/>
      <c r="Z74" s="2658"/>
      <c r="AA74" s="2658"/>
      <c r="AB74" s="2658"/>
      <c r="AC74" s="2658"/>
      <c r="AD74" s="2658"/>
    </row>
    <row r="75" spans="1:30" s="420" customFormat="1" ht="15.75" thickTop="1">
      <c r="A75" s="500"/>
      <c r="B75" s="485">
        <f>B25</f>
        <v>111</v>
      </c>
      <c r="C75" s="496"/>
      <c r="D75" s="496"/>
      <c r="E75" s="496"/>
      <c r="F75" s="496"/>
      <c r="G75" s="501"/>
      <c r="H75" s="502"/>
      <c r="I75" s="502"/>
      <c r="J75" s="502"/>
      <c r="K75" s="502"/>
      <c r="L75" s="503"/>
      <c r="M75" s="504"/>
      <c r="N75" s="2751"/>
      <c r="O75" s="2751"/>
      <c r="P75" s="2775"/>
      <c r="Q75" s="2742"/>
      <c r="R75" s="2743"/>
      <c r="S75" s="2743"/>
      <c r="T75" s="2743"/>
      <c r="U75" s="2743"/>
      <c r="V75" s="2743"/>
      <c r="W75" s="2743"/>
      <c r="X75" s="2743"/>
      <c r="Y75" s="2743"/>
      <c r="Z75" s="2743"/>
      <c r="AA75" s="2743"/>
      <c r="AB75" s="2743"/>
      <c r="AC75" s="2743"/>
      <c r="AD75" s="2743"/>
    </row>
    <row r="76" spans="1:30" s="420" customFormat="1" ht="15.75" thickBot="1">
      <c r="A76" s="500"/>
      <c r="B76" s="490"/>
      <c r="C76" s="507"/>
      <c r="D76" s="507"/>
      <c r="E76" s="507"/>
      <c r="F76" s="507"/>
      <c r="G76" s="483"/>
      <c r="H76" s="483"/>
      <c r="I76" s="483"/>
      <c r="J76" s="483"/>
      <c r="K76" s="483"/>
      <c r="L76" s="483"/>
      <c r="M76" s="484"/>
      <c r="N76" s="2751"/>
      <c r="O76" s="2751"/>
      <c r="P76" s="2775"/>
      <c r="Q76" s="2742"/>
      <c r="R76" s="2743"/>
      <c r="S76" s="2743"/>
      <c r="T76" s="2743"/>
      <c r="U76" s="2743"/>
      <c r="V76" s="2743"/>
      <c r="W76" s="2743"/>
      <c r="X76" s="2743"/>
      <c r="Y76" s="2743"/>
      <c r="Z76" s="2743"/>
      <c r="AA76" s="2743"/>
      <c r="AB76" s="2743"/>
      <c r="AC76" s="2743"/>
      <c r="AD76" s="2743"/>
    </row>
    <row r="77" spans="1:30" ht="15" thickTop="1">
      <c r="A77" s="474" t="s">
        <v>1694</v>
      </c>
      <c r="B77" s="475" t="s">
        <v>1740</v>
      </c>
      <c r="C77" s="501"/>
      <c r="D77" s="501"/>
      <c r="E77" s="477"/>
      <c r="F77" s="477"/>
      <c r="G77" s="477"/>
      <c r="H77" s="477"/>
      <c r="I77" s="477"/>
      <c r="J77" s="477"/>
      <c r="K77" s="478"/>
      <c r="L77" s="479"/>
      <c r="M77" s="480"/>
      <c r="N77" s="2749"/>
      <c r="O77" s="2749"/>
      <c r="P77" s="2774"/>
      <c r="Q77" s="2735"/>
      <c r="R77" s="2721"/>
      <c r="S77" s="2721"/>
      <c r="T77" s="2721"/>
      <c r="U77" s="2721"/>
      <c r="V77" s="2721"/>
      <c r="W77" s="2721"/>
      <c r="X77" s="2721"/>
      <c r="Y77" s="2721"/>
      <c r="Z77" s="2721"/>
      <c r="AA77" s="2721"/>
      <c r="AB77" s="2721"/>
      <c r="AC77" s="2721"/>
      <c r="AD77" s="2721"/>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8"/>
      <c r="O79" s="2748"/>
      <c r="P79" s="2774"/>
      <c r="Q79" s="2735"/>
      <c r="R79" s="2721"/>
      <c r="S79" s="2721"/>
      <c r="T79" s="2721"/>
      <c r="U79" s="2721"/>
      <c r="V79" s="2721"/>
      <c r="W79" s="2721"/>
      <c r="X79" s="2721"/>
      <c r="Y79" s="2721"/>
      <c r="Z79" s="2721"/>
      <c r="AA79" s="2721"/>
      <c r="AB79" s="2721"/>
      <c r="AC79" s="2721"/>
      <c r="AD79" s="2721"/>
    </row>
    <row r="80" spans="1:30" ht="15">
      <c r="A80" s="481"/>
      <c r="B80" s="493"/>
      <c r="C80" s="550">
        <v>0.5</v>
      </c>
      <c r="D80" s="550">
        <v>0.6</v>
      </c>
      <c r="E80" s="550">
        <v>0.7</v>
      </c>
      <c r="F80" s="550">
        <v>0.8</v>
      </c>
      <c r="G80" s="550">
        <v>0.9</v>
      </c>
      <c r="H80" s="550">
        <v>1.0001</v>
      </c>
      <c r="I80" s="606"/>
      <c r="J80" s="606"/>
      <c r="K80" s="614"/>
      <c r="L80" s="615"/>
      <c r="M80" s="616"/>
      <c r="N80" s="2748"/>
      <c r="O80" s="2748"/>
      <c r="P80" s="2774"/>
      <c r="Q80" s="2735"/>
      <c r="R80" s="2721"/>
      <c r="S80" s="2721"/>
      <c r="T80" s="2721"/>
      <c r="U80" s="2721"/>
      <c r="V80" s="2721"/>
      <c r="W80" s="2721"/>
      <c r="X80" s="2721"/>
      <c r="Y80" s="2721"/>
      <c r="Z80" s="2721"/>
      <c r="AA80" s="2721"/>
      <c r="AB80" s="2721"/>
      <c r="AC80" s="2721"/>
      <c r="AD80" s="2721"/>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6"/>
      <c r="B82" s="493" t="s">
        <v>1856</v>
      </c>
      <c r="C82" s="501"/>
      <c r="D82" s="501"/>
      <c r="E82" s="530"/>
      <c r="F82" s="530"/>
      <c r="G82" s="530"/>
      <c r="H82" s="530"/>
      <c r="I82" s="530"/>
      <c r="J82" s="530"/>
      <c r="K82" s="531"/>
      <c r="L82" s="532"/>
      <c r="M82" s="533"/>
      <c r="N82" s="2749"/>
      <c r="O82" s="2749"/>
      <c r="P82" s="2774"/>
      <c r="Q82" s="2735"/>
      <c r="R82" s="2721"/>
      <c r="S82" s="2721"/>
      <c r="T82" s="2721"/>
      <c r="U82" s="2721"/>
      <c r="V82" s="2721"/>
      <c r="W82" s="2721"/>
      <c r="X82" s="2721"/>
      <c r="Y82" s="2721"/>
      <c r="Z82" s="2721"/>
      <c r="AA82" s="2721"/>
      <c r="AB82" s="2721"/>
      <c r="AC82" s="2721"/>
      <c r="AD82" s="2721"/>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6"/>
      <c r="B84" s="485" t="s">
        <v>1864</v>
      </c>
      <c r="C84" s="501"/>
      <c r="D84" s="501"/>
      <c r="E84" s="501"/>
      <c r="F84" s="501"/>
      <c r="G84" s="501"/>
      <c r="H84" s="501"/>
      <c r="I84" s="530"/>
      <c r="J84" s="530"/>
      <c r="K84" s="531"/>
      <c r="L84" s="532"/>
      <c r="M84" s="533"/>
      <c r="N84" s="2749"/>
      <c r="O84" s="2749"/>
      <c r="P84" s="2774"/>
      <c r="Q84" s="2735"/>
      <c r="R84" s="2721"/>
      <c r="S84" s="2721"/>
      <c r="T84" s="2721"/>
      <c r="U84" s="2721"/>
      <c r="V84" s="2721"/>
      <c r="W84" s="2721"/>
      <c r="X84" s="2721"/>
      <c r="Y84" s="2721"/>
      <c r="Z84" s="2721"/>
      <c r="AA84" s="2721"/>
      <c r="AB84" s="2721"/>
      <c r="AC84" s="2721"/>
      <c r="AD84" s="2721"/>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6"/>
      <c r="B87" s="493"/>
      <c r="C87" s="542"/>
      <c r="D87" s="542"/>
      <c r="E87" s="542"/>
      <c r="F87" s="542"/>
      <c r="G87" s="542"/>
      <c r="H87" s="542"/>
      <c r="I87" s="542"/>
      <c r="J87" s="543"/>
      <c r="K87" s="543"/>
      <c r="L87" s="544"/>
      <c r="M87" s="545"/>
      <c r="N87" s="2749"/>
      <c r="O87" s="2749"/>
      <c r="P87" s="2774"/>
      <c r="Q87" s="2735"/>
      <c r="R87" s="2721"/>
      <c r="S87" s="2721"/>
      <c r="T87" s="2721"/>
      <c r="U87" s="2721"/>
      <c r="V87" s="2721"/>
      <c r="W87" s="2721"/>
      <c r="X87" s="2721"/>
      <c r="Y87" s="2721"/>
      <c r="Z87" s="2721"/>
      <c r="AA87" s="2721"/>
      <c r="AB87" s="2721"/>
      <c r="AC87" s="2721"/>
      <c r="AD87" s="2721"/>
    </row>
    <row r="88" spans="1:30" ht="15.75" thickBot="1">
      <c r="A88" s="481"/>
      <c r="B88" s="490"/>
      <c r="C88" s="507"/>
      <c r="D88" s="483"/>
      <c r="E88" s="483"/>
      <c r="F88" s="483"/>
      <c r="G88" s="483"/>
      <c r="H88" s="483"/>
      <c r="I88" s="483"/>
      <c r="J88" s="483"/>
      <c r="K88" s="483"/>
      <c r="L88" s="483"/>
      <c r="M88" s="483"/>
      <c r="N88" s="2750"/>
      <c r="O88" s="2750"/>
      <c r="P88" s="2774"/>
      <c r="Q88" s="2735"/>
      <c r="R88" s="2721"/>
      <c r="S88" s="2721"/>
      <c r="T88" s="2721"/>
      <c r="U88" s="2721"/>
      <c r="V88" s="2721"/>
      <c r="W88" s="2721"/>
      <c r="X88" s="2721"/>
      <c r="Y88" s="2721"/>
      <c r="Z88" s="2721"/>
      <c r="AA88" s="2721"/>
      <c r="AB88" s="2721"/>
      <c r="AC88" s="2721"/>
      <c r="AD88" s="2721"/>
    </row>
    <row r="89" spans="1:30" s="420" customFormat="1" ht="15" thickTop="1">
      <c r="A89" s="540"/>
      <c r="B89" s="485" t="s">
        <v>1866</v>
      </c>
      <c r="C89" s="501"/>
      <c r="D89" s="501"/>
      <c r="E89" s="501"/>
      <c r="F89" s="501"/>
      <c r="G89" s="501"/>
      <c r="H89" s="501"/>
      <c r="I89" s="501"/>
      <c r="J89" s="501"/>
      <c r="K89" s="501"/>
      <c r="L89" s="501"/>
      <c r="M89" s="528"/>
      <c r="N89" s="2751"/>
      <c r="O89" s="2751"/>
      <c r="P89" s="2775"/>
      <c r="Q89" s="2742"/>
      <c r="R89" s="2743"/>
      <c r="S89" s="2743"/>
      <c r="T89" s="2743"/>
      <c r="U89" s="2743"/>
      <c r="V89" s="2743"/>
      <c r="W89" s="2743"/>
      <c r="X89" s="2743"/>
      <c r="Y89" s="2743"/>
      <c r="Z89" s="2743"/>
      <c r="AA89" s="2743"/>
      <c r="AB89" s="2743"/>
      <c r="AC89" s="2743"/>
      <c r="AD89" s="2743"/>
    </row>
    <row r="90" spans="1:30" s="420" customFormat="1" ht="15.75" thickBot="1">
      <c r="A90" s="500"/>
      <c r="B90" s="490"/>
      <c r="C90" s="507"/>
      <c r="D90" s="483"/>
      <c r="E90" s="483"/>
      <c r="F90" s="483"/>
      <c r="G90" s="483"/>
      <c r="H90" s="483"/>
      <c r="I90" s="483"/>
      <c r="J90" s="483"/>
      <c r="K90" s="483"/>
      <c r="L90" s="483"/>
      <c r="M90" s="484"/>
      <c r="N90" s="2751"/>
      <c r="O90" s="2751"/>
      <c r="P90" s="2775"/>
      <c r="Q90" s="2742"/>
      <c r="R90" s="2743"/>
      <c r="S90" s="2743"/>
      <c r="T90" s="2743"/>
      <c r="U90" s="2743"/>
      <c r="V90" s="2743"/>
      <c r="W90" s="2743"/>
      <c r="X90" s="2743"/>
      <c r="Y90" s="2743"/>
      <c r="Z90" s="2743"/>
      <c r="AA90" s="2743"/>
      <c r="AB90" s="2743"/>
      <c r="AC90" s="2743"/>
      <c r="AD90" s="2743"/>
    </row>
    <row r="91" spans="1:30" ht="15" thickTop="1">
      <c r="A91" s="546"/>
      <c r="B91" s="485">
        <f>B32</f>
        <v>111</v>
      </c>
      <c r="C91" s="496"/>
      <c r="D91" s="496"/>
      <c r="E91" s="496"/>
      <c r="F91" s="496"/>
      <c r="G91" s="501"/>
      <c r="H91" s="502"/>
      <c r="I91" s="502"/>
      <c r="J91" s="502"/>
      <c r="K91" s="502"/>
      <c r="L91" s="503"/>
      <c r="M91" s="504"/>
      <c r="N91" s="2749"/>
      <c r="O91" s="2749"/>
      <c r="P91" s="2774"/>
      <c r="Q91" s="2735"/>
      <c r="R91" s="2721"/>
      <c r="S91" s="2721"/>
      <c r="T91" s="2721"/>
      <c r="U91" s="2721"/>
      <c r="V91" s="2721"/>
      <c r="W91" s="2721"/>
      <c r="X91" s="2721"/>
      <c r="Y91" s="2721"/>
      <c r="Z91" s="2721"/>
      <c r="AA91" s="2721"/>
      <c r="AB91" s="2721"/>
      <c r="AC91" s="2721"/>
      <c r="AD91" s="2721"/>
    </row>
    <row r="92" spans="1:30" ht="15.75" thickBot="1">
      <c r="A92" s="481"/>
      <c r="B92" s="490"/>
      <c r="C92" s="507"/>
      <c r="D92" s="483"/>
      <c r="E92" s="483"/>
      <c r="F92" s="483"/>
      <c r="G92" s="507"/>
      <c r="H92" s="509"/>
      <c r="I92" s="509"/>
      <c r="J92" s="509"/>
      <c r="K92" s="509"/>
      <c r="L92" s="509"/>
      <c r="M92" s="510"/>
      <c r="N92" s="2750"/>
      <c r="O92" s="2750"/>
      <c r="P92" s="2774"/>
      <c r="Q92" s="2735"/>
      <c r="R92" s="2721"/>
      <c r="S92" s="2721"/>
      <c r="T92" s="2721"/>
      <c r="U92" s="2721"/>
      <c r="V92" s="2721"/>
      <c r="W92" s="2721"/>
      <c r="X92" s="2721"/>
      <c r="Y92" s="2721"/>
      <c r="Z92" s="2721"/>
      <c r="AA92" s="2721"/>
      <c r="AB92" s="2721"/>
      <c r="AC92" s="2721"/>
      <c r="AD92" s="2721"/>
    </row>
    <row r="93" spans="1:30" ht="15" thickTop="1">
      <c r="A93" s="546"/>
      <c r="B93" s="485">
        <f>B33</f>
        <v>111</v>
      </c>
      <c r="C93" s="496"/>
      <c r="D93" s="496"/>
      <c r="E93" s="496"/>
      <c r="F93" s="496"/>
      <c r="G93" s="501"/>
      <c r="H93" s="502"/>
      <c r="I93" s="502"/>
      <c r="J93" s="502"/>
      <c r="K93" s="502"/>
      <c r="L93" s="503"/>
      <c r="M93" s="504"/>
      <c r="N93" s="2749"/>
      <c r="O93" s="2749"/>
      <c r="P93" s="2774"/>
      <c r="Q93" s="2735"/>
      <c r="R93" s="2721"/>
      <c r="S93" s="2721"/>
      <c r="T93" s="2721"/>
      <c r="U93" s="2721"/>
      <c r="V93" s="2721"/>
      <c r="W93" s="2721"/>
      <c r="X93" s="2721"/>
      <c r="Y93" s="2721"/>
      <c r="Z93" s="2721"/>
      <c r="AA93" s="2721"/>
      <c r="AB93" s="2721"/>
      <c r="AC93" s="2721"/>
      <c r="AD93" s="2721"/>
    </row>
    <row r="94" spans="1:30" ht="15.75" thickBot="1">
      <c r="A94" s="481"/>
      <c r="B94" s="490"/>
      <c r="C94" s="507"/>
      <c r="D94" s="483"/>
      <c r="E94" s="483"/>
      <c r="F94" s="483"/>
      <c r="G94" s="507"/>
      <c r="H94" s="509"/>
      <c r="I94" s="509"/>
      <c r="J94" s="509"/>
      <c r="K94" s="509"/>
      <c r="L94" s="509"/>
      <c r="M94" s="510"/>
      <c r="N94" s="2750"/>
      <c r="O94" s="2750"/>
      <c r="P94" s="2774"/>
      <c r="Q94" s="2735"/>
      <c r="R94" s="2721"/>
      <c r="S94" s="2721"/>
      <c r="T94" s="2721"/>
      <c r="U94" s="2721"/>
      <c r="V94" s="2721"/>
      <c r="W94" s="2721"/>
      <c r="X94" s="2721"/>
      <c r="Y94" s="2721"/>
      <c r="Z94" s="2721"/>
      <c r="AA94" s="2721"/>
      <c r="AB94" s="2721"/>
      <c r="AC94" s="2721"/>
      <c r="AD94" s="2721"/>
    </row>
    <row r="95" spans="1:30" ht="15" thickTop="1">
      <c r="A95" s="546"/>
      <c r="B95" s="582">
        <f>B34</f>
        <v>111</v>
      </c>
      <c r="C95" s="496"/>
      <c r="D95" s="496"/>
      <c r="E95" s="496"/>
      <c r="F95" s="496"/>
      <c r="G95" s="501"/>
      <c r="H95" s="502"/>
      <c r="I95" s="502"/>
      <c r="J95" s="502"/>
      <c r="K95" s="502"/>
      <c r="L95" s="503"/>
      <c r="M95" s="504"/>
      <c r="N95" s="2750"/>
      <c r="O95" s="2750"/>
      <c r="P95" s="2777"/>
      <c r="Q95" s="2764"/>
      <c r="R95" s="2721"/>
      <c r="S95" s="2721"/>
      <c r="T95" s="2721"/>
      <c r="U95" s="2721"/>
      <c r="V95" s="2721"/>
      <c r="W95" s="2721"/>
      <c r="X95" s="2721"/>
      <c r="Y95" s="2721"/>
      <c r="Z95" s="2721"/>
      <c r="AA95" s="2721"/>
      <c r="AB95" s="2721"/>
      <c r="AC95" s="2721"/>
      <c r="AD95" s="2721"/>
    </row>
    <row r="96" spans="1:30" ht="15.75" thickBot="1">
      <c r="A96" s="481"/>
      <c r="B96" s="490"/>
      <c r="C96" s="507"/>
      <c r="D96" s="507"/>
      <c r="E96" s="507"/>
      <c r="F96" s="507"/>
      <c r="G96" s="507"/>
      <c r="H96" s="509"/>
      <c r="I96" s="509"/>
      <c r="J96" s="509"/>
      <c r="K96" s="509"/>
      <c r="L96" s="509"/>
      <c r="M96" s="510"/>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30"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17"/>
      <c r="AC5" s="3717"/>
    </row>
    <row r="6" spans="1:30" ht="15.75" thickBot="1">
      <c r="A6" s="358"/>
      <c r="B6" s="359"/>
      <c r="C6" s="3736" t="s">
        <v>1677</v>
      </c>
      <c r="D6" s="3737"/>
      <c r="E6" s="3744" t="s">
        <v>1677</v>
      </c>
      <c r="F6" s="3745"/>
      <c r="G6" s="3736" t="s">
        <v>1677</v>
      </c>
      <c r="H6" s="3737"/>
      <c r="I6" s="3736" t="s">
        <v>1677</v>
      </c>
      <c r="J6" s="3737"/>
      <c r="K6" s="557" t="s">
        <v>1678</v>
      </c>
      <c r="L6" s="2711"/>
      <c r="M6" s="2712"/>
      <c r="N6" s="2712"/>
      <c r="O6" s="2712"/>
      <c r="P6" s="3727"/>
      <c r="Q6" s="3728"/>
      <c r="R6" s="3731"/>
      <c r="S6" s="3732"/>
      <c r="T6" s="3733"/>
      <c r="U6" s="3734"/>
      <c r="V6" s="3735"/>
      <c r="W6" s="3735"/>
      <c r="X6" s="1352"/>
      <c r="Y6" s="3733"/>
      <c r="Z6" s="3734"/>
      <c r="AA6" s="3718"/>
      <c r="AB6" s="3718"/>
      <c r="AC6" s="3718"/>
    </row>
    <row r="7" spans="1:30" s="108" customFormat="1" ht="15.75" thickBot="1">
      <c r="A7" s="360" t="s">
        <v>1679</v>
      </c>
      <c r="B7" s="361"/>
      <c r="C7" s="362">
        <f>'数据-取费表'!B2</f>
        <v>45272</v>
      </c>
      <c r="D7" s="363">
        <v>100</v>
      </c>
      <c r="E7" s="364"/>
      <c r="F7" s="365">
        <f>SUMIF(69:69,YEAR(E7)&amp;"-"&amp;INT((MONTH(E7)+2)/3),70:70)</f>
        <v>0</v>
      </c>
      <c r="G7" s="1971"/>
      <c r="H7" s="363">
        <f>SUMIF(69:69,YEAR(G7)&amp;"-"&amp;INT((MONTH(G7)+2)/3),70:70)</f>
        <v>0</v>
      </c>
      <c r="I7" s="1971"/>
      <c r="J7" s="363">
        <f>SUMIF(69:69,YEAR(I7)&amp;"-"&amp;INT((MONTH(I7)+2)/3),70:70)</f>
        <v>0</v>
      </c>
      <c r="K7" s="558"/>
      <c r="L7" s="2713"/>
      <c r="M7" s="2714"/>
      <c r="N7" s="2714"/>
      <c r="O7" s="2714"/>
      <c r="P7" s="3740" t="s">
        <v>1680</v>
      </c>
      <c r="Q7" s="3742"/>
      <c r="R7" s="698" t="s">
        <v>14</v>
      </c>
      <c r="S7" s="699">
        <f t="shared" ref="S7:S15" si="0">F7</f>
        <v>0</v>
      </c>
      <c r="T7" s="698" t="s">
        <v>14</v>
      </c>
      <c r="U7" s="699">
        <f t="shared" ref="U7:U15" si="1">H7</f>
        <v>0</v>
      </c>
      <c r="V7" s="698" t="s">
        <v>14</v>
      </c>
      <c r="W7" s="699">
        <f t="shared" ref="W7:W15" si="2">J7</f>
        <v>0</v>
      </c>
      <c r="X7" s="700"/>
      <c r="Y7" s="3740" t="s">
        <v>1680</v>
      </c>
      <c r="Z7" s="3741"/>
      <c r="AA7" s="701" t="e">
        <f>D7/F7</f>
        <v>#DIV/0!</v>
      </c>
      <c r="AB7" s="701" t="e">
        <f>D7/H7</f>
        <v>#DIV/0!</v>
      </c>
      <c r="AC7" s="701" t="e">
        <f>D7/J7</f>
        <v>#DIV/0!</v>
      </c>
    </row>
    <row r="8" spans="1:30" s="108"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3"/>
      <c r="M8" s="2714"/>
      <c r="N8" s="2714"/>
      <c r="O8" s="2714"/>
      <c r="P8" s="3740" t="s">
        <v>1683</v>
      </c>
      <c r="Q8" s="3741"/>
      <c r="R8" s="698" t="s">
        <v>14</v>
      </c>
      <c r="S8" s="699">
        <f t="shared" si="0"/>
        <v>0</v>
      </c>
      <c r="T8" s="698" t="s">
        <v>14</v>
      </c>
      <c r="U8" s="699">
        <f t="shared" si="1"/>
        <v>0</v>
      </c>
      <c r="V8" s="698" t="s">
        <v>14</v>
      </c>
      <c r="W8" s="699">
        <f t="shared" si="2"/>
        <v>0</v>
      </c>
      <c r="X8" s="700"/>
      <c r="Y8" s="3740" t="s">
        <v>1683</v>
      </c>
      <c r="Z8" s="3741"/>
      <c r="AA8" s="701" t="e">
        <f t="shared" ref="AA8:AA45" si="3">D8/F8</f>
        <v>#DIV/0!</v>
      </c>
      <c r="AB8" s="701" t="e">
        <f t="shared" ref="AB8:AB45" si="4">D8/H8</f>
        <v>#DIV/0!</v>
      </c>
      <c r="AC8" s="701" t="e">
        <f t="shared" ref="AC8:AC45" si="5">D8/J8</f>
        <v>#DIV/0!</v>
      </c>
    </row>
    <row r="9" spans="1:30" s="108"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3"/>
      <c r="M9" s="2714"/>
      <c r="N9" s="2714"/>
      <c r="O9" s="2768"/>
      <c r="P9" s="3706"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111</v>
      </c>
      <c r="G10" s="412"/>
      <c r="H10" s="125">
        <f>ROUND(100/'数据-取费表'!G16,0)</f>
        <v>111</v>
      </c>
      <c r="I10" s="412"/>
      <c r="J10" s="125">
        <f>ROUND(100/'数据-取费表'!G16,0)</f>
        <v>111</v>
      </c>
      <c r="K10" s="618"/>
      <c r="L10" s="2715"/>
      <c r="M10" s="2716"/>
      <c r="N10" s="2716"/>
      <c r="O10" s="2769"/>
      <c r="P10" s="3706"/>
      <c r="Q10" s="1340" t="str">
        <f t="shared" si="6"/>
        <v>土地使用年限（年）</v>
      </c>
      <c r="R10" s="698" t="s">
        <v>14</v>
      </c>
      <c r="S10" s="699">
        <f t="shared" si="0"/>
        <v>111</v>
      </c>
      <c r="T10" s="698" t="s">
        <v>14</v>
      </c>
      <c r="U10" s="699">
        <f t="shared" si="1"/>
        <v>111</v>
      </c>
      <c r="V10" s="698" t="s">
        <v>14</v>
      </c>
      <c r="W10" s="699">
        <f t="shared" si="2"/>
        <v>111</v>
      </c>
      <c r="X10" s="700"/>
      <c r="Y10" s="3610"/>
      <c r="Z10" s="52" t="str">
        <f t="shared" si="7"/>
        <v>土地使用年限（年）</v>
      </c>
      <c r="AA10" s="701">
        <f t="shared" si="3"/>
        <v>0.90090090090090091</v>
      </c>
      <c r="AB10" s="701">
        <f t="shared" si="4"/>
        <v>0.90090090090090091</v>
      </c>
      <c r="AC10" s="701">
        <f t="shared" si="5"/>
        <v>0.90090090090090091</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7"/>
      <c r="M11" s="2712"/>
      <c r="N11" s="2712"/>
      <c r="O11" s="2770"/>
      <c r="P11" s="3706"/>
      <c r="Q11" s="1340" t="str">
        <f t="shared" si="6"/>
        <v>容积率</v>
      </c>
      <c r="R11" s="698" t="s">
        <v>14</v>
      </c>
      <c r="S11" s="699" t="e">
        <f t="shared" si="0"/>
        <v>#N/A</v>
      </c>
      <c r="T11" s="698" t="s">
        <v>14</v>
      </c>
      <c r="U11" s="699" t="e">
        <f t="shared" si="1"/>
        <v>#N/A</v>
      </c>
      <c r="V11" s="698" t="s">
        <v>14</v>
      </c>
      <c r="W11" s="699" t="e">
        <f t="shared" si="2"/>
        <v>#N/A</v>
      </c>
      <c r="X11" s="700"/>
      <c r="Y11" s="3610"/>
      <c r="Z11" s="52" t="str">
        <f t="shared" si="7"/>
        <v>容积率</v>
      </c>
      <c r="AA11" s="701" t="e">
        <f t="shared" si="3"/>
        <v>#N/A</v>
      </c>
      <c r="AB11" s="701" t="e">
        <f t="shared" si="4"/>
        <v>#N/A</v>
      </c>
      <c r="AC11" s="701" t="e">
        <f t="shared" si="5"/>
        <v>#N/A</v>
      </c>
    </row>
    <row r="12" spans="1:30" s="108"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3"/>
      <c r="M12" s="2714"/>
      <c r="N12" s="2714"/>
      <c r="O12" s="2768"/>
      <c r="P12" s="3706"/>
      <c r="Q12" s="1340" t="str">
        <f t="shared" si="6"/>
        <v>配建</v>
      </c>
      <c r="R12" s="698" t="s">
        <v>14</v>
      </c>
      <c r="S12" s="699">
        <f t="shared" si="0"/>
        <v>100</v>
      </c>
      <c r="T12" s="698" t="s">
        <v>14</v>
      </c>
      <c r="U12" s="699">
        <f t="shared" si="1"/>
        <v>100</v>
      </c>
      <c r="V12" s="698" t="s">
        <v>14</v>
      </c>
      <c r="W12" s="699">
        <f t="shared" si="2"/>
        <v>100</v>
      </c>
      <c r="X12" s="700"/>
      <c r="Y12" s="3610"/>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8"/>
      <c r="M13" s="2712"/>
      <c r="N13" s="2712"/>
      <c r="O13" s="2770"/>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8"/>
      <c r="M14" s="2712"/>
      <c r="N14" s="2712"/>
      <c r="O14" s="2770"/>
      <c r="P14" s="3706"/>
      <c r="Q14" s="1340">
        <f t="shared" si="6"/>
        <v>111</v>
      </c>
      <c r="R14" s="698" t="s">
        <v>14</v>
      </c>
      <c r="S14" s="699">
        <f t="shared" si="0"/>
        <v>100</v>
      </c>
      <c r="T14" s="698" t="s">
        <v>14</v>
      </c>
      <c r="U14" s="699">
        <f t="shared" si="1"/>
        <v>100</v>
      </c>
      <c r="V14" s="698" t="s">
        <v>14</v>
      </c>
      <c r="W14" s="699">
        <f t="shared" si="2"/>
        <v>100</v>
      </c>
      <c r="X14" s="700"/>
      <c r="Y14" s="3610"/>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8"/>
      <c r="M15" s="2712"/>
      <c r="N15" s="2712"/>
      <c r="O15" s="2770"/>
      <c r="P15" s="3711" t="s">
        <v>1691</v>
      </c>
      <c r="Q15" s="1349" t="str">
        <f t="shared" si="6"/>
        <v>居住社区成熟度</v>
      </c>
      <c r="R15" s="702" t="s">
        <v>14</v>
      </c>
      <c r="S15" s="703">
        <f t="shared" si="0"/>
        <v>100</v>
      </c>
      <c r="T15" s="702" t="s">
        <v>14</v>
      </c>
      <c r="U15" s="703">
        <f t="shared" si="1"/>
        <v>100</v>
      </c>
      <c r="V15" s="702" t="s">
        <v>14</v>
      </c>
      <c r="W15" s="703">
        <f t="shared" si="2"/>
        <v>100</v>
      </c>
      <c r="X15" s="1352"/>
      <c r="Y15" s="3711"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8"/>
      <c r="M16" s="2712"/>
      <c r="N16" s="2712"/>
      <c r="O16" s="2770"/>
      <c r="P16" s="3712"/>
      <c r="Q16" s="1349"/>
      <c r="R16" s="702"/>
      <c r="S16" s="703"/>
      <c r="T16" s="702"/>
      <c r="U16" s="703"/>
      <c r="V16" s="702"/>
      <c r="W16" s="703"/>
      <c r="X16" s="1352"/>
      <c r="Y16" s="3712"/>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8"/>
      <c r="M17" s="2712"/>
      <c r="N17" s="2712"/>
      <c r="O17" s="2770"/>
      <c r="P17" s="3712"/>
      <c r="Q17" s="1349" t="str">
        <f>B17</f>
        <v>商业繁华度</v>
      </c>
      <c r="R17" s="702" t="s">
        <v>14</v>
      </c>
      <c r="S17" s="703">
        <f>F17</f>
        <v>100</v>
      </c>
      <c r="T17" s="702" t="s">
        <v>14</v>
      </c>
      <c r="U17" s="703">
        <f>H17</f>
        <v>100</v>
      </c>
      <c r="V17" s="702" t="s">
        <v>14</v>
      </c>
      <c r="W17" s="703">
        <f>J17</f>
        <v>100</v>
      </c>
      <c r="X17" s="1352"/>
      <c r="Y17" s="3712"/>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8"/>
      <c r="M18" s="2712"/>
      <c r="N18" s="2712"/>
      <c r="O18" s="2770"/>
      <c r="P18" s="3712"/>
      <c r="Q18" s="1349"/>
      <c r="R18" s="702"/>
      <c r="S18" s="703"/>
      <c r="T18" s="702"/>
      <c r="U18" s="703"/>
      <c r="V18" s="702"/>
      <c r="W18" s="703"/>
      <c r="X18" s="1352"/>
      <c r="Y18" s="3712"/>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8"/>
      <c r="M19" s="2712"/>
      <c r="N19" s="2712"/>
      <c r="O19" s="2770"/>
      <c r="P19" s="3712"/>
      <c r="Q19" s="1349" t="str">
        <f>B19</f>
        <v>办公集聚程度</v>
      </c>
      <c r="R19" s="702" t="s">
        <v>14</v>
      </c>
      <c r="S19" s="703">
        <f>F19</f>
        <v>100</v>
      </c>
      <c r="T19" s="702" t="s">
        <v>14</v>
      </c>
      <c r="U19" s="703">
        <f>H19</f>
        <v>100</v>
      </c>
      <c r="V19" s="702" t="s">
        <v>14</v>
      </c>
      <c r="W19" s="703">
        <f>J19</f>
        <v>100</v>
      </c>
      <c r="X19" s="1352"/>
      <c r="Y19" s="3712"/>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8"/>
      <c r="M20" s="2712"/>
      <c r="N20" s="2712"/>
      <c r="O20" s="2770"/>
      <c r="P20" s="3712"/>
      <c r="Q20" s="1349"/>
      <c r="R20" s="702"/>
      <c r="S20" s="703"/>
      <c r="T20" s="702"/>
      <c r="U20" s="703"/>
      <c r="V20" s="702"/>
      <c r="W20" s="703"/>
      <c r="X20" s="1352"/>
      <c r="Y20" s="3712"/>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8"/>
      <c r="M21" s="2712"/>
      <c r="N21" s="2712"/>
      <c r="O21" s="2770"/>
      <c r="P21" s="3712"/>
      <c r="Q21" s="1349" t="str">
        <f>B21</f>
        <v>交通便捷度</v>
      </c>
      <c r="R21" s="702" t="s">
        <v>14</v>
      </c>
      <c r="S21" s="703">
        <f>F21</f>
        <v>100</v>
      </c>
      <c r="T21" s="702" t="s">
        <v>14</v>
      </c>
      <c r="U21" s="703">
        <f>H21</f>
        <v>100</v>
      </c>
      <c r="V21" s="702" t="s">
        <v>14</v>
      </c>
      <c r="W21" s="703">
        <f>J21</f>
        <v>100</v>
      </c>
      <c r="X21" s="1352"/>
      <c r="Y21" s="3712"/>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8"/>
      <c r="M22" s="2712"/>
      <c r="N22" s="2712"/>
      <c r="O22" s="2770"/>
      <c r="P22" s="3712"/>
      <c r="Q22" s="1349"/>
      <c r="R22" s="702"/>
      <c r="S22" s="703"/>
      <c r="T22" s="702"/>
      <c r="U22" s="703"/>
      <c r="V22" s="702"/>
      <c r="W22" s="703"/>
      <c r="X22" s="1352"/>
      <c r="Y22" s="3712"/>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8"/>
      <c r="M23" s="2712"/>
      <c r="N23" s="2712"/>
      <c r="O23" s="2770"/>
      <c r="P23" s="3712"/>
      <c r="Q23" s="1349" t="str">
        <f t="shared" ref="Q23:Q37" si="8">B23</f>
        <v>区域土地利用方向</v>
      </c>
      <c r="R23" s="702" t="s">
        <v>14</v>
      </c>
      <c r="S23" s="703">
        <f>F23</f>
        <v>100</v>
      </c>
      <c r="T23" s="702" t="s">
        <v>14</v>
      </c>
      <c r="U23" s="703">
        <f>H23</f>
        <v>100</v>
      </c>
      <c r="V23" s="702" t="s">
        <v>14</v>
      </c>
      <c r="W23" s="703">
        <f>J23</f>
        <v>100</v>
      </c>
      <c r="X23" s="1352"/>
      <c r="Y23" s="3712"/>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8"/>
      <c r="M24" s="2712"/>
      <c r="N24" s="2712"/>
      <c r="O24" s="2770"/>
      <c r="P24" s="3712"/>
      <c r="Q24" s="1349"/>
      <c r="R24" s="702"/>
      <c r="S24" s="703"/>
      <c r="T24" s="702"/>
      <c r="U24" s="703"/>
      <c r="V24" s="702"/>
      <c r="W24" s="703"/>
      <c r="X24" s="1352"/>
      <c r="Y24" s="3712"/>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8"/>
      <c r="M25" s="2712"/>
      <c r="N25" s="2712"/>
      <c r="O25" s="2770"/>
      <c r="P25" s="3712"/>
      <c r="Q25" s="1349" t="str">
        <f t="shared" si="8"/>
        <v>自然及人文环境状况</v>
      </c>
      <c r="R25" s="702" t="s">
        <v>14</v>
      </c>
      <c r="S25" s="703">
        <f>F25</f>
        <v>100</v>
      </c>
      <c r="T25" s="702" t="s">
        <v>14</v>
      </c>
      <c r="U25" s="703">
        <f>H25</f>
        <v>100</v>
      </c>
      <c r="V25" s="702" t="s">
        <v>14</v>
      </c>
      <c r="W25" s="703">
        <f>J25</f>
        <v>100</v>
      </c>
      <c r="X25" s="1352"/>
      <c r="Y25" s="3712"/>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8"/>
      <c r="M26" s="2712"/>
      <c r="N26" s="2712"/>
      <c r="O26" s="2770"/>
      <c r="P26" s="3712"/>
      <c r="Q26" s="1349"/>
      <c r="R26" s="702"/>
      <c r="S26" s="703"/>
      <c r="T26" s="702"/>
      <c r="U26" s="703"/>
      <c r="V26" s="702"/>
      <c r="W26" s="703"/>
      <c r="X26" s="1352"/>
      <c r="Y26" s="3712"/>
      <c r="Z26" s="1353"/>
      <c r="AA26" s="1350">
        <v>1</v>
      </c>
      <c r="AB26" s="1350">
        <v>1</v>
      </c>
      <c r="AC26" s="1350">
        <v>1</v>
      </c>
    </row>
    <row r="27" spans="1:29" s="108"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3"/>
      <c r="M27" s="2714"/>
      <c r="N27" s="2714"/>
      <c r="O27" s="2768"/>
      <c r="P27" s="3712"/>
      <c r="Q27" s="1340" t="str">
        <f t="shared" si="8"/>
        <v>公共配套设施</v>
      </c>
      <c r="R27" s="698" t="s">
        <v>14</v>
      </c>
      <c r="S27" s="699">
        <f>F27</f>
        <v>100</v>
      </c>
      <c r="T27" s="698" t="s">
        <v>14</v>
      </c>
      <c r="U27" s="699">
        <f>H27</f>
        <v>100</v>
      </c>
      <c r="V27" s="698" t="s">
        <v>14</v>
      </c>
      <c r="W27" s="699">
        <f>J27</f>
        <v>100</v>
      </c>
      <c r="X27" s="700"/>
      <c r="Y27" s="3712"/>
      <c r="Z27" s="52" t="str">
        <f>Q27</f>
        <v>公共配套设施</v>
      </c>
      <c r="AA27" s="1350">
        <f>D27/F27</f>
        <v>1</v>
      </c>
      <c r="AB27" s="1350">
        <f>D27/H27</f>
        <v>1</v>
      </c>
      <c r="AC27" s="1350">
        <f>D27/J27</f>
        <v>1</v>
      </c>
    </row>
    <row r="28" spans="1:29" s="108" customFormat="1" ht="15">
      <c r="A28" s="595"/>
      <c r="B28" s="405"/>
      <c r="C28" s="1975"/>
      <c r="D28" s="397"/>
      <c r="E28" s="1901"/>
      <c r="F28" s="397"/>
      <c r="G28" s="1901"/>
      <c r="H28" s="397"/>
      <c r="I28" s="396"/>
      <c r="J28" s="397"/>
      <c r="K28" s="618"/>
      <c r="L28" s="2713"/>
      <c r="M28" s="2714"/>
      <c r="N28" s="2714"/>
      <c r="O28" s="2768"/>
      <c r="P28" s="3712"/>
      <c r="Q28" s="1340"/>
      <c r="R28" s="698"/>
      <c r="S28" s="699"/>
      <c r="T28" s="698"/>
      <c r="U28" s="699"/>
      <c r="V28" s="698"/>
      <c r="W28" s="699"/>
      <c r="X28" s="700"/>
      <c r="Y28" s="3712"/>
      <c r="Z28" s="52"/>
      <c r="AA28" s="1350">
        <v>1</v>
      </c>
      <c r="AB28" s="1350">
        <v>1</v>
      </c>
      <c r="AC28" s="1350">
        <v>1</v>
      </c>
    </row>
    <row r="29" spans="1:29" s="108"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3"/>
      <c r="M29" s="2714"/>
      <c r="N29" s="2714"/>
      <c r="O29" s="2768"/>
      <c r="P29" s="3712"/>
      <c r="Q29" s="1340" t="str">
        <f t="shared" ref="Q29" si="9">B29</f>
        <v>基础设施水平</v>
      </c>
      <c r="R29" s="698" t="s">
        <v>14</v>
      </c>
      <c r="S29" s="699">
        <f>F29</f>
        <v>100</v>
      </c>
      <c r="T29" s="698" t="s">
        <v>14</v>
      </c>
      <c r="U29" s="699">
        <f>H29</f>
        <v>100</v>
      </c>
      <c r="V29" s="698" t="s">
        <v>14</v>
      </c>
      <c r="W29" s="699">
        <f>J29</f>
        <v>100</v>
      </c>
      <c r="X29" s="700"/>
      <c r="Y29" s="3712"/>
      <c r="Z29" s="52" t="str">
        <f>Q29</f>
        <v>基础设施水平</v>
      </c>
      <c r="AA29" s="1350">
        <f>D29/F29</f>
        <v>1</v>
      </c>
      <c r="AB29" s="1350">
        <f>D29/H29</f>
        <v>1</v>
      </c>
      <c r="AC29" s="1350">
        <f>D29/J29</f>
        <v>1</v>
      </c>
    </row>
    <row r="30" spans="1:29" s="108" customFormat="1" ht="15">
      <c r="A30" s="595"/>
      <c r="B30" s="405"/>
      <c r="C30" s="1975"/>
      <c r="D30" s="397"/>
      <c r="E30" s="1976"/>
      <c r="F30" s="397"/>
      <c r="G30" s="1976"/>
      <c r="H30" s="397"/>
      <c r="I30" s="1976"/>
      <c r="J30" s="397"/>
      <c r="K30" s="618"/>
      <c r="L30" s="2713"/>
      <c r="M30" s="2714"/>
      <c r="N30" s="2714"/>
      <c r="O30" s="2768"/>
      <c r="P30" s="3712"/>
      <c r="Q30" s="1340"/>
      <c r="R30" s="698"/>
      <c r="S30" s="699"/>
      <c r="T30" s="698"/>
      <c r="U30" s="699"/>
      <c r="V30" s="698"/>
      <c r="W30" s="699"/>
      <c r="X30" s="700"/>
      <c r="Y30" s="3712"/>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8"/>
      <c r="M31" s="2712"/>
      <c r="N31" s="2712"/>
      <c r="O31" s="2770"/>
      <c r="P31" s="3712"/>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12"/>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8"/>
      <c r="M32" s="2712"/>
      <c r="N32" s="2712"/>
      <c r="O32" s="2770"/>
      <c r="P32" s="3712"/>
      <c r="Q32" s="1349" t="str">
        <f t="shared" si="8"/>
        <v>毗邻道路的类型与等级</v>
      </c>
      <c r="R32" s="702" t="s">
        <v>14</v>
      </c>
      <c r="S32" s="703">
        <f t="shared" si="10"/>
        <v>100</v>
      </c>
      <c r="T32" s="702" t="s">
        <v>14</v>
      </c>
      <c r="U32" s="703">
        <f t="shared" si="11"/>
        <v>100</v>
      </c>
      <c r="V32" s="702" t="s">
        <v>14</v>
      </c>
      <c r="W32" s="703">
        <f t="shared" si="12"/>
        <v>100</v>
      </c>
      <c r="X32" s="1352"/>
      <c r="Y32" s="3712"/>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8"/>
      <c r="M33" s="2712"/>
      <c r="N33" s="2712"/>
      <c r="O33" s="2770"/>
      <c r="P33" s="3712"/>
      <c r="Q33" s="1349"/>
      <c r="R33" s="702"/>
      <c r="S33" s="703"/>
      <c r="T33" s="702"/>
      <c r="U33" s="703"/>
      <c r="V33" s="702"/>
      <c r="W33" s="703"/>
      <c r="X33" s="1352"/>
      <c r="Y33" s="3712"/>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8"/>
      <c r="M34" s="2712"/>
      <c r="N34" s="2712"/>
      <c r="O34" s="2770"/>
      <c r="P34" s="3712"/>
      <c r="Q34" s="1349" t="str">
        <f t="shared" si="8"/>
        <v>土地级别</v>
      </c>
      <c r="R34" s="702" t="s">
        <v>14</v>
      </c>
      <c r="S34" s="703">
        <f t="shared" si="10"/>
        <v>100</v>
      </c>
      <c r="T34" s="702" t="s">
        <v>14</v>
      </c>
      <c r="U34" s="703">
        <f t="shared" si="11"/>
        <v>100</v>
      </c>
      <c r="V34" s="702" t="s">
        <v>14</v>
      </c>
      <c r="W34" s="703">
        <f t="shared" si="12"/>
        <v>100</v>
      </c>
      <c r="X34" s="1352"/>
      <c r="Y34" s="3712"/>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8"/>
      <c r="M35" s="2712"/>
      <c r="N35" s="2712"/>
      <c r="O35" s="2770"/>
      <c r="P35" s="3712"/>
      <c r="Q35" s="1349">
        <f t="shared" si="8"/>
        <v>111</v>
      </c>
      <c r="R35" s="702" t="s">
        <v>14</v>
      </c>
      <c r="S35" s="703">
        <f t="shared" si="10"/>
        <v>100</v>
      </c>
      <c r="T35" s="702" t="s">
        <v>14</v>
      </c>
      <c r="U35" s="703">
        <f t="shared" si="11"/>
        <v>100</v>
      </c>
      <c r="V35" s="702" t="s">
        <v>14</v>
      </c>
      <c r="W35" s="703">
        <f t="shared" si="12"/>
        <v>100</v>
      </c>
      <c r="X35" s="1352"/>
      <c r="Y35" s="3712"/>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8"/>
      <c r="M36" s="2712"/>
      <c r="N36" s="2712"/>
      <c r="O36" s="2770"/>
      <c r="P36" s="3713" t="s">
        <v>1696</v>
      </c>
      <c r="Q36" s="1349">
        <f t="shared" si="8"/>
        <v>111</v>
      </c>
      <c r="R36" s="702" t="s">
        <v>14</v>
      </c>
      <c r="S36" s="703">
        <f t="shared" si="10"/>
        <v>100</v>
      </c>
      <c r="T36" s="702" t="s">
        <v>14</v>
      </c>
      <c r="U36" s="703">
        <f t="shared" si="11"/>
        <v>100</v>
      </c>
      <c r="V36" s="702" t="s">
        <v>14</v>
      </c>
      <c r="W36" s="703">
        <f t="shared" si="12"/>
        <v>100</v>
      </c>
      <c r="X36" s="1352"/>
      <c r="Y36" s="3714"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7"/>
      <c r="M37" s="2719"/>
      <c r="N37" s="2719"/>
      <c r="O37" s="2771"/>
      <c r="P37" s="3714"/>
      <c r="Q37" s="1349">
        <f t="shared" si="8"/>
        <v>111</v>
      </c>
      <c r="R37" s="705" t="s">
        <v>14</v>
      </c>
      <c r="S37" s="706">
        <f t="shared" si="10"/>
        <v>100</v>
      </c>
      <c r="T37" s="705" t="s">
        <v>14</v>
      </c>
      <c r="U37" s="706">
        <f t="shared" si="11"/>
        <v>100</v>
      </c>
      <c r="V37" s="705" t="s">
        <v>14</v>
      </c>
      <c r="W37" s="706">
        <f t="shared" si="12"/>
        <v>100</v>
      </c>
      <c r="X37" s="707"/>
      <c r="Y37" s="3714"/>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8"/>
      <c r="M38" s="2712"/>
      <c r="N38" s="2712"/>
      <c r="O38" s="2770"/>
      <c r="P38" s="3714"/>
      <c r="Q38" s="1349" t="str">
        <f>B38</f>
        <v>宗地面积</v>
      </c>
      <c r="R38" s="702" t="s">
        <v>14</v>
      </c>
      <c r="S38" s="703" t="e">
        <f t="shared" si="10"/>
        <v>#N/A</v>
      </c>
      <c r="T38" s="702" t="s">
        <v>14</v>
      </c>
      <c r="U38" s="703" t="e">
        <f t="shared" si="11"/>
        <v>#N/A</v>
      </c>
      <c r="V38" s="702" t="s">
        <v>14</v>
      </c>
      <c r="W38" s="703" t="e">
        <f t="shared" si="12"/>
        <v>#N/A</v>
      </c>
      <c r="X38" s="1352"/>
      <c r="Y38" s="3714"/>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8"/>
      <c r="M39" s="2712"/>
      <c r="N39" s="2712"/>
      <c r="O39" s="2770"/>
      <c r="P39" s="3714"/>
      <c r="Q39" s="1349" t="str">
        <f t="shared" ref="Q39:Q45" si="14">B39</f>
        <v>宗地形状</v>
      </c>
      <c r="R39" s="702" t="s">
        <v>14</v>
      </c>
      <c r="S39" s="703">
        <f t="shared" si="10"/>
        <v>100</v>
      </c>
      <c r="T39" s="702" t="s">
        <v>14</v>
      </c>
      <c r="U39" s="703">
        <f t="shared" si="11"/>
        <v>100</v>
      </c>
      <c r="V39" s="702" t="s">
        <v>14</v>
      </c>
      <c r="W39" s="703">
        <f t="shared" si="12"/>
        <v>100</v>
      </c>
      <c r="X39" s="1352"/>
      <c r="Y39" s="3714"/>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8"/>
      <c r="M40" s="2712"/>
      <c r="N40" s="2712"/>
      <c r="O40" s="2770"/>
      <c r="P40" s="3714"/>
      <c r="Q40" s="1349" t="str">
        <f t="shared" si="14"/>
        <v>临街宽度及深度</v>
      </c>
      <c r="R40" s="702" t="s">
        <v>14</v>
      </c>
      <c r="S40" s="703">
        <f t="shared" si="10"/>
        <v>100</v>
      </c>
      <c r="T40" s="702" t="s">
        <v>14</v>
      </c>
      <c r="U40" s="703">
        <f t="shared" si="11"/>
        <v>100</v>
      </c>
      <c r="V40" s="702" t="s">
        <v>14</v>
      </c>
      <c r="W40" s="703">
        <f t="shared" si="12"/>
        <v>100</v>
      </c>
      <c r="X40" s="1352"/>
      <c r="Y40" s="3714"/>
      <c r="Z40" s="1353" t="str">
        <f t="shared" si="13"/>
        <v>临街宽度及深度</v>
      </c>
      <c r="AA40" s="1350">
        <f t="shared" si="3"/>
        <v>1</v>
      </c>
      <c r="AB40" s="1350">
        <f t="shared" si="4"/>
        <v>1</v>
      </c>
      <c r="AC40" s="1350">
        <f t="shared" si="5"/>
        <v>1</v>
      </c>
    </row>
    <row r="41" spans="1:29" s="108"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3"/>
      <c r="M41" s="2714"/>
      <c r="N41" s="2714"/>
      <c r="O41" s="2768"/>
      <c r="P41" s="3714"/>
      <c r="Q41" s="1349" t="str">
        <f t="shared" si="14"/>
        <v>宗地开发程度</v>
      </c>
      <c r="R41" s="698" t="s">
        <v>14</v>
      </c>
      <c r="S41" s="699">
        <f t="shared" si="10"/>
        <v>100</v>
      </c>
      <c r="T41" s="698" t="s">
        <v>14</v>
      </c>
      <c r="U41" s="699">
        <f t="shared" si="11"/>
        <v>100</v>
      </c>
      <c r="V41" s="698" t="s">
        <v>14</v>
      </c>
      <c r="W41" s="699">
        <f t="shared" si="12"/>
        <v>100</v>
      </c>
      <c r="X41" s="700"/>
      <c r="Y41" s="3714"/>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8"/>
      <c r="M42" s="2712"/>
      <c r="N42" s="2712"/>
      <c r="O42" s="2770"/>
      <c r="P42" s="3714" t="s">
        <v>1696</v>
      </c>
      <c r="Q42" s="1349" t="str">
        <f t="shared" si="14"/>
        <v>工程地质条件</v>
      </c>
      <c r="R42" s="702" t="s">
        <v>14</v>
      </c>
      <c r="S42" s="703">
        <f t="shared" si="10"/>
        <v>100</v>
      </c>
      <c r="T42" s="702" t="s">
        <v>14</v>
      </c>
      <c r="U42" s="703">
        <f t="shared" si="11"/>
        <v>100</v>
      </c>
      <c r="V42" s="702" t="s">
        <v>14</v>
      </c>
      <c r="W42" s="703">
        <f t="shared" si="12"/>
        <v>100</v>
      </c>
      <c r="X42" s="1352"/>
      <c r="Y42" s="3714"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8"/>
      <c r="M43" s="2712"/>
      <c r="N43" s="2712"/>
      <c r="O43" s="2770"/>
      <c r="P43" s="3714"/>
      <c r="Q43" s="1349">
        <f t="shared" si="14"/>
        <v>111</v>
      </c>
      <c r="R43" s="702" t="s">
        <v>14</v>
      </c>
      <c r="S43" s="703">
        <f t="shared" si="10"/>
        <v>100</v>
      </c>
      <c r="T43" s="702" t="s">
        <v>14</v>
      </c>
      <c r="U43" s="703">
        <f t="shared" si="11"/>
        <v>100</v>
      </c>
      <c r="V43" s="702" t="s">
        <v>14</v>
      </c>
      <c r="W43" s="703">
        <f t="shared" si="12"/>
        <v>100</v>
      </c>
      <c r="X43" s="1352"/>
      <c r="Y43" s="3714"/>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8"/>
      <c r="M44" s="2712"/>
      <c r="N44" s="2712"/>
      <c r="O44" s="2770"/>
      <c r="P44" s="3714"/>
      <c r="Q44" s="1349">
        <f t="shared" si="14"/>
        <v>111</v>
      </c>
      <c r="R44" s="702" t="s">
        <v>14</v>
      </c>
      <c r="S44" s="703">
        <f t="shared" si="10"/>
        <v>100</v>
      </c>
      <c r="T44" s="702" t="s">
        <v>14</v>
      </c>
      <c r="U44" s="703">
        <f t="shared" si="11"/>
        <v>100</v>
      </c>
      <c r="V44" s="702" t="s">
        <v>14</v>
      </c>
      <c r="W44" s="703">
        <f t="shared" si="12"/>
        <v>100</v>
      </c>
      <c r="X44" s="1352"/>
      <c r="Y44" s="3714"/>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7"/>
      <c r="M45" s="2719"/>
      <c r="N45" s="2719"/>
      <c r="O45" s="2771"/>
      <c r="P45" s="3714"/>
      <c r="Q45" s="1349">
        <f t="shared" si="14"/>
        <v>111</v>
      </c>
      <c r="R45" s="705" t="s">
        <v>14</v>
      </c>
      <c r="S45" s="706">
        <f t="shared" si="10"/>
        <v>100</v>
      </c>
      <c r="T45" s="705" t="s">
        <v>14</v>
      </c>
      <c r="U45" s="706">
        <f t="shared" si="11"/>
        <v>100</v>
      </c>
      <c r="V45" s="705" t="s">
        <v>14</v>
      </c>
      <c r="W45" s="706">
        <f t="shared" si="12"/>
        <v>100</v>
      </c>
      <c r="X45" s="707"/>
      <c r="Y45" s="3714"/>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20"/>
      <c r="M46" s="2721"/>
      <c r="N46" s="2712"/>
      <c r="O46" s="2721"/>
      <c r="P46" s="3706" t="str">
        <f>A46</f>
        <v>成交单价</v>
      </c>
      <c r="Q46" s="3706"/>
      <c r="R46" s="3735">
        <f>E46</f>
        <v>0</v>
      </c>
      <c r="S46" s="3735"/>
      <c r="T46" s="3735">
        <f>G46</f>
        <v>0</v>
      </c>
      <c r="U46" s="3735"/>
      <c r="V46" s="3735">
        <f>I46</f>
        <v>0</v>
      </c>
      <c r="W46" s="3735"/>
      <c r="X46" s="687"/>
      <c r="Y46" s="709"/>
      <c r="Z46" s="687"/>
      <c r="AA46" s="687"/>
      <c r="AB46" s="687"/>
      <c r="AC46" s="687"/>
    </row>
    <row r="47" spans="1:29" ht="15.75" thickBot="1">
      <c r="A47" s="435" t="s">
        <v>1793</v>
      </c>
      <c r="B47" s="629"/>
      <c r="C47" s="438" t="e">
        <f>R48</f>
        <v>#DIV/0!</v>
      </c>
      <c r="D47" s="2314" t="s">
        <v>2138</v>
      </c>
      <c r="E47" s="438" t="e">
        <f>R47</f>
        <v>#DIV/0!</v>
      </c>
      <c r="F47" s="2315"/>
      <c r="G47" s="437" t="e">
        <f>T47</f>
        <v>#DIV/0!</v>
      </c>
      <c r="H47" s="2315"/>
      <c r="I47" s="438" t="e">
        <f>V47</f>
        <v>#DIV/0!</v>
      </c>
      <c r="J47" s="2315"/>
      <c r="K47" s="2317">
        <f>F47+H47+J47</f>
        <v>0</v>
      </c>
      <c r="L47" s="2720"/>
      <c r="M47" s="2721"/>
      <c r="N47" s="2721"/>
      <c r="O47" s="2721"/>
      <c r="P47" s="3706" t="str">
        <f>A47</f>
        <v>比较价值（元/平方米）</v>
      </c>
      <c r="Q47" s="3706"/>
      <c r="R47" s="3796" t="e">
        <f>ROUND(PRODUCT(R46,AA7:AA45),0)</f>
        <v>#DIV/0!</v>
      </c>
      <c r="S47" s="3796"/>
      <c r="T47" s="3796" t="e">
        <f>ROUND(PRODUCT(T46,AB7:AB45),0)</f>
        <v>#DIV/0!</v>
      </c>
      <c r="U47" s="3796"/>
      <c r="V47" s="3796" t="e">
        <f>ROUND(PRODUCT(V46,AC7:AC45),0)</f>
        <v>#DIV/0!</v>
      </c>
      <c r="W47" s="3796"/>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20"/>
      <c r="M48" s="2721"/>
      <c r="N48" s="2721"/>
      <c r="O48" s="2721"/>
      <c r="P48" s="3708" t="str">
        <f>A48</f>
        <v>估价对象XX用房的比较价值（楼面单价，元/平方米）</v>
      </c>
      <c r="Q48" s="3709"/>
      <c r="R48" s="3797" t="e">
        <f>ROUND(IF(D47="简单平均",AVERAGE(R47:W47),R47*F47+T47*H47+V47*J47),0)</f>
        <v>#DIV/0!</v>
      </c>
      <c r="S48" s="3797"/>
      <c r="T48" s="3797"/>
      <c r="U48" s="3797"/>
      <c r="V48" s="3797"/>
      <c r="W48" s="3797"/>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9" customFormat="1" ht="13.5" customHeight="1">
      <c r="A53" s="2724"/>
      <c r="B53" s="2724"/>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9"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0" t="s">
        <v>1881</v>
      </c>
      <c r="B55" s="631" t="s">
        <v>1882</v>
      </c>
      <c r="C55" s="1980" t="s">
        <v>1883</v>
      </c>
      <c r="D55" s="1981" t="s">
        <v>1884</v>
      </c>
      <c r="E55" s="632" t="s">
        <v>1885</v>
      </c>
      <c r="F55" s="887" t="s">
        <v>1886</v>
      </c>
      <c r="G55" s="3719" t="s">
        <v>1887</v>
      </c>
      <c r="H55" s="3798"/>
      <c r="I55" s="133"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8" customFormat="1">
      <c r="A56" s="634" t="s">
        <v>1890</v>
      </c>
      <c r="B56" s="635" t="e">
        <f>C48</f>
        <v>#DIV/0!</v>
      </c>
      <c r="C56" s="636">
        <v>1</v>
      </c>
      <c r="D56" s="941">
        <v>1</v>
      </c>
      <c r="E56" s="636">
        <f>'数据-汇总表'!E8+'数据-汇总表'!E9</f>
        <v>47667.279999999977</v>
      </c>
      <c r="F56" s="883" t="e">
        <f t="shared" ref="F56:F64" si="15">ROUND(B56*E56/10000,0)</f>
        <v>#DIV/0!</v>
      </c>
      <c r="G56" s="3779"/>
      <c r="H56" s="3706"/>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8" customFormat="1">
      <c r="A57" s="639" t="s">
        <v>1891</v>
      </c>
      <c r="B57" s="216" t="e">
        <f>ROUND($C$48*C57*D57,0)</f>
        <v>#DIV/0!</v>
      </c>
      <c r="C57" s="169">
        <f t="shared" ref="C57:C64" si="16">IF($C$55="北京市系数",I57,J57)</f>
        <v>0</v>
      </c>
      <c r="D57" s="942">
        <v>0.25</v>
      </c>
      <c r="E57" s="640"/>
      <c r="F57" s="883" t="e">
        <f t="shared" si="15"/>
        <v>#DIV/0!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38" customFormat="1">
      <c r="A58" s="639" t="s">
        <v>1893</v>
      </c>
      <c r="B58" s="216" t="e">
        <f t="shared" ref="B58:B64" si="17">ROUND($C$48*C58*D58,0)</f>
        <v>#DIV/0!</v>
      </c>
      <c r="C58" s="169">
        <f t="shared" si="16"/>
        <v>0</v>
      </c>
      <c r="D58" s="942">
        <v>0.25</v>
      </c>
      <c r="E58" s="640"/>
      <c r="F58" s="883" t="e">
        <f t="shared" si="15"/>
        <v>#DIV/0!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38" customFormat="1">
      <c r="A59" s="639" t="s">
        <v>1894</v>
      </c>
      <c r="B59" s="216" t="e">
        <f t="shared" si="17"/>
        <v>#DIV/0!</v>
      </c>
      <c r="C59" s="169">
        <f t="shared" si="16"/>
        <v>0</v>
      </c>
      <c r="D59" s="942">
        <v>0.25</v>
      </c>
      <c r="E59" s="640"/>
      <c r="F59" s="883" t="e">
        <f t="shared" si="15"/>
        <v>#DIV/0!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38" customFormat="1">
      <c r="A62" s="639" t="s">
        <v>1899</v>
      </c>
      <c r="B62" s="216" t="e">
        <f t="shared" si="17"/>
        <v>#DIV/0!</v>
      </c>
      <c r="C62" s="169">
        <f t="shared" si="16"/>
        <v>0</v>
      </c>
      <c r="D62" s="942">
        <v>0.25</v>
      </c>
      <c r="E62" s="215">
        <f>'数据-汇总表'!E13</f>
        <v>8191.59</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38" customFormat="1">
      <c r="A63" s="639" t="s">
        <v>1901</v>
      </c>
      <c r="B63" s="216" t="e">
        <f t="shared" si="17"/>
        <v>#DIV/0!</v>
      </c>
      <c r="C63" s="169">
        <f t="shared" si="16"/>
        <v>0</v>
      </c>
      <c r="D63" s="942">
        <v>0.25</v>
      </c>
      <c r="E63" s="215">
        <f>'数据-汇总表'!E14</f>
        <v>0</v>
      </c>
      <c r="F63" s="883" t="e">
        <f t="shared" si="15"/>
        <v>#DIV/0!</v>
      </c>
      <c r="G63" s="1984"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38" customFormat="1" ht="15"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38" customFormat="1" ht="13.5" thickBot="1">
      <c r="A65" s="641" t="s">
        <v>1903</v>
      </c>
      <c r="B65" s="642" t="s">
        <v>22</v>
      </c>
      <c r="C65" s="642" t="s">
        <v>23</v>
      </c>
      <c r="D65" s="642" t="s">
        <v>392</v>
      </c>
      <c r="E65" s="642">
        <f>IF(B46="楼面地价",SUM(E56:E64),'数据-汇总表'!D3)</f>
        <v>55858.869999999981</v>
      </c>
      <c r="F65" s="643"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2023-12-1</v>
      </c>
      <c r="D67" s="689">
        <f>EDATE(C67,-3)</f>
        <v>45170</v>
      </c>
      <c r="E67" s="689">
        <f>EDATE(D67,-3)</f>
        <v>45078</v>
      </c>
      <c r="F67" s="689">
        <f t="shared" ref="F67:O67" si="18">EDATE(E67,-3)</f>
        <v>44986</v>
      </c>
      <c r="G67" s="689">
        <f t="shared" si="18"/>
        <v>44896</v>
      </c>
      <c r="H67" s="689">
        <f t="shared" si="18"/>
        <v>44805</v>
      </c>
      <c r="I67" s="689">
        <f t="shared" si="18"/>
        <v>44713</v>
      </c>
      <c r="J67" s="689">
        <f t="shared" si="18"/>
        <v>44621</v>
      </c>
      <c r="K67" s="689">
        <f t="shared" si="18"/>
        <v>44531</v>
      </c>
      <c r="L67" s="689">
        <f t="shared" si="18"/>
        <v>44440</v>
      </c>
      <c r="M67" s="689">
        <f t="shared" si="18"/>
        <v>44348</v>
      </c>
      <c r="N67" s="689">
        <f t="shared" si="18"/>
        <v>44256</v>
      </c>
      <c r="O67" s="689">
        <f t="shared" si="18"/>
        <v>44166</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5" customFormat="1" ht="15">
      <c r="A69" s="1986" t="s">
        <v>1904</v>
      </c>
      <c r="B69" s="1106"/>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5"/>
      <c r="Q70" s="2658"/>
      <c r="R70" s="2658"/>
      <c r="S70" s="2658"/>
      <c r="T70" s="2658"/>
      <c r="U70" s="2658"/>
      <c r="V70" s="2658"/>
      <c r="W70" s="2658"/>
      <c r="X70" s="2658"/>
      <c r="Y70" s="2658"/>
      <c r="Z70" s="2658"/>
      <c r="AA70" s="2658"/>
      <c r="AB70" s="2658"/>
      <c r="AC70" s="2658"/>
    </row>
    <row r="71" spans="1:29" s="108" customFormat="1" ht="15.75" thickBot="1">
      <c r="A71" s="462" t="s">
        <v>1716</v>
      </c>
      <c r="B71" s="463"/>
      <c r="C71" s="464"/>
      <c r="D71" s="465"/>
      <c r="E71" s="465"/>
      <c r="F71" s="465"/>
      <c r="G71" s="465"/>
      <c r="H71" s="465"/>
      <c r="I71" s="465"/>
      <c r="J71" s="465"/>
      <c r="K71" s="465"/>
      <c r="L71" s="465"/>
      <c r="M71" s="466"/>
      <c r="N71" s="465"/>
      <c r="O71" s="940"/>
      <c r="P71" s="2735"/>
      <c r="Q71" s="2735"/>
      <c r="R71" s="2658"/>
      <c r="S71" s="2658"/>
      <c r="T71" s="2658"/>
      <c r="U71" s="2658"/>
      <c r="V71" s="2658"/>
      <c r="W71" s="2658"/>
      <c r="X71" s="2658"/>
      <c r="Y71" s="2658"/>
      <c r="Z71" s="2658"/>
      <c r="AA71" s="2658"/>
      <c r="AB71" s="2658"/>
      <c r="AC71" s="2658"/>
    </row>
    <row r="72" spans="1:29" s="108" customFormat="1" ht="15">
      <c r="A72" s="468" t="s">
        <v>1681</v>
      </c>
      <c r="B72" s="457"/>
      <c r="C72" s="469" t="s">
        <v>1776</v>
      </c>
      <c r="D72" s="470"/>
      <c r="E72" s="470"/>
      <c r="F72" s="470"/>
      <c r="G72" s="470"/>
      <c r="H72" s="470"/>
      <c r="I72" s="470"/>
      <c r="J72" s="470"/>
      <c r="K72" s="470"/>
      <c r="L72" s="471"/>
      <c r="M72" s="472"/>
      <c r="N72" s="2748"/>
      <c r="O72" s="2748"/>
      <c r="P72" s="2773"/>
      <c r="Q72" s="2735"/>
      <c r="R72" s="2658"/>
      <c r="S72" s="2658"/>
      <c r="T72" s="2658"/>
      <c r="U72" s="2658"/>
      <c r="V72" s="2658"/>
      <c r="W72" s="2658"/>
      <c r="X72" s="2658"/>
      <c r="Y72" s="2658"/>
      <c r="Z72" s="2658"/>
      <c r="AA72" s="2658"/>
      <c r="AB72" s="2658"/>
      <c r="AC72" s="2658"/>
    </row>
    <row r="73" spans="1:29" s="108" customFormat="1" ht="15.75" thickBot="1">
      <c r="A73" s="468"/>
      <c r="B73" s="457"/>
      <c r="C73" s="585">
        <v>100</v>
      </c>
      <c r="D73" s="459"/>
      <c r="E73" s="459"/>
      <c r="F73" s="459"/>
      <c r="G73" s="459"/>
      <c r="H73" s="459"/>
      <c r="I73" s="459"/>
      <c r="J73" s="459"/>
      <c r="K73" s="459"/>
      <c r="L73" s="459"/>
      <c r="M73" s="461"/>
      <c r="N73" s="2748"/>
      <c r="O73" s="2748"/>
      <c r="P73" s="2735"/>
      <c r="Q73" s="2735"/>
      <c r="R73" s="2658"/>
      <c r="S73" s="2658"/>
      <c r="T73" s="2658"/>
      <c r="U73" s="2658"/>
      <c r="V73" s="2658"/>
      <c r="W73" s="2658"/>
      <c r="X73" s="2658"/>
      <c r="Y73" s="2658"/>
      <c r="Z73" s="2658"/>
      <c r="AA73" s="2658"/>
      <c r="AB73" s="2658"/>
      <c r="AC73" s="2658"/>
    </row>
    <row r="74" spans="1:29">
      <c r="A74" s="474" t="s">
        <v>1719</v>
      </c>
      <c r="B74" s="475" t="s">
        <v>1685</v>
      </c>
      <c r="C74" s="477"/>
      <c r="D74" s="477"/>
      <c r="E74" s="477"/>
      <c r="F74" s="477"/>
      <c r="G74" s="477"/>
      <c r="H74" s="477"/>
      <c r="I74" s="477"/>
      <c r="J74" s="477"/>
      <c r="K74" s="478"/>
      <c r="L74" s="479"/>
      <c r="M74" s="480"/>
      <c r="N74" s="2749"/>
      <c r="O74" s="2749"/>
      <c r="P74" s="2774"/>
      <c r="Q74" s="2735"/>
      <c r="R74" s="2721"/>
      <c r="S74" s="2721"/>
      <c r="T74" s="2721"/>
      <c r="U74" s="2721"/>
      <c r="V74" s="2721"/>
      <c r="W74" s="2721"/>
      <c r="X74" s="2721"/>
      <c r="Y74" s="2721"/>
      <c r="Z74" s="2721"/>
      <c r="AA74" s="2721"/>
      <c r="AB74" s="2721"/>
      <c r="AC74" s="2721"/>
    </row>
    <row r="75" spans="1:29" ht="15.75" thickBot="1">
      <c r="A75" s="481"/>
      <c r="B75" s="482"/>
      <c r="C75" s="483"/>
      <c r="D75" s="483"/>
      <c r="E75" s="483"/>
      <c r="F75" s="483"/>
      <c r="G75" s="483"/>
      <c r="H75" s="483"/>
      <c r="I75" s="483"/>
      <c r="J75" s="483"/>
      <c r="K75" s="483"/>
      <c r="L75" s="483"/>
      <c r="M75" s="484"/>
      <c r="N75" s="2750"/>
      <c r="O75" s="2750"/>
      <c r="P75" s="2774"/>
      <c r="Q75" s="2735"/>
      <c r="R75" s="2721"/>
      <c r="S75" s="2721"/>
      <c r="T75" s="2721"/>
      <c r="U75" s="2721"/>
      <c r="V75" s="2721"/>
      <c r="W75" s="2721"/>
      <c r="X75" s="2721"/>
      <c r="Y75" s="2721"/>
      <c r="Z75" s="2721"/>
      <c r="AA75" s="2721"/>
      <c r="AB75" s="2721"/>
      <c r="AC75" s="2721"/>
    </row>
    <row r="76" spans="1:29" ht="27.75" thickTop="1">
      <c r="A76" s="481"/>
      <c r="B76" s="485" t="s">
        <v>1688</v>
      </c>
      <c r="C76" s="486"/>
      <c r="D76" s="486"/>
      <c r="E76" s="486"/>
      <c r="F76" s="486"/>
      <c r="G76" s="486"/>
      <c r="H76" s="486"/>
      <c r="I76" s="486"/>
      <c r="J76" s="486"/>
      <c r="K76" s="487"/>
      <c r="L76" s="488"/>
      <c r="M76" s="489"/>
      <c r="N76" s="2749"/>
      <c r="O76" s="2749"/>
      <c r="P76" s="2774"/>
      <c r="Q76" s="2735"/>
      <c r="R76" s="2721"/>
      <c r="S76" s="2721"/>
      <c r="T76" s="2721"/>
      <c r="U76" s="2721"/>
      <c r="V76" s="2721"/>
      <c r="W76" s="2721"/>
      <c r="X76" s="2721"/>
      <c r="Y76" s="2721"/>
      <c r="Z76" s="2721"/>
      <c r="AA76" s="2721"/>
      <c r="AB76" s="2721"/>
      <c r="AC76" s="2721"/>
    </row>
    <row r="77" spans="1:29" ht="15.75" thickBot="1">
      <c r="A77" s="481"/>
      <c r="B77" s="490"/>
      <c r="C77" s="491"/>
      <c r="D77" s="491"/>
      <c r="E77" s="491"/>
      <c r="F77" s="491"/>
      <c r="G77" s="491"/>
      <c r="H77" s="491"/>
      <c r="I77" s="491"/>
      <c r="J77" s="491"/>
      <c r="K77" s="491"/>
      <c r="L77" s="491"/>
      <c r="M77" s="492"/>
      <c r="N77" s="2750"/>
      <c r="O77" s="2750"/>
      <c r="P77" s="2774"/>
      <c r="Q77" s="2735"/>
      <c r="R77" s="2721"/>
      <c r="S77" s="2721"/>
      <c r="T77" s="2721"/>
      <c r="U77" s="2721"/>
      <c r="V77" s="2721"/>
      <c r="W77" s="2721"/>
      <c r="X77" s="2721"/>
      <c r="Y77" s="2721"/>
      <c r="Z77" s="2721"/>
      <c r="AA77" s="2721"/>
      <c r="AB77" s="2721"/>
      <c r="AC77" s="2721"/>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1"/>
      <c r="B79" s="495"/>
      <c r="C79" s="496"/>
      <c r="D79" s="496"/>
      <c r="E79" s="496"/>
      <c r="F79" s="496"/>
      <c r="G79" s="496"/>
      <c r="H79" s="496"/>
      <c r="I79" s="496"/>
      <c r="J79" s="496"/>
      <c r="K79" s="497"/>
      <c r="L79" s="498"/>
      <c r="M79" s="499"/>
      <c r="N79" s="2749"/>
      <c r="O79" s="2749"/>
      <c r="P79" s="2774"/>
      <c r="Q79" s="2735"/>
      <c r="R79" s="2721"/>
      <c r="S79" s="2721"/>
      <c r="T79" s="2721"/>
      <c r="U79" s="2721"/>
      <c r="V79" s="2721"/>
      <c r="W79" s="2721"/>
      <c r="X79" s="2721"/>
      <c r="Y79" s="2721"/>
      <c r="Z79" s="2721"/>
      <c r="AA79" s="2721"/>
      <c r="AB79" s="2721"/>
      <c r="AC79" s="2721"/>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0"/>
      <c r="O80" s="2750"/>
      <c r="P80" s="2774"/>
      <c r="Q80" s="2735"/>
      <c r="R80" s="2721"/>
      <c r="S80" s="2721"/>
      <c r="T80" s="2721"/>
      <c r="U80" s="2721"/>
      <c r="V80" s="2721"/>
      <c r="W80" s="2721"/>
      <c r="X80" s="2721"/>
      <c r="Y80" s="2721"/>
      <c r="Z80" s="2721"/>
      <c r="AA80" s="2721"/>
      <c r="AB80" s="2721"/>
      <c r="AC80" s="2721"/>
    </row>
    <row r="81" spans="1:29" s="420" customFormat="1" ht="15.75" thickTop="1">
      <c r="A81" s="500"/>
      <c r="B81" s="485" t="str">
        <f>B12</f>
        <v>配建</v>
      </c>
      <c r="C81" s="501"/>
      <c r="D81" s="501"/>
      <c r="E81" s="501"/>
      <c r="F81" s="501"/>
      <c r="G81" s="501"/>
      <c r="H81" s="502"/>
      <c r="I81" s="502"/>
      <c r="J81" s="502"/>
      <c r="K81" s="502"/>
      <c r="L81" s="503"/>
      <c r="M81" s="504"/>
      <c r="N81" s="2751"/>
      <c r="O81" s="2751"/>
      <c r="P81" s="2775"/>
      <c r="Q81" s="2742"/>
      <c r="R81" s="2743"/>
      <c r="S81" s="2743"/>
      <c r="T81" s="2743"/>
      <c r="U81" s="2743"/>
      <c r="V81" s="2743"/>
      <c r="W81" s="2743"/>
      <c r="X81" s="2743"/>
      <c r="Y81" s="2743"/>
      <c r="Z81" s="2743"/>
      <c r="AA81" s="2743"/>
      <c r="AB81" s="2743"/>
      <c r="AC81" s="2743"/>
    </row>
    <row r="82" spans="1:29" s="420" customFormat="1" ht="15.75" thickBot="1">
      <c r="A82" s="500"/>
      <c r="B82" s="490"/>
      <c r="C82" s="507"/>
      <c r="D82" s="483"/>
      <c r="E82" s="483"/>
      <c r="F82" s="483"/>
      <c r="G82" s="483"/>
      <c r="H82" s="483"/>
      <c r="I82" s="483"/>
      <c r="J82" s="483"/>
      <c r="K82" s="483"/>
      <c r="L82" s="483"/>
      <c r="M82" s="484"/>
      <c r="N82" s="2750"/>
      <c r="O82" s="2750"/>
      <c r="P82" s="2775"/>
      <c r="Q82" s="2742"/>
      <c r="R82" s="2743"/>
      <c r="S82" s="2743"/>
      <c r="T82" s="2743"/>
      <c r="U82" s="2743"/>
      <c r="V82" s="2743"/>
      <c r="W82" s="2743"/>
      <c r="X82" s="2743"/>
      <c r="Y82" s="2743"/>
      <c r="Z82" s="2743"/>
      <c r="AA82" s="2743"/>
      <c r="AB82" s="2743"/>
      <c r="AC82" s="2743"/>
    </row>
    <row r="83" spans="1:29" s="420" customFormat="1" ht="15.75" thickTop="1">
      <c r="A83" s="500"/>
      <c r="B83" s="485">
        <f>B13</f>
        <v>111</v>
      </c>
      <c r="C83" s="501"/>
      <c r="D83" s="501"/>
      <c r="E83" s="501"/>
      <c r="F83" s="501"/>
      <c r="G83" s="501"/>
      <c r="H83" s="502"/>
      <c r="I83" s="502"/>
      <c r="J83" s="502"/>
      <c r="K83" s="502"/>
      <c r="L83" s="503"/>
      <c r="M83" s="504"/>
      <c r="N83" s="2751"/>
      <c r="O83" s="2751"/>
      <c r="P83" s="2719"/>
      <c r="Q83" s="2745"/>
      <c r="R83" s="2743"/>
      <c r="S83" s="2743"/>
      <c r="T83" s="2743"/>
      <c r="U83" s="2743"/>
      <c r="V83" s="2743"/>
      <c r="W83" s="2743"/>
      <c r="X83" s="2743"/>
      <c r="Y83" s="2743"/>
      <c r="Z83" s="2743"/>
      <c r="AA83" s="2743"/>
      <c r="AB83" s="2743"/>
      <c r="AC83" s="2743"/>
    </row>
    <row r="84" spans="1:29" s="420" customFormat="1" ht="15.75" thickBot="1">
      <c r="A84" s="500"/>
      <c r="B84" s="490"/>
      <c r="C84" s="507"/>
      <c r="D84" s="507"/>
      <c r="E84" s="507"/>
      <c r="F84" s="507"/>
      <c r="G84" s="507"/>
      <c r="H84" s="509"/>
      <c r="I84" s="509"/>
      <c r="J84" s="509"/>
      <c r="K84" s="509"/>
      <c r="L84" s="509"/>
      <c r="M84" s="510"/>
      <c r="N84" s="2751"/>
      <c r="O84" s="2751"/>
      <c r="P84" s="2775"/>
      <c r="Q84" s="2742"/>
      <c r="R84" s="2743"/>
      <c r="S84" s="2743"/>
      <c r="T84" s="2743"/>
      <c r="U84" s="2743"/>
      <c r="V84" s="2743"/>
      <c r="W84" s="2743"/>
      <c r="X84" s="2743"/>
      <c r="Y84" s="2743"/>
      <c r="Z84" s="2743"/>
      <c r="AA84" s="2743"/>
      <c r="AB84" s="2743"/>
      <c r="AC84" s="2743"/>
    </row>
    <row r="85" spans="1:29" s="420" customFormat="1" ht="15.75" thickTop="1">
      <c r="A85" s="500"/>
      <c r="B85" s="493">
        <f>B14</f>
        <v>111</v>
      </c>
      <c r="C85" s="470"/>
      <c r="D85" s="470"/>
      <c r="E85" s="470"/>
      <c r="F85" s="470"/>
      <c r="G85" s="470"/>
      <c r="H85" s="511"/>
      <c r="I85" s="511"/>
      <c r="J85" s="511"/>
      <c r="K85" s="511"/>
      <c r="L85" s="512"/>
      <c r="M85" s="513"/>
      <c r="N85" s="2751"/>
      <c r="O85" s="2751"/>
      <c r="P85" s="2780"/>
      <c r="Q85" s="2742"/>
      <c r="R85" s="2743"/>
      <c r="S85" s="2743"/>
      <c r="T85" s="2743"/>
      <c r="U85" s="2743"/>
      <c r="V85" s="2743"/>
      <c r="W85" s="2743"/>
      <c r="X85" s="2743"/>
      <c r="Y85" s="2743"/>
      <c r="Z85" s="2743"/>
      <c r="AA85" s="2743"/>
      <c r="AB85" s="2743"/>
      <c r="AC85" s="2743"/>
    </row>
    <row r="86" spans="1:29" s="420" customFormat="1" ht="15.75" thickBot="1">
      <c r="A86" s="515"/>
      <c r="B86" s="516"/>
      <c r="C86" s="517"/>
      <c r="D86" s="517"/>
      <c r="E86" s="517"/>
      <c r="F86" s="517"/>
      <c r="G86" s="517"/>
      <c r="H86" s="518"/>
      <c r="I86" s="518"/>
      <c r="J86" s="518"/>
      <c r="K86" s="518"/>
      <c r="L86" s="518"/>
      <c r="M86" s="519"/>
      <c r="N86" s="2751"/>
      <c r="O86" s="2751"/>
      <c r="P86" s="2775"/>
      <c r="Q86" s="2742"/>
      <c r="R86" s="2743"/>
      <c r="S86" s="2743"/>
      <c r="T86" s="2743"/>
      <c r="U86" s="2743"/>
      <c r="V86" s="2743"/>
      <c r="W86" s="2743"/>
      <c r="X86" s="2743"/>
      <c r="Y86" s="2743"/>
      <c r="Z86" s="2743"/>
      <c r="AA86" s="2743"/>
      <c r="AB86" s="2743"/>
      <c r="AC86" s="2743"/>
    </row>
    <row r="87" spans="1:29">
      <c r="A87" s="474" t="s">
        <v>1690</v>
      </c>
      <c r="B87" s="475" t="s">
        <v>1720</v>
      </c>
      <c r="C87" s="520" t="s">
        <v>1721</v>
      </c>
      <c r="D87" s="520" t="s">
        <v>1722</v>
      </c>
      <c r="E87" s="520" t="s">
        <v>1723</v>
      </c>
      <c r="F87" s="520" t="s">
        <v>1724</v>
      </c>
      <c r="G87" s="520" t="s">
        <v>1725</v>
      </c>
      <c r="H87" s="476"/>
      <c r="I87" s="476"/>
      <c r="J87" s="476"/>
      <c r="K87" s="521"/>
      <c r="L87" s="522"/>
      <c r="M87" s="523"/>
      <c r="N87" s="2749"/>
      <c r="O87" s="2749"/>
      <c r="P87" s="2776"/>
      <c r="Q87" s="2735"/>
      <c r="R87" s="2721"/>
      <c r="S87" s="2721"/>
      <c r="T87" s="2721"/>
      <c r="U87" s="2721"/>
      <c r="V87" s="2721"/>
      <c r="W87" s="2721"/>
      <c r="X87" s="2721"/>
      <c r="Y87" s="2721"/>
      <c r="Z87" s="2721"/>
      <c r="AA87" s="2721"/>
      <c r="AB87" s="2721"/>
      <c r="AC87" s="2721"/>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0"/>
      <c r="O88" s="2750"/>
      <c r="P88" s="2774"/>
      <c r="Q88" s="2735"/>
      <c r="R88" s="2721"/>
      <c r="S88" s="2721"/>
      <c r="T88" s="2721"/>
      <c r="U88" s="2721"/>
      <c r="V88" s="2721"/>
      <c r="W88" s="2721"/>
      <c r="X88" s="2721"/>
      <c r="Y88" s="2721"/>
      <c r="Z88" s="2721"/>
      <c r="AA88" s="2721"/>
      <c r="AB88" s="2721"/>
      <c r="AC88" s="2721"/>
    </row>
    <row r="89" spans="1:29" ht="15.75" thickTop="1">
      <c r="A89" s="481"/>
      <c r="B89" s="485" t="s">
        <v>1906</v>
      </c>
      <c r="C89" s="525" t="s">
        <v>1721</v>
      </c>
      <c r="D89" s="525" t="s">
        <v>1722</v>
      </c>
      <c r="E89" s="525" t="s">
        <v>1723</v>
      </c>
      <c r="F89" s="525" t="s">
        <v>1724</v>
      </c>
      <c r="G89" s="525" t="s">
        <v>1725</v>
      </c>
      <c r="H89" s="486"/>
      <c r="I89" s="486"/>
      <c r="J89" s="486"/>
      <c r="K89" s="487"/>
      <c r="L89" s="488"/>
      <c r="M89" s="489"/>
      <c r="N89" s="2749"/>
      <c r="O89" s="2749"/>
      <c r="P89" s="2774"/>
      <c r="Q89" s="2735"/>
      <c r="R89" s="2721"/>
      <c r="S89" s="2721"/>
      <c r="T89" s="2721"/>
      <c r="U89" s="2721"/>
      <c r="V89" s="2721"/>
      <c r="W89" s="2721"/>
      <c r="X89" s="2721"/>
      <c r="Y89" s="2721"/>
      <c r="Z89" s="2721"/>
      <c r="AA89" s="2721"/>
      <c r="AB89" s="2721"/>
      <c r="AC89" s="2721"/>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0"/>
      <c r="O90" s="2750"/>
      <c r="P90" s="2774"/>
      <c r="Q90" s="2735"/>
      <c r="R90" s="2721"/>
      <c r="S90" s="2721"/>
      <c r="T90" s="2721"/>
      <c r="U90" s="2721"/>
      <c r="V90" s="2721"/>
      <c r="W90" s="2721"/>
      <c r="X90" s="2721"/>
      <c r="Y90" s="2721"/>
      <c r="Z90" s="2721"/>
      <c r="AA90" s="2721"/>
      <c r="AB90" s="2721"/>
      <c r="AC90" s="2721"/>
    </row>
    <row r="91" spans="1:29" ht="15.75" thickTop="1">
      <c r="A91" s="481"/>
      <c r="B91" s="485" t="s">
        <v>1821</v>
      </c>
      <c r="C91" s="525" t="s">
        <v>1721</v>
      </c>
      <c r="D91" s="525" t="s">
        <v>1722</v>
      </c>
      <c r="E91" s="525" t="s">
        <v>1723</v>
      </c>
      <c r="F91" s="525" t="s">
        <v>1724</v>
      </c>
      <c r="G91" s="525" t="s">
        <v>1725</v>
      </c>
      <c r="H91" s="486"/>
      <c r="I91" s="486"/>
      <c r="J91" s="486"/>
      <c r="K91" s="487"/>
      <c r="L91" s="488"/>
      <c r="M91" s="489"/>
      <c r="N91" s="2749"/>
      <c r="O91" s="2749"/>
      <c r="P91" s="2774"/>
      <c r="Q91" s="2735"/>
      <c r="R91" s="2721"/>
      <c r="S91" s="2721"/>
      <c r="T91" s="2721"/>
      <c r="U91" s="2721"/>
      <c r="V91" s="2721"/>
      <c r="W91" s="2721"/>
      <c r="X91" s="2721"/>
      <c r="Y91" s="2721"/>
      <c r="Z91" s="2721"/>
      <c r="AA91" s="2721"/>
      <c r="AB91" s="2721"/>
      <c r="AC91" s="2721"/>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0"/>
      <c r="O92" s="2750"/>
      <c r="P92" s="2774"/>
      <c r="Q92" s="2735"/>
      <c r="R92" s="2721"/>
      <c r="S92" s="2721"/>
      <c r="T92" s="2721"/>
      <c r="U92" s="2721"/>
      <c r="V92" s="2721"/>
      <c r="W92" s="2721"/>
      <c r="X92" s="2721"/>
      <c r="Y92" s="2721"/>
      <c r="Z92" s="2721"/>
      <c r="AA92" s="2721"/>
      <c r="AB92" s="2721"/>
      <c r="AC92" s="2721"/>
    </row>
    <row r="93" spans="1:29" ht="15.75" thickTop="1">
      <c r="A93" s="481"/>
      <c r="B93" s="485" t="s">
        <v>1726</v>
      </c>
      <c r="C93" s="525" t="s">
        <v>1721</v>
      </c>
      <c r="D93" s="525" t="s">
        <v>1722</v>
      </c>
      <c r="E93" s="525" t="s">
        <v>1723</v>
      </c>
      <c r="F93" s="525" t="s">
        <v>1724</v>
      </c>
      <c r="G93" s="525" t="s">
        <v>1725</v>
      </c>
      <c r="H93" s="486"/>
      <c r="I93" s="486"/>
      <c r="J93" s="486"/>
      <c r="K93" s="487"/>
      <c r="L93" s="488"/>
      <c r="M93" s="489"/>
      <c r="N93" s="2749"/>
      <c r="O93" s="2749"/>
      <c r="P93" s="2774"/>
      <c r="Q93" s="2735"/>
      <c r="R93" s="2721"/>
      <c r="S93" s="2721"/>
      <c r="T93" s="2721"/>
      <c r="U93" s="2721"/>
      <c r="V93" s="2721"/>
      <c r="W93" s="2721"/>
      <c r="X93" s="2721"/>
      <c r="Y93" s="2721"/>
      <c r="Z93" s="2721"/>
      <c r="AA93" s="2721"/>
      <c r="AB93" s="2721"/>
      <c r="AC93" s="2721"/>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0"/>
      <c r="O94" s="2750"/>
      <c r="P94" s="2774"/>
      <c r="Q94" s="2735"/>
      <c r="R94" s="2721"/>
      <c r="S94" s="2721"/>
      <c r="T94" s="2721"/>
      <c r="U94" s="2721"/>
      <c r="V94" s="2721"/>
      <c r="W94" s="2721"/>
      <c r="X94" s="2721"/>
      <c r="Y94" s="2721"/>
      <c r="Z94" s="2721"/>
      <c r="AA94" s="2721"/>
      <c r="AB94" s="2721"/>
      <c r="AC94" s="2721"/>
    </row>
    <row r="95" spans="1:29" s="108" customFormat="1" ht="15.75" thickTop="1">
      <c r="A95" s="526"/>
      <c r="B95" s="485" t="s">
        <v>1907</v>
      </c>
      <c r="C95" s="525" t="s">
        <v>1721</v>
      </c>
      <c r="D95" s="525" t="s">
        <v>1722</v>
      </c>
      <c r="E95" s="525" t="s">
        <v>1723</v>
      </c>
      <c r="F95" s="525" t="s">
        <v>1724</v>
      </c>
      <c r="G95" s="525" t="s">
        <v>1725</v>
      </c>
      <c r="H95" s="525"/>
      <c r="I95" s="525"/>
      <c r="J95" s="525"/>
      <c r="K95" s="525"/>
      <c r="L95" s="644"/>
      <c r="M95" s="568"/>
      <c r="N95" s="2748"/>
      <c r="O95" s="2748"/>
      <c r="P95" s="2774"/>
      <c r="Q95" s="2735"/>
      <c r="R95" s="2658"/>
      <c r="S95" s="2658"/>
      <c r="T95" s="2658"/>
      <c r="U95" s="2658"/>
      <c r="V95" s="2658"/>
      <c r="W95" s="2658"/>
      <c r="X95" s="2658"/>
      <c r="Y95" s="2658"/>
      <c r="Z95" s="2658"/>
      <c r="AA95" s="2658"/>
      <c r="AB95" s="2658"/>
      <c r="AC95" s="2658"/>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50"/>
      <c r="O96" s="2750"/>
      <c r="P96" s="2774"/>
      <c r="Q96" s="2735"/>
      <c r="R96" s="2658"/>
      <c r="S96" s="2658"/>
      <c r="T96" s="2658"/>
      <c r="U96" s="2658"/>
      <c r="V96" s="2658"/>
      <c r="W96" s="2658"/>
      <c r="X96" s="2658"/>
      <c r="Y96" s="2658"/>
      <c r="Z96" s="2658"/>
      <c r="AA96" s="2658"/>
      <c r="AB96" s="2658"/>
      <c r="AC96" s="2658"/>
    </row>
    <row r="97" spans="1:29" s="108" customFormat="1" ht="27.75" thickTop="1">
      <c r="A97" s="526"/>
      <c r="B97" s="485" t="s">
        <v>1908</v>
      </c>
      <c r="C97" s="520" t="s">
        <v>1721</v>
      </c>
      <c r="D97" s="520" t="s">
        <v>1722</v>
      </c>
      <c r="E97" s="520" t="s">
        <v>1723</v>
      </c>
      <c r="F97" s="520" t="s">
        <v>1724</v>
      </c>
      <c r="G97" s="520" t="s">
        <v>1725</v>
      </c>
      <c r="H97" s="525"/>
      <c r="I97" s="525"/>
      <c r="J97" s="525"/>
      <c r="K97" s="525"/>
      <c r="L97" s="525"/>
      <c r="M97" s="568"/>
      <c r="N97" s="2748"/>
      <c r="O97" s="2748"/>
      <c r="P97" s="2774"/>
      <c r="Q97" s="2735"/>
      <c r="R97" s="2658"/>
      <c r="S97" s="2658"/>
      <c r="T97" s="2658"/>
      <c r="U97" s="2658"/>
      <c r="V97" s="2658"/>
      <c r="W97" s="2658"/>
      <c r="X97" s="2658"/>
      <c r="Y97" s="2658"/>
      <c r="Z97" s="2658"/>
      <c r="AA97" s="2658"/>
      <c r="AB97" s="2658"/>
      <c r="AC97" s="2658"/>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50"/>
      <c r="O98" s="2750"/>
      <c r="P98" s="2774"/>
      <c r="Q98" s="2735"/>
      <c r="R98" s="2658"/>
      <c r="S98" s="2658"/>
      <c r="T98" s="2658"/>
      <c r="U98" s="2658"/>
      <c r="V98" s="2658"/>
      <c r="W98" s="2658"/>
      <c r="X98" s="2658"/>
      <c r="Y98" s="2658"/>
      <c r="Z98" s="2658"/>
      <c r="AA98" s="2658"/>
      <c r="AB98" s="2658"/>
      <c r="AC98" s="2658"/>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1"/>
      <c r="O99" s="2751"/>
      <c r="P99" s="2775"/>
      <c r="Q99" s="2742"/>
      <c r="R99" s="2743"/>
      <c r="S99" s="2743"/>
      <c r="T99" s="2743"/>
      <c r="U99" s="2743"/>
      <c r="V99" s="2743"/>
      <c r="W99" s="2743"/>
      <c r="X99" s="2743"/>
      <c r="Y99" s="2743"/>
      <c r="Z99" s="2743"/>
      <c r="AA99" s="2743"/>
      <c r="AB99" s="2743"/>
      <c r="AC99" s="2743"/>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1"/>
      <c r="O100" s="2751"/>
      <c r="P100" s="2775"/>
      <c r="Q100" s="2742"/>
      <c r="R100" s="2743"/>
      <c r="S100" s="2743"/>
      <c r="T100" s="2743"/>
      <c r="U100" s="2743"/>
      <c r="V100" s="2743"/>
      <c r="W100" s="2743"/>
      <c r="X100" s="2743"/>
      <c r="Y100" s="2743"/>
      <c r="Z100" s="2743"/>
      <c r="AA100" s="2743"/>
      <c r="AB100" s="2743"/>
      <c r="AC100" s="2743"/>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51"/>
      <c r="O101" s="2751"/>
      <c r="P101" s="2775"/>
      <c r="Q101" s="2742"/>
      <c r="R101" s="2743"/>
      <c r="S101" s="2743"/>
      <c r="T101" s="2743"/>
      <c r="U101" s="2743"/>
      <c r="V101" s="2743"/>
      <c r="W101" s="2743"/>
      <c r="X101" s="2743"/>
      <c r="Y101" s="2743"/>
      <c r="Z101" s="2743"/>
      <c r="AA101" s="2743"/>
      <c r="AB101" s="2743"/>
      <c r="AC101" s="2743"/>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9"/>
      <c r="O103" s="2749"/>
      <c r="P103" s="2774"/>
      <c r="Q103" s="2735"/>
      <c r="R103" s="2721"/>
      <c r="S103" s="2721"/>
      <c r="T103" s="2721"/>
      <c r="U103" s="2721"/>
      <c r="V103" s="2721"/>
      <c r="W103" s="2721"/>
      <c r="X103" s="2721"/>
      <c r="Y103" s="2721"/>
      <c r="Z103" s="2721"/>
      <c r="AA103" s="2721"/>
      <c r="AB103" s="2721"/>
      <c r="AC103" s="2721"/>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1"/>
      <c r="B105" s="485" t="s">
        <v>1815</v>
      </c>
      <c r="C105" s="501"/>
      <c r="D105" s="501"/>
      <c r="E105" s="501"/>
      <c r="F105" s="501"/>
      <c r="G105" s="501"/>
      <c r="H105" s="530"/>
      <c r="I105" s="530"/>
      <c r="J105" s="530"/>
      <c r="K105" s="531"/>
      <c r="L105" s="532"/>
      <c r="M105" s="533"/>
      <c r="N105" s="2749"/>
      <c r="O105" s="2749"/>
      <c r="P105" s="2774"/>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1"/>
      <c r="B107" s="485" t="s">
        <v>1873</v>
      </c>
      <c r="C107" s="530"/>
      <c r="D107" s="530"/>
      <c r="E107" s="530"/>
      <c r="F107" s="530"/>
      <c r="G107" s="530"/>
      <c r="H107" s="530"/>
      <c r="I107" s="530"/>
      <c r="J107" s="530"/>
      <c r="K107" s="531"/>
      <c r="L107" s="532"/>
      <c r="M107" s="533"/>
      <c r="N107" s="2749"/>
      <c r="O107" s="2749"/>
      <c r="P107" s="2774"/>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1"/>
      <c r="B109" s="493">
        <f>B35</f>
        <v>111</v>
      </c>
      <c r="C109" s="501"/>
      <c r="D109" s="501"/>
      <c r="E109" s="501"/>
      <c r="F109" s="501"/>
      <c r="G109" s="534"/>
      <c r="H109" s="534"/>
      <c r="I109" s="534"/>
      <c r="J109" s="534"/>
      <c r="K109" s="535"/>
      <c r="L109" s="536"/>
      <c r="M109" s="537"/>
      <c r="N109" s="2749"/>
      <c r="O109" s="2749"/>
      <c r="P109" s="2774"/>
      <c r="Q109" s="2735"/>
      <c r="R109" s="2721"/>
      <c r="S109" s="2721"/>
      <c r="T109" s="2721"/>
      <c r="U109" s="2721"/>
      <c r="V109" s="2721"/>
      <c r="W109" s="2721"/>
      <c r="X109" s="2721"/>
      <c r="Y109" s="2721"/>
      <c r="Z109" s="2721"/>
      <c r="AA109" s="2721"/>
      <c r="AB109" s="2721"/>
      <c r="AC109" s="2721"/>
    </row>
    <row r="110" spans="1:29" ht="15.75" thickBot="1">
      <c r="A110" s="481"/>
      <c r="B110" s="516"/>
      <c r="C110" s="507"/>
      <c r="D110" s="507"/>
      <c r="E110" s="507"/>
      <c r="F110" s="507"/>
      <c r="G110" s="538"/>
      <c r="H110" s="538"/>
      <c r="I110" s="538"/>
      <c r="J110" s="538"/>
      <c r="K110" s="538"/>
      <c r="L110" s="538"/>
      <c r="M110" s="539"/>
      <c r="N110" s="2750"/>
      <c r="O110" s="2750"/>
      <c r="P110" s="2774"/>
      <c r="Q110" s="2735"/>
      <c r="R110" s="2721"/>
      <c r="S110" s="2721"/>
      <c r="T110" s="2721"/>
      <c r="U110" s="2721"/>
      <c r="V110" s="2721"/>
      <c r="W110" s="2721"/>
      <c r="X110" s="2721"/>
      <c r="Y110" s="2721"/>
      <c r="Z110" s="2721"/>
      <c r="AA110" s="2721"/>
      <c r="AB110" s="2721"/>
      <c r="AC110" s="2721"/>
    </row>
    <row r="111" spans="1:29" ht="15" thickTop="1">
      <c r="A111" s="621"/>
      <c r="B111" s="485">
        <f>B36</f>
        <v>111</v>
      </c>
      <c r="C111" s="470"/>
      <c r="D111" s="470"/>
      <c r="E111" s="470"/>
      <c r="F111" s="470"/>
      <c r="G111" s="530"/>
      <c r="H111" s="530"/>
      <c r="I111" s="530"/>
      <c r="J111" s="530"/>
      <c r="K111" s="531"/>
      <c r="L111" s="532"/>
      <c r="M111" s="533"/>
      <c r="N111" s="2749"/>
      <c r="O111" s="2749"/>
      <c r="P111" s="2774"/>
      <c r="Q111" s="2735"/>
      <c r="R111" s="2721"/>
      <c r="S111" s="2721"/>
      <c r="T111" s="2721"/>
      <c r="U111" s="2721"/>
      <c r="V111" s="2721"/>
      <c r="W111" s="2721"/>
      <c r="X111" s="2721"/>
      <c r="Y111" s="2721"/>
      <c r="Z111" s="2721"/>
      <c r="AA111" s="2721"/>
      <c r="AB111" s="2721"/>
      <c r="AC111" s="2721"/>
    </row>
    <row r="112" spans="1:29" ht="15.75" thickBot="1">
      <c r="A112" s="481"/>
      <c r="B112" s="490"/>
      <c r="C112" s="517"/>
      <c r="D112" s="517"/>
      <c r="E112" s="517"/>
      <c r="F112" s="517"/>
      <c r="G112" s="483"/>
      <c r="H112" s="483"/>
      <c r="I112" s="483"/>
      <c r="J112" s="483"/>
      <c r="K112" s="483"/>
      <c r="L112" s="483"/>
      <c r="M112" s="484"/>
      <c r="N112" s="2750"/>
      <c r="O112" s="2750"/>
      <c r="P112" s="2774"/>
      <c r="Q112" s="2735"/>
      <c r="R112" s="2721"/>
      <c r="S112" s="2721"/>
      <c r="T112" s="2721"/>
      <c r="U112" s="2721"/>
      <c r="V112" s="2721"/>
      <c r="W112" s="2721"/>
      <c r="X112" s="2721"/>
      <c r="Y112" s="2721"/>
      <c r="Z112" s="2721"/>
      <c r="AA112" s="2721"/>
      <c r="AB112" s="2721"/>
      <c r="AC112" s="2721"/>
    </row>
    <row r="113" spans="1:29" s="420" customFormat="1" ht="15" thickTop="1">
      <c r="A113" s="540"/>
      <c r="B113" s="541">
        <f>B37</f>
        <v>111</v>
      </c>
      <c r="C113" s="542"/>
      <c r="D113" s="542"/>
      <c r="E113" s="542"/>
      <c r="F113" s="542"/>
      <c r="G113" s="542"/>
      <c r="H113" s="542"/>
      <c r="I113" s="542"/>
      <c r="J113" s="543"/>
      <c r="K113" s="543"/>
      <c r="L113" s="544"/>
      <c r="M113" s="545"/>
      <c r="N113" s="2751"/>
      <c r="O113" s="2751"/>
      <c r="P113" s="2775"/>
      <c r="Q113" s="2742"/>
      <c r="R113" s="2743"/>
      <c r="S113" s="2743"/>
      <c r="T113" s="2743"/>
      <c r="U113" s="2743"/>
      <c r="V113" s="2743"/>
      <c r="W113" s="2743"/>
      <c r="X113" s="2743"/>
      <c r="Y113" s="2743"/>
      <c r="Z113" s="2743"/>
      <c r="AA113" s="2743"/>
      <c r="AB113" s="2743"/>
      <c r="AC113" s="2743"/>
    </row>
    <row r="114" spans="1:29" s="420" customFormat="1" ht="15.75" thickBot="1">
      <c r="A114" s="500"/>
      <c r="B114" s="493"/>
      <c r="C114" s="459"/>
      <c r="D114" s="623"/>
      <c r="E114" s="623"/>
      <c r="F114" s="623"/>
      <c r="G114" s="623"/>
      <c r="H114" s="623"/>
      <c r="I114" s="623"/>
      <c r="J114" s="623"/>
      <c r="K114" s="623"/>
      <c r="L114" s="623"/>
      <c r="M114" s="645"/>
      <c r="N114" s="2750"/>
      <c r="O114" s="2750"/>
      <c r="P114" s="2775"/>
      <c r="Q114" s="2742"/>
      <c r="R114" s="2743"/>
      <c r="S114" s="2743"/>
      <c r="T114" s="2743"/>
      <c r="U114" s="2743"/>
      <c r="V114" s="2743"/>
      <c r="W114" s="2743"/>
      <c r="X114" s="2743"/>
      <c r="Y114" s="2743"/>
      <c r="Z114" s="2743"/>
      <c r="AA114" s="2743"/>
      <c r="AB114" s="2743"/>
      <c r="AC114" s="2743"/>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1"/>
      <c r="B116" s="493"/>
      <c r="C116" s="542"/>
      <c r="D116" s="542"/>
      <c r="E116" s="542"/>
      <c r="F116" s="542"/>
      <c r="G116" s="542"/>
      <c r="H116" s="542"/>
      <c r="I116" s="542"/>
      <c r="J116" s="543"/>
      <c r="K116" s="543"/>
      <c r="L116" s="544"/>
      <c r="M116" s="545"/>
      <c r="N116" s="2749"/>
      <c r="O116" s="2749"/>
      <c r="P116" s="2774"/>
      <c r="Q116" s="2735"/>
      <c r="R116" s="2721"/>
      <c r="S116" s="2721"/>
      <c r="T116" s="2721"/>
      <c r="U116" s="2721"/>
      <c r="V116" s="2721"/>
      <c r="W116" s="2721"/>
      <c r="X116" s="2721"/>
      <c r="Y116" s="2721"/>
      <c r="Z116" s="2721"/>
      <c r="AA116" s="2721"/>
      <c r="AB116" s="2721"/>
      <c r="AC116" s="2721"/>
    </row>
    <row r="117" spans="1:29" ht="15.75" thickBot="1">
      <c r="A117" s="481"/>
      <c r="B117" s="490"/>
      <c r="C117" s="517"/>
      <c r="D117" s="538"/>
      <c r="E117" s="538"/>
      <c r="F117" s="538"/>
      <c r="G117" s="538"/>
      <c r="H117" s="538"/>
      <c r="I117" s="538"/>
      <c r="J117" s="538"/>
      <c r="K117" s="538"/>
      <c r="L117" s="538"/>
      <c r="M117" s="539"/>
      <c r="N117" s="2750"/>
      <c r="O117" s="2750"/>
      <c r="P117" s="2774"/>
      <c r="Q117" s="2735"/>
      <c r="R117" s="2721"/>
      <c r="S117" s="2721"/>
      <c r="T117" s="2721"/>
      <c r="U117" s="2721"/>
      <c r="V117" s="2721"/>
      <c r="W117" s="2721"/>
      <c r="X117" s="2721"/>
      <c r="Y117" s="2721"/>
      <c r="Z117" s="2721"/>
      <c r="AA117" s="2721"/>
      <c r="AB117" s="2721"/>
      <c r="AC117" s="2721"/>
    </row>
    <row r="118" spans="1:29" ht="15" thickTop="1">
      <c r="A118" s="546"/>
      <c r="B118" s="485" t="s">
        <v>1914</v>
      </c>
      <c r="C118" s="530"/>
      <c r="D118" s="530"/>
      <c r="E118" s="530"/>
      <c r="F118" s="530"/>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6"/>
      <c r="B120" s="485" t="s">
        <v>1915</v>
      </c>
      <c r="C120" s="501"/>
      <c r="D120" s="501"/>
      <c r="E120" s="501"/>
      <c r="F120" s="530"/>
      <c r="G120" s="530"/>
      <c r="H120" s="530"/>
      <c r="I120" s="530"/>
      <c r="J120" s="530"/>
      <c r="K120" s="531"/>
      <c r="L120" s="532"/>
      <c r="M120" s="533"/>
      <c r="N120" s="2749"/>
      <c r="O120" s="2749"/>
      <c r="P120" s="2774"/>
      <c r="Q120" s="2735"/>
      <c r="R120" s="2721"/>
      <c r="S120" s="2721"/>
      <c r="T120" s="2721"/>
      <c r="U120" s="2721"/>
      <c r="V120" s="2721"/>
      <c r="W120" s="2721"/>
      <c r="X120" s="2721"/>
      <c r="Y120" s="2721"/>
      <c r="Z120" s="2721"/>
      <c r="AA120" s="2721"/>
      <c r="AB120" s="2721"/>
      <c r="AC120" s="2721"/>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0"/>
      <c r="O121" s="2750"/>
      <c r="P121" s="2774"/>
      <c r="Q121" s="2735"/>
      <c r="R121" s="2721"/>
      <c r="S121" s="2721"/>
      <c r="T121" s="2721"/>
      <c r="U121" s="2721"/>
      <c r="V121" s="2721"/>
      <c r="W121" s="2721"/>
      <c r="X121" s="2721"/>
      <c r="Y121" s="2721"/>
      <c r="Z121" s="2721"/>
      <c r="AA121" s="2721"/>
      <c r="AB121" s="2721"/>
      <c r="AC121" s="2721"/>
    </row>
    <row r="122" spans="1:29" s="420" customFormat="1" ht="15" thickTop="1">
      <c r="A122" s="540"/>
      <c r="B122" s="485" t="s">
        <v>1916</v>
      </c>
      <c r="C122" s="501"/>
      <c r="D122" s="501"/>
      <c r="E122" s="501"/>
      <c r="F122" s="501"/>
      <c r="G122" s="501"/>
      <c r="H122" s="530"/>
      <c r="I122" s="530"/>
      <c r="J122" s="530"/>
      <c r="K122" s="531"/>
      <c r="L122" s="532"/>
      <c r="M122" s="533"/>
      <c r="N122" s="2751"/>
      <c r="O122" s="2751"/>
      <c r="P122" s="2775"/>
      <c r="Q122" s="2742"/>
      <c r="R122" s="2743"/>
      <c r="S122" s="2743"/>
      <c r="T122" s="2743"/>
      <c r="U122" s="2743"/>
      <c r="V122" s="2743"/>
      <c r="W122" s="2743"/>
      <c r="X122" s="2743"/>
      <c r="Y122" s="2743"/>
      <c r="Z122" s="2743"/>
      <c r="AA122" s="2743"/>
      <c r="AB122" s="2743"/>
      <c r="AC122" s="2743"/>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6"/>
      <c r="B124" s="485" t="s">
        <v>1917</v>
      </c>
      <c r="C124" s="501"/>
      <c r="D124" s="501"/>
      <c r="E124" s="530"/>
      <c r="F124" s="530"/>
      <c r="G124" s="530"/>
      <c r="H124" s="530"/>
      <c r="I124" s="530"/>
      <c r="J124" s="530"/>
      <c r="K124" s="531"/>
      <c r="L124" s="532"/>
      <c r="M124" s="533"/>
      <c r="N124" s="2749"/>
      <c r="O124" s="2749"/>
      <c r="P124" s="2774"/>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6"/>
      <c r="B126" s="485">
        <f>B43</f>
        <v>111</v>
      </c>
      <c r="C126" s="501"/>
      <c r="D126" s="501"/>
      <c r="E126" s="501"/>
      <c r="F126" s="501"/>
      <c r="G126" s="501"/>
      <c r="H126" s="530"/>
      <c r="I126" s="530"/>
      <c r="J126" s="530"/>
      <c r="K126" s="531"/>
      <c r="L126" s="532"/>
      <c r="M126" s="533"/>
      <c r="N126" s="2749"/>
      <c r="O126" s="2749"/>
      <c r="P126" s="2774"/>
      <c r="Q126" s="2735"/>
      <c r="R126" s="2721"/>
      <c r="S126" s="2721"/>
      <c r="T126" s="2721"/>
      <c r="U126" s="2721"/>
      <c r="V126" s="2721"/>
      <c r="W126" s="2721"/>
      <c r="X126" s="2721"/>
      <c r="Y126" s="2721"/>
      <c r="Z126" s="2721"/>
      <c r="AA126" s="2721"/>
      <c r="AB126" s="2721"/>
      <c r="AC126" s="2721"/>
    </row>
    <row r="127" spans="1:29" ht="15.75" thickBot="1">
      <c r="A127" s="481"/>
      <c r="B127" s="490"/>
      <c r="C127" s="507"/>
      <c r="D127" s="507"/>
      <c r="E127" s="507"/>
      <c r="F127" s="507"/>
      <c r="G127" s="483"/>
      <c r="H127" s="483"/>
      <c r="I127" s="483"/>
      <c r="J127" s="483"/>
      <c r="K127" s="483"/>
      <c r="L127" s="483"/>
      <c r="M127" s="484"/>
      <c r="N127" s="2750"/>
      <c r="O127" s="2750"/>
      <c r="P127" s="2774"/>
      <c r="Q127" s="2735"/>
      <c r="R127" s="2721"/>
      <c r="S127" s="2721"/>
      <c r="T127" s="2721"/>
      <c r="U127" s="2721"/>
      <c r="V127" s="2721"/>
      <c r="W127" s="2721"/>
      <c r="X127" s="2721"/>
      <c r="Y127" s="2721"/>
      <c r="Z127" s="2721"/>
      <c r="AA127" s="2721"/>
      <c r="AB127" s="2721"/>
      <c r="AC127" s="2721"/>
    </row>
    <row r="128" spans="1:29" ht="15" thickTop="1">
      <c r="A128" s="546"/>
      <c r="B128" s="485">
        <f>B44</f>
        <v>111</v>
      </c>
      <c r="C128" s="470"/>
      <c r="D128" s="470"/>
      <c r="E128" s="470"/>
      <c r="F128" s="470"/>
      <c r="G128" s="530"/>
      <c r="H128" s="530"/>
      <c r="I128" s="530"/>
      <c r="J128" s="530"/>
      <c r="K128" s="531"/>
      <c r="L128" s="532"/>
      <c r="M128" s="533"/>
      <c r="N128" s="2749"/>
      <c r="O128" s="2749"/>
      <c r="P128" s="2774"/>
      <c r="Q128" s="2735"/>
      <c r="R128" s="2721"/>
      <c r="S128" s="2721"/>
      <c r="T128" s="2721"/>
      <c r="U128" s="2721"/>
      <c r="V128" s="2721"/>
      <c r="W128" s="2721"/>
      <c r="X128" s="2721"/>
      <c r="Y128" s="2721"/>
      <c r="Z128" s="2721"/>
      <c r="AA128" s="2721"/>
      <c r="AB128" s="2721"/>
      <c r="AC128" s="2721"/>
    </row>
    <row r="129" spans="1:29" ht="15.75" thickBot="1">
      <c r="A129" s="481"/>
      <c r="B129" s="490"/>
      <c r="C129" s="517"/>
      <c r="D129" s="517"/>
      <c r="E129" s="517"/>
      <c r="F129" s="517"/>
      <c r="G129" s="483"/>
      <c r="H129" s="483"/>
      <c r="I129" s="483"/>
      <c r="J129" s="483"/>
      <c r="K129" s="483"/>
      <c r="L129" s="483"/>
      <c r="M129" s="484"/>
      <c r="N129" s="2750"/>
      <c r="O129" s="2750"/>
      <c r="P129" s="2774"/>
      <c r="Q129" s="2735"/>
      <c r="R129" s="2721"/>
      <c r="S129" s="2721"/>
      <c r="T129" s="2721"/>
      <c r="U129" s="2721"/>
      <c r="V129" s="2721"/>
      <c r="W129" s="2721"/>
      <c r="X129" s="2721"/>
      <c r="Y129" s="2721"/>
      <c r="Z129" s="2721"/>
      <c r="AA129" s="2721"/>
      <c r="AB129" s="2721"/>
      <c r="AC129" s="2721"/>
    </row>
    <row r="130" spans="1:29" s="420" customFormat="1" ht="15" thickTop="1">
      <c r="A130" s="540"/>
      <c r="B130" s="485">
        <f>B45</f>
        <v>111</v>
      </c>
      <c r="C130" s="470"/>
      <c r="D130" s="470"/>
      <c r="E130" s="470"/>
      <c r="F130" s="470"/>
      <c r="G130" s="502"/>
      <c r="H130" s="502"/>
      <c r="I130" s="502"/>
      <c r="J130" s="502"/>
      <c r="K130" s="502"/>
      <c r="L130" s="503"/>
      <c r="M130" s="504"/>
      <c r="N130" s="2751"/>
      <c r="O130" s="2751"/>
      <c r="P130" s="2775"/>
      <c r="Q130" s="2742"/>
      <c r="R130" s="2743"/>
      <c r="S130" s="2743"/>
      <c r="T130" s="2743"/>
      <c r="U130" s="2743"/>
      <c r="V130" s="2743"/>
      <c r="W130" s="2743"/>
      <c r="X130" s="2743"/>
      <c r="Y130" s="2743"/>
      <c r="Z130" s="2743"/>
      <c r="AA130" s="2743"/>
      <c r="AB130" s="2743"/>
      <c r="AC130" s="2743"/>
    </row>
    <row r="131" spans="1:29" s="420" customFormat="1" ht="15.75" thickBot="1">
      <c r="A131" s="515"/>
      <c r="B131" s="646"/>
      <c r="C131" s="517"/>
      <c r="D131" s="517"/>
      <c r="E131" s="517"/>
      <c r="F131" s="517"/>
      <c r="G131" s="538"/>
      <c r="H131" s="538"/>
      <c r="I131" s="538"/>
      <c r="J131" s="538"/>
      <c r="K131" s="538"/>
      <c r="L131" s="538"/>
      <c r="M131" s="539"/>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17"/>
      <c r="AC5" s="3717"/>
    </row>
    <row r="6" spans="1:29" ht="15.75" thickBot="1">
      <c r="A6" s="358"/>
      <c r="B6" s="359"/>
      <c r="C6" s="3799" t="s">
        <v>1919</v>
      </c>
      <c r="D6" s="3800"/>
      <c r="E6" s="3801" t="s">
        <v>1919</v>
      </c>
      <c r="F6" s="3802"/>
      <c r="G6" s="3799" t="s">
        <v>1919</v>
      </c>
      <c r="H6" s="3800"/>
      <c r="I6" s="3799" t="s">
        <v>1919</v>
      </c>
      <c r="J6" s="3800"/>
      <c r="K6" s="557" t="s">
        <v>1678</v>
      </c>
      <c r="L6" s="2711"/>
      <c r="M6" s="2712"/>
      <c r="N6" s="2712"/>
      <c r="O6" s="2712"/>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64"/>
      <c r="F7" s="365">
        <f>SUMIF(65:65,YEAR(E7)&amp;"-"&amp;INT((MONTH(E7)+2)/3),66:66)</f>
        <v>0</v>
      </c>
      <c r="G7" s="1971"/>
      <c r="H7" s="363">
        <f>SUMIF(65:65,YEAR(G7)&amp;"-"&amp;INT((MONTH(G7)+2)/3),66:66)</f>
        <v>0</v>
      </c>
      <c r="I7" s="1971"/>
      <c r="J7" s="363">
        <f>SUMIF(65:65,YEAR(I7)&amp;"-"&amp;INT((MONTH(I7)+2)/3),66:66)</f>
        <v>0</v>
      </c>
      <c r="K7" s="558"/>
      <c r="L7" s="2713"/>
      <c r="M7" s="2714"/>
      <c r="N7" s="2714"/>
      <c r="O7" s="2714"/>
      <c r="P7" s="3740" t="s">
        <v>1680</v>
      </c>
      <c r="Q7" s="3742"/>
      <c r="R7" s="698" t="s">
        <v>14</v>
      </c>
      <c r="S7" s="699">
        <f t="shared" ref="S7:S15" si="0">F7</f>
        <v>0</v>
      </c>
      <c r="T7" s="698" t="s">
        <v>14</v>
      </c>
      <c r="U7" s="699">
        <f t="shared" ref="U7:U15" si="1">H7</f>
        <v>0</v>
      </c>
      <c r="V7" s="698" t="s">
        <v>14</v>
      </c>
      <c r="W7" s="699">
        <f t="shared" ref="W7:W15" si="2">J7</f>
        <v>0</v>
      </c>
      <c r="X7" s="700"/>
      <c r="Y7" s="3740" t="s">
        <v>1680</v>
      </c>
      <c r="Z7" s="3741"/>
      <c r="AA7" s="701" t="e">
        <f>D7/F7</f>
        <v>#DIV/0!</v>
      </c>
      <c r="AB7" s="701" t="e">
        <f>D7/H7</f>
        <v>#DIV/0!</v>
      </c>
      <c r="AC7" s="701" t="e">
        <f>D7/J7</f>
        <v>#DIV/0!</v>
      </c>
    </row>
    <row r="8" spans="1:29" s="108"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3"/>
      <c r="M8" s="2714"/>
      <c r="N8" s="2714"/>
      <c r="O8" s="2714"/>
      <c r="P8" s="3740" t="s">
        <v>1683</v>
      </c>
      <c r="Q8" s="3741"/>
      <c r="R8" s="698" t="s">
        <v>14</v>
      </c>
      <c r="S8" s="699">
        <f t="shared" si="0"/>
        <v>0</v>
      </c>
      <c r="T8" s="698" t="s">
        <v>14</v>
      </c>
      <c r="U8" s="699">
        <f t="shared" si="1"/>
        <v>0</v>
      </c>
      <c r="V8" s="698" t="s">
        <v>14</v>
      </c>
      <c r="W8" s="699">
        <f t="shared" si="2"/>
        <v>0</v>
      </c>
      <c r="X8" s="700"/>
      <c r="Y8" s="3740" t="s">
        <v>1683</v>
      </c>
      <c r="Z8" s="3741"/>
      <c r="AA8" s="701" t="e">
        <f t="shared" ref="AA8:AA40" si="3">D8/F8</f>
        <v>#DIV/0!</v>
      </c>
      <c r="AB8" s="701" t="e">
        <f t="shared" ref="AB8:AB40" si="4">D8/H8</f>
        <v>#DIV/0!</v>
      </c>
      <c r="AC8" s="701" t="e">
        <f t="shared" ref="AC8:AC40" si="5">D8/J8</f>
        <v>#DIV/0!</v>
      </c>
    </row>
    <row r="9" spans="1:29" s="108"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3"/>
      <c r="M9" s="2714"/>
      <c r="N9" s="2714"/>
      <c r="O9" s="2768"/>
      <c r="P9" s="3706"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111</v>
      </c>
      <c r="G10" s="381"/>
      <c r="H10" s="125">
        <f>ROUND(100/'数据-取费表'!G16,0)</f>
        <v>111</v>
      </c>
      <c r="I10" s="381"/>
      <c r="J10" s="125">
        <f>ROUND(100/'数据-取费表'!G16,0)</f>
        <v>111</v>
      </c>
      <c r="K10" s="618"/>
      <c r="L10" s="2715"/>
      <c r="M10" s="2716"/>
      <c r="N10" s="2716"/>
      <c r="O10" s="2769"/>
      <c r="P10" s="3706"/>
      <c r="Q10" s="1340" t="str">
        <f t="shared" si="6"/>
        <v>土地使用年限（年）</v>
      </c>
      <c r="R10" s="698" t="s">
        <v>14</v>
      </c>
      <c r="S10" s="699">
        <f t="shared" si="0"/>
        <v>111</v>
      </c>
      <c r="T10" s="698" t="s">
        <v>14</v>
      </c>
      <c r="U10" s="699">
        <f t="shared" si="1"/>
        <v>111</v>
      </c>
      <c r="V10" s="698" t="s">
        <v>14</v>
      </c>
      <c r="W10" s="699">
        <f t="shared" si="2"/>
        <v>111</v>
      </c>
      <c r="X10" s="700"/>
      <c r="Y10" s="3610"/>
      <c r="Z10" s="52" t="str">
        <f t="shared" si="7"/>
        <v>土地使用年限（年）</v>
      </c>
      <c r="AA10" s="701">
        <f t="shared" si="3"/>
        <v>0.90090090090090091</v>
      </c>
      <c r="AB10" s="701">
        <f t="shared" si="4"/>
        <v>0.90090090090090091</v>
      </c>
      <c r="AC10" s="701">
        <f t="shared" si="5"/>
        <v>0.90090090090090091</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7"/>
      <c r="M11" s="2712"/>
      <c r="N11" s="2712"/>
      <c r="O11" s="2770"/>
      <c r="P11" s="3706"/>
      <c r="Q11" s="1340" t="str">
        <f t="shared" si="6"/>
        <v>容积率</v>
      </c>
      <c r="R11" s="698" t="s">
        <v>14</v>
      </c>
      <c r="S11" s="699" t="e">
        <f t="shared" si="0"/>
        <v>#N/A</v>
      </c>
      <c r="T11" s="698" t="s">
        <v>14</v>
      </c>
      <c r="U11" s="699" t="e">
        <f t="shared" si="1"/>
        <v>#N/A</v>
      </c>
      <c r="V11" s="698" t="s">
        <v>14</v>
      </c>
      <c r="W11" s="699" t="e">
        <f t="shared" si="2"/>
        <v>#N/A</v>
      </c>
      <c r="X11" s="700"/>
      <c r="Y11" s="3610"/>
      <c r="Z11" s="52" t="str">
        <f t="shared" si="7"/>
        <v>容积率</v>
      </c>
      <c r="AA11" s="701" t="e">
        <f t="shared" si="3"/>
        <v>#N/A</v>
      </c>
      <c r="AB11" s="701" t="e">
        <f t="shared" si="4"/>
        <v>#N/A</v>
      </c>
      <c r="AC11" s="701" t="e">
        <f t="shared" si="5"/>
        <v>#N/A</v>
      </c>
    </row>
    <row r="12" spans="1:29" s="108"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3"/>
      <c r="M12" s="2714"/>
      <c r="N12" s="2714"/>
      <c r="O12" s="2768"/>
      <c r="P12" s="3706"/>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8"/>
      <c r="M13" s="2712"/>
      <c r="N13" s="2712"/>
      <c r="O13" s="2770"/>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8"/>
      <c r="M14" s="2712"/>
      <c r="N14" s="2712"/>
      <c r="O14" s="2770"/>
      <c r="P14" s="3706"/>
      <c r="Q14" s="1340">
        <f t="shared" si="6"/>
        <v>111</v>
      </c>
      <c r="R14" s="698" t="s">
        <v>14</v>
      </c>
      <c r="S14" s="699">
        <f t="shared" si="0"/>
        <v>100</v>
      </c>
      <c r="T14" s="698" t="s">
        <v>14</v>
      </c>
      <c r="U14" s="699">
        <f t="shared" si="1"/>
        <v>100</v>
      </c>
      <c r="V14" s="698" t="s">
        <v>14</v>
      </c>
      <c r="W14" s="699">
        <f t="shared" si="2"/>
        <v>100</v>
      </c>
      <c r="X14" s="700"/>
      <c r="Y14" s="3610"/>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8"/>
      <c r="M15" s="2712"/>
      <c r="N15" s="2712"/>
      <c r="O15" s="2770"/>
      <c r="P15" s="3711" t="s">
        <v>1691</v>
      </c>
      <c r="Q15" s="1349" t="str">
        <f t="shared" si="6"/>
        <v>产业集聚程度</v>
      </c>
      <c r="R15" s="702" t="s">
        <v>14</v>
      </c>
      <c r="S15" s="703">
        <f t="shared" si="0"/>
        <v>100</v>
      </c>
      <c r="T15" s="702" t="s">
        <v>14</v>
      </c>
      <c r="U15" s="703">
        <f t="shared" si="1"/>
        <v>100</v>
      </c>
      <c r="V15" s="702" t="s">
        <v>14</v>
      </c>
      <c r="W15" s="703">
        <f t="shared" si="2"/>
        <v>100</v>
      </c>
      <c r="X15" s="1352"/>
      <c r="Y15" s="3711"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8"/>
      <c r="M16" s="2712"/>
      <c r="N16" s="2712"/>
      <c r="O16" s="2770"/>
      <c r="P16" s="3712"/>
      <c r="Q16" s="1349"/>
      <c r="R16" s="702"/>
      <c r="S16" s="703"/>
      <c r="T16" s="702"/>
      <c r="U16" s="703"/>
      <c r="V16" s="702"/>
      <c r="W16" s="703"/>
      <c r="X16" s="1352"/>
      <c r="Y16" s="3712"/>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8"/>
      <c r="M17" s="2712"/>
      <c r="N17" s="2712"/>
      <c r="O17" s="2770"/>
      <c r="P17" s="3712"/>
      <c r="Q17" s="1349" t="str">
        <f>B17</f>
        <v>交通便捷度</v>
      </c>
      <c r="R17" s="702" t="s">
        <v>14</v>
      </c>
      <c r="S17" s="703">
        <f>F17</f>
        <v>100</v>
      </c>
      <c r="T17" s="702" t="s">
        <v>14</v>
      </c>
      <c r="U17" s="703">
        <f>H17</f>
        <v>100</v>
      </c>
      <c r="V17" s="702" t="s">
        <v>14</v>
      </c>
      <c r="W17" s="703">
        <f>J17</f>
        <v>100</v>
      </c>
      <c r="X17" s="1352"/>
      <c r="Y17" s="3712"/>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8"/>
      <c r="M18" s="2712"/>
      <c r="N18" s="2712"/>
      <c r="O18" s="2770"/>
      <c r="P18" s="3712"/>
      <c r="Q18" s="1349"/>
      <c r="R18" s="702"/>
      <c r="S18" s="703"/>
      <c r="T18" s="702"/>
      <c r="U18" s="703"/>
      <c r="V18" s="702"/>
      <c r="W18" s="703"/>
      <c r="X18" s="1352"/>
      <c r="Y18" s="3712"/>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8"/>
      <c r="M19" s="2712"/>
      <c r="N19" s="2712"/>
      <c r="O19" s="2770"/>
      <c r="P19" s="3712"/>
      <c r="Q19" s="1349" t="str">
        <f t="shared" ref="Q19:Q33" si="8">B19</f>
        <v>区域土地利用方向</v>
      </c>
      <c r="R19" s="702" t="s">
        <v>14</v>
      </c>
      <c r="S19" s="703">
        <f>F19</f>
        <v>100</v>
      </c>
      <c r="T19" s="702" t="s">
        <v>14</v>
      </c>
      <c r="U19" s="703">
        <f>H19</f>
        <v>100</v>
      </c>
      <c r="V19" s="702" t="s">
        <v>14</v>
      </c>
      <c r="W19" s="703">
        <f>J19</f>
        <v>100</v>
      </c>
      <c r="X19" s="1352"/>
      <c r="Y19" s="3712"/>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8"/>
      <c r="M20" s="2712"/>
      <c r="N20" s="2712"/>
      <c r="O20" s="2770"/>
      <c r="P20" s="3712"/>
      <c r="Q20" s="1349"/>
      <c r="R20" s="702"/>
      <c r="S20" s="703"/>
      <c r="T20" s="702"/>
      <c r="U20" s="703"/>
      <c r="V20" s="702"/>
      <c r="W20" s="703"/>
      <c r="X20" s="1352"/>
      <c r="Y20" s="3712"/>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8"/>
      <c r="M21" s="2712"/>
      <c r="N21" s="2712"/>
      <c r="O21" s="2770"/>
      <c r="P21" s="3712"/>
      <c r="Q21" s="1349" t="str">
        <f t="shared" si="8"/>
        <v>环境状况</v>
      </c>
      <c r="R21" s="702" t="s">
        <v>14</v>
      </c>
      <c r="S21" s="703">
        <f>F21</f>
        <v>100</v>
      </c>
      <c r="T21" s="702" t="s">
        <v>14</v>
      </c>
      <c r="U21" s="703">
        <f>H21</f>
        <v>100</v>
      </c>
      <c r="V21" s="702" t="s">
        <v>14</v>
      </c>
      <c r="W21" s="703">
        <f>J21</f>
        <v>100</v>
      </c>
      <c r="X21" s="1352"/>
      <c r="Y21" s="3712"/>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8"/>
      <c r="M22" s="2712"/>
      <c r="N22" s="2712"/>
      <c r="O22" s="2770"/>
      <c r="P22" s="3712"/>
      <c r="Q22" s="1349"/>
      <c r="R22" s="702"/>
      <c r="S22" s="703"/>
      <c r="T22" s="702"/>
      <c r="U22" s="703"/>
      <c r="V22" s="702"/>
      <c r="W22" s="703"/>
      <c r="X22" s="1352"/>
      <c r="Y22" s="3712"/>
      <c r="Z22" s="1353"/>
      <c r="AA22" s="1350">
        <v>1</v>
      </c>
      <c r="AB22" s="1350">
        <v>1</v>
      </c>
      <c r="AC22" s="1350">
        <v>1</v>
      </c>
    </row>
    <row r="23" spans="1:29" s="108"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3"/>
      <c r="M23" s="2714"/>
      <c r="N23" s="2714"/>
      <c r="O23" s="2768"/>
      <c r="P23" s="3712"/>
      <c r="Q23" s="1340" t="str">
        <f t="shared" si="8"/>
        <v>公共配套设施</v>
      </c>
      <c r="R23" s="698" t="s">
        <v>14</v>
      </c>
      <c r="S23" s="699">
        <f>F23</f>
        <v>100</v>
      </c>
      <c r="T23" s="698" t="s">
        <v>14</v>
      </c>
      <c r="U23" s="699">
        <f>H23</f>
        <v>100</v>
      </c>
      <c r="V23" s="698" t="s">
        <v>14</v>
      </c>
      <c r="W23" s="699">
        <f>J23</f>
        <v>100</v>
      </c>
      <c r="X23" s="700"/>
      <c r="Y23" s="3712"/>
      <c r="Z23" s="52" t="str">
        <f>Q23</f>
        <v>公共配套设施</v>
      </c>
      <c r="AA23" s="1350">
        <f>D23/F23</f>
        <v>1</v>
      </c>
      <c r="AB23" s="1350">
        <f>D23/H23</f>
        <v>1</v>
      </c>
      <c r="AC23" s="1350">
        <f>D23/J23</f>
        <v>1</v>
      </c>
    </row>
    <row r="24" spans="1:29" s="108" customFormat="1" ht="15">
      <c r="A24" s="595"/>
      <c r="B24" s="578"/>
      <c r="C24" s="1975"/>
      <c r="D24" s="397"/>
      <c r="E24" s="1901"/>
      <c r="F24" s="397"/>
      <c r="G24" s="1901"/>
      <c r="H24" s="397"/>
      <c r="I24" s="396"/>
      <c r="J24" s="397"/>
      <c r="K24" s="618"/>
      <c r="L24" s="2713"/>
      <c r="M24" s="2714"/>
      <c r="N24" s="2714"/>
      <c r="O24" s="2768"/>
      <c r="P24" s="3712"/>
      <c r="Q24" s="1340"/>
      <c r="R24" s="698"/>
      <c r="S24" s="699"/>
      <c r="T24" s="698"/>
      <c r="U24" s="699"/>
      <c r="V24" s="698"/>
      <c r="W24" s="699"/>
      <c r="X24" s="700"/>
      <c r="Y24" s="3712"/>
      <c r="Z24" s="52"/>
      <c r="AA24" s="701">
        <v>1</v>
      </c>
      <c r="AB24" s="701">
        <v>1</v>
      </c>
      <c r="AC24" s="701">
        <v>1</v>
      </c>
    </row>
    <row r="25" spans="1:29" s="108"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3"/>
      <c r="M25" s="2714"/>
      <c r="N25" s="2714"/>
      <c r="O25" s="2768"/>
      <c r="P25" s="3712"/>
      <c r="Q25" s="1340" t="str">
        <f t="shared" ref="Q25" si="9">B25</f>
        <v>基础设施水平</v>
      </c>
      <c r="R25" s="698" t="s">
        <v>14</v>
      </c>
      <c r="S25" s="699">
        <f>F25</f>
        <v>100</v>
      </c>
      <c r="T25" s="698" t="s">
        <v>14</v>
      </c>
      <c r="U25" s="699">
        <f>H25</f>
        <v>100</v>
      </c>
      <c r="V25" s="698" t="s">
        <v>14</v>
      </c>
      <c r="W25" s="699">
        <f>J25</f>
        <v>100</v>
      </c>
      <c r="X25" s="700"/>
      <c r="Y25" s="3712"/>
      <c r="Z25" s="52" t="str">
        <f>Q25</f>
        <v>基础设施水平</v>
      </c>
      <c r="AA25" s="1350">
        <f>D25/F25</f>
        <v>1</v>
      </c>
      <c r="AB25" s="1350">
        <f>D25/H25</f>
        <v>1</v>
      </c>
      <c r="AC25" s="1350">
        <f>D25/J25</f>
        <v>1</v>
      </c>
    </row>
    <row r="26" spans="1:29" s="108" customFormat="1" ht="15">
      <c r="A26" s="595"/>
      <c r="B26" s="578"/>
      <c r="C26" s="1975"/>
      <c r="D26" s="397"/>
      <c r="E26" s="1976"/>
      <c r="F26" s="397"/>
      <c r="G26" s="1976"/>
      <c r="H26" s="397"/>
      <c r="I26" s="1976"/>
      <c r="J26" s="397"/>
      <c r="K26" s="618"/>
      <c r="L26" s="2713"/>
      <c r="M26" s="2714"/>
      <c r="N26" s="2714"/>
      <c r="O26" s="2768"/>
      <c r="P26" s="3712"/>
      <c r="Q26" s="1340"/>
      <c r="R26" s="698"/>
      <c r="S26" s="699"/>
      <c r="T26" s="698"/>
      <c r="U26" s="699"/>
      <c r="V26" s="698"/>
      <c r="W26" s="699"/>
      <c r="X26" s="700"/>
      <c r="Y26" s="3712"/>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8"/>
      <c r="M27" s="2712"/>
      <c r="N27" s="2712"/>
      <c r="O27" s="2770"/>
      <c r="P27" s="371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12"/>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8"/>
      <c r="M28" s="2712"/>
      <c r="N28" s="2712"/>
      <c r="O28" s="2770"/>
      <c r="P28" s="3712"/>
      <c r="Q28" s="1349" t="str">
        <f t="shared" si="8"/>
        <v>毗邻道路的类型与等级</v>
      </c>
      <c r="R28" s="702" t="s">
        <v>14</v>
      </c>
      <c r="S28" s="703">
        <f t="shared" si="10"/>
        <v>100</v>
      </c>
      <c r="T28" s="702" t="s">
        <v>14</v>
      </c>
      <c r="U28" s="703">
        <f t="shared" si="11"/>
        <v>100</v>
      </c>
      <c r="V28" s="702" t="s">
        <v>14</v>
      </c>
      <c r="W28" s="703">
        <f t="shared" si="12"/>
        <v>100</v>
      </c>
      <c r="X28" s="1352"/>
      <c r="Y28" s="3712"/>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8"/>
      <c r="M29" s="2712"/>
      <c r="N29" s="2712"/>
      <c r="O29" s="2770"/>
      <c r="P29" s="3712"/>
      <c r="Q29" s="1349"/>
      <c r="R29" s="702"/>
      <c r="S29" s="703"/>
      <c r="T29" s="702"/>
      <c r="U29" s="703"/>
      <c r="V29" s="702"/>
      <c r="W29" s="703"/>
      <c r="X29" s="1352"/>
      <c r="Y29" s="3712"/>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8"/>
      <c r="M30" s="2712"/>
      <c r="N30" s="2712"/>
      <c r="O30" s="2770"/>
      <c r="P30" s="3712"/>
      <c r="Q30" s="1349" t="str">
        <f t="shared" si="8"/>
        <v>土地级别</v>
      </c>
      <c r="R30" s="702" t="s">
        <v>14</v>
      </c>
      <c r="S30" s="703">
        <f t="shared" si="10"/>
        <v>100</v>
      </c>
      <c r="T30" s="702" t="s">
        <v>14</v>
      </c>
      <c r="U30" s="703">
        <f t="shared" si="11"/>
        <v>100</v>
      </c>
      <c r="V30" s="702" t="s">
        <v>14</v>
      </c>
      <c r="W30" s="703">
        <f t="shared" si="12"/>
        <v>100</v>
      </c>
      <c r="X30" s="1352"/>
      <c r="Y30" s="3712"/>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8"/>
      <c r="M31" s="2712"/>
      <c r="N31" s="2712"/>
      <c r="O31" s="2770"/>
      <c r="P31" s="3712"/>
      <c r="Q31" s="1349">
        <f t="shared" si="8"/>
        <v>111</v>
      </c>
      <c r="R31" s="702" t="s">
        <v>14</v>
      </c>
      <c r="S31" s="703">
        <f t="shared" si="10"/>
        <v>100</v>
      </c>
      <c r="T31" s="702" t="s">
        <v>14</v>
      </c>
      <c r="U31" s="703">
        <f t="shared" si="11"/>
        <v>100</v>
      </c>
      <c r="V31" s="702" t="s">
        <v>14</v>
      </c>
      <c r="W31" s="703">
        <f t="shared" si="12"/>
        <v>100</v>
      </c>
      <c r="X31" s="1352"/>
      <c r="Y31" s="3712"/>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8"/>
      <c r="M32" s="2712"/>
      <c r="N32" s="2712"/>
      <c r="O32" s="2770"/>
      <c r="P32" s="3713" t="s">
        <v>1696</v>
      </c>
      <c r="Q32" s="1349">
        <f t="shared" si="8"/>
        <v>111</v>
      </c>
      <c r="R32" s="702" t="s">
        <v>14</v>
      </c>
      <c r="S32" s="703">
        <f t="shared" si="10"/>
        <v>100</v>
      </c>
      <c r="T32" s="702" t="s">
        <v>14</v>
      </c>
      <c r="U32" s="703">
        <f t="shared" si="11"/>
        <v>100</v>
      </c>
      <c r="V32" s="702" t="s">
        <v>14</v>
      </c>
      <c r="W32" s="703">
        <f t="shared" si="12"/>
        <v>100</v>
      </c>
      <c r="X32" s="1352"/>
      <c r="Y32" s="3714"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7"/>
      <c r="M33" s="2719"/>
      <c r="N33" s="2719"/>
      <c r="O33" s="2771"/>
      <c r="P33" s="3714"/>
      <c r="Q33" s="1349">
        <f t="shared" si="8"/>
        <v>111</v>
      </c>
      <c r="R33" s="705" t="s">
        <v>14</v>
      </c>
      <c r="S33" s="706">
        <f t="shared" si="10"/>
        <v>100</v>
      </c>
      <c r="T33" s="705" t="s">
        <v>14</v>
      </c>
      <c r="U33" s="706">
        <f t="shared" si="11"/>
        <v>100</v>
      </c>
      <c r="V33" s="705" t="s">
        <v>14</v>
      </c>
      <c r="W33" s="706">
        <f t="shared" si="12"/>
        <v>100</v>
      </c>
      <c r="X33" s="707"/>
      <c r="Y33" s="3714"/>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8"/>
      <c r="M34" s="2712"/>
      <c r="N34" s="2712"/>
      <c r="O34" s="2770"/>
      <c r="P34" s="3714"/>
      <c r="Q34" s="1349" t="str">
        <f>B34</f>
        <v>宗地面积</v>
      </c>
      <c r="R34" s="702" t="s">
        <v>14</v>
      </c>
      <c r="S34" s="703" t="e">
        <f t="shared" si="10"/>
        <v>#N/A</v>
      </c>
      <c r="T34" s="702" t="s">
        <v>14</v>
      </c>
      <c r="U34" s="703" t="e">
        <f t="shared" si="11"/>
        <v>#N/A</v>
      </c>
      <c r="V34" s="702" t="s">
        <v>14</v>
      </c>
      <c r="W34" s="703" t="e">
        <f t="shared" si="12"/>
        <v>#N/A</v>
      </c>
      <c r="X34" s="1352"/>
      <c r="Y34" s="3714"/>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8"/>
      <c r="M35" s="2712"/>
      <c r="N35" s="2712"/>
      <c r="O35" s="2770"/>
      <c r="P35" s="3714"/>
      <c r="Q35" s="1349" t="str">
        <f t="shared" ref="Q35:Q40" si="14">B35</f>
        <v>宗地形状</v>
      </c>
      <c r="R35" s="702" t="s">
        <v>14</v>
      </c>
      <c r="S35" s="703">
        <f t="shared" si="10"/>
        <v>100</v>
      </c>
      <c r="T35" s="702" t="s">
        <v>14</v>
      </c>
      <c r="U35" s="703">
        <f t="shared" si="11"/>
        <v>100</v>
      </c>
      <c r="V35" s="702" t="s">
        <v>14</v>
      </c>
      <c r="W35" s="703">
        <f t="shared" si="12"/>
        <v>100</v>
      </c>
      <c r="X35" s="1352"/>
      <c r="Y35" s="3714"/>
      <c r="Z35" s="1353" t="str">
        <f t="shared" si="13"/>
        <v>宗地形状</v>
      </c>
      <c r="AA35" s="1350">
        <f t="shared" si="3"/>
        <v>1</v>
      </c>
      <c r="AB35" s="1350">
        <f t="shared" si="4"/>
        <v>1</v>
      </c>
      <c r="AC35" s="1350">
        <f t="shared" si="5"/>
        <v>1</v>
      </c>
    </row>
    <row r="36" spans="1:31" s="108"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3"/>
      <c r="M36" s="2714"/>
      <c r="N36" s="2714"/>
      <c r="O36" s="2768"/>
      <c r="P36" s="3714"/>
      <c r="Q36" s="1349" t="str">
        <f t="shared" si="14"/>
        <v>宗地开发程度</v>
      </c>
      <c r="R36" s="698" t="s">
        <v>14</v>
      </c>
      <c r="S36" s="699">
        <f t="shared" si="10"/>
        <v>100</v>
      </c>
      <c r="T36" s="698" t="s">
        <v>14</v>
      </c>
      <c r="U36" s="699">
        <f t="shared" si="11"/>
        <v>100</v>
      </c>
      <c r="V36" s="698" t="s">
        <v>14</v>
      </c>
      <c r="W36" s="699">
        <f t="shared" si="12"/>
        <v>100</v>
      </c>
      <c r="X36" s="700"/>
      <c r="Y36" s="3714"/>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8"/>
      <c r="M37" s="2712"/>
      <c r="N37" s="2712"/>
      <c r="O37" s="2770"/>
      <c r="P37" s="3714" t="s">
        <v>1696</v>
      </c>
      <c r="Q37" s="1349" t="str">
        <f t="shared" si="14"/>
        <v>工程地质条件</v>
      </c>
      <c r="R37" s="702" t="s">
        <v>14</v>
      </c>
      <c r="S37" s="703">
        <f t="shared" si="10"/>
        <v>100</v>
      </c>
      <c r="T37" s="702" t="s">
        <v>14</v>
      </c>
      <c r="U37" s="703">
        <f t="shared" si="11"/>
        <v>100</v>
      </c>
      <c r="V37" s="702" t="s">
        <v>14</v>
      </c>
      <c r="W37" s="703">
        <f t="shared" si="12"/>
        <v>100</v>
      </c>
      <c r="X37" s="1352"/>
      <c r="Y37" s="3714"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8"/>
      <c r="M38" s="2712"/>
      <c r="N38" s="2712"/>
      <c r="O38" s="2770"/>
      <c r="P38" s="3714"/>
      <c r="Q38" s="1349">
        <f t="shared" si="14"/>
        <v>111</v>
      </c>
      <c r="R38" s="702" t="s">
        <v>14</v>
      </c>
      <c r="S38" s="703">
        <f t="shared" si="10"/>
        <v>100</v>
      </c>
      <c r="T38" s="702" t="s">
        <v>14</v>
      </c>
      <c r="U38" s="703">
        <f t="shared" si="11"/>
        <v>100</v>
      </c>
      <c r="V38" s="702" t="s">
        <v>14</v>
      </c>
      <c r="W38" s="703">
        <f t="shared" si="12"/>
        <v>100</v>
      </c>
      <c r="X38" s="1352"/>
      <c r="Y38" s="3714"/>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8"/>
      <c r="M39" s="2712"/>
      <c r="N39" s="2712"/>
      <c r="O39" s="2770"/>
      <c r="P39" s="3714"/>
      <c r="Q39" s="1349">
        <f t="shared" si="14"/>
        <v>111</v>
      </c>
      <c r="R39" s="702" t="s">
        <v>14</v>
      </c>
      <c r="S39" s="703">
        <f t="shared" si="10"/>
        <v>100</v>
      </c>
      <c r="T39" s="702" t="s">
        <v>14</v>
      </c>
      <c r="U39" s="703">
        <f t="shared" si="11"/>
        <v>100</v>
      </c>
      <c r="V39" s="702" t="s">
        <v>14</v>
      </c>
      <c r="W39" s="703">
        <f t="shared" si="12"/>
        <v>100</v>
      </c>
      <c r="X39" s="1352"/>
      <c r="Y39" s="3714"/>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7"/>
      <c r="M40" s="2719"/>
      <c r="N40" s="2719"/>
      <c r="O40" s="2771"/>
      <c r="P40" s="3714"/>
      <c r="Q40" s="1349">
        <f t="shared" si="14"/>
        <v>111</v>
      </c>
      <c r="R40" s="705" t="s">
        <v>14</v>
      </c>
      <c r="S40" s="706">
        <f t="shared" si="10"/>
        <v>100</v>
      </c>
      <c r="T40" s="705" t="s">
        <v>14</v>
      </c>
      <c r="U40" s="706">
        <f t="shared" si="11"/>
        <v>100</v>
      </c>
      <c r="V40" s="705" t="s">
        <v>14</v>
      </c>
      <c r="W40" s="706">
        <f t="shared" si="12"/>
        <v>100</v>
      </c>
      <c r="X40" s="707"/>
      <c r="Y40" s="3714"/>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20"/>
      <c r="M41" s="2712"/>
      <c r="N41" s="2712"/>
      <c r="O41" s="2721"/>
      <c r="P41" s="3706" t="str">
        <f>A41</f>
        <v>成交单价</v>
      </c>
      <c r="Q41" s="3706"/>
      <c r="R41" s="3735">
        <f>E41</f>
        <v>0</v>
      </c>
      <c r="S41" s="3735"/>
      <c r="T41" s="3735">
        <f>G41</f>
        <v>0</v>
      </c>
      <c r="U41" s="3735"/>
      <c r="V41" s="3735">
        <f>I41</f>
        <v>0</v>
      </c>
      <c r="W41" s="3735"/>
      <c r="X41" s="687"/>
      <c r="Y41" s="709"/>
      <c r="Z41" s="687"/>
      <c r="AA41" s="687"/>
      <c r="AB41" s="687"/>
      <c r="AC41" s="687"/>
    </row>
    <row r="42" spans="1:31" ht="15.75" thickBot="1">
      <c r="A42" s="435" t="s">
        <v>1793</v>
      </c>
      <c r="B42" s="629"/>
      <c r="C42" s="438" t="e">
        <f>R43</f>
        <v>#DIV/0!</v>
      </c>
      <c r="D42" s="2314" t="s">
        <v>2138</v>
      </c>
      <c r="E42" s="438" t="e">
        <f>R42</f>
        <v>#DIV/0!</v>
      </c>
      <c r="F42" s="2315"/>
      <c r="G42" s="437" t="e">
        <f>T42</f>
        <v>#DIV/0!</v>
      </c>
      <c r="H42" s="2315"/>
      <c r="I42" s="438" t="e">
        <f>V42</f>
        <v>#DIV/0!</v>
      </c>
      <c r="J42" s="2315"/>
      <c r="K42" s="2317">
        <f>F42+H42+J42</f>
        <v>0</v>
      </c>
      <c r="L42" s="2720"/>
      <c r="M42" s="2712"/>
      <c r="N42" s="2712"/>
      <c r="O42" s="2721"/>
      <c r="P42" s="3706" t="str">
        <f>A42</f>
        <v>比较价值（元/平方米）</v>
      </c>
      <c r="Q42" s="3706"/>
      <c r="R42" s="3796" t="e">
        <f>ROUND(PRODUCT(R41,AA7:AA40),0)</f>
        <v>#DIV/0!</v>
      </c>
      <c r="S42" s="3796"/>
      <c r="T42" s="3796" t="e">
        <f>ROUND(PRODUCT(T41,AB7:AB40),0)</f>
        <v>#DIV/0!</v>
      </c>
      <c r="U42" s="3796"/>
      <c r="V42" s="3796" t="e">
        <f>ROUND(PRODUCT(V41,AC7:AC40),0)</f>
        <v>#DIV/0!</v>
      </c>
      <c r="W42" s="3796"/>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20"/>
      <c r="M43" s="2712"/>
      <c r="N43" s="2712"/>
      <c r="O43" s="2721"/>
      <c r="P43" s="3708" t="str">
        <f>A43</f>
        <v>估价对象XX用房的比较价值（楼面单价，元/平方米）</v>
      </c>
      <c r="Q43" s="3709"/>
      <c r="R43" s="3797" t="e">
        <f>ROUND(IF(D42="简单平均",AVERAGE(R42:W42),R42*F42+T42*H42+V42*J42),0)</f>
        <v>#DIV/0!</v>
      </c>
      <c r="S43" s="3797"/>
      <c r="T43" s="3797"/>
      <c r="U43" s="3797"/>
      <c r="V43" s="3797"/>
      <c r="W43" s="3797"/>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9"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0" t="s">
        <v>1881</v>
      </c>
      <c r="B50" s="631" t="s">
        <v>1882</v>
      </c>
      <c r="C50" s="1980" t="s">
        <v>1883</v>
      </c>
      <c r="D50" s="1981" t="s">
        <v>1884</v>
      </c>
      <c r="E50" s="632" t="s">
        <v>1885</v>
      </c>
      <c r="F50" s="633" t="s">
        <v>1886</v>
      </c>
      <c r="G50" s="3719" t="s">
        <v>1887</v>
      </c>
      <c r="H50" s="3798"/>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8" customFormat="1">
      <c r="A51" s="634" t="s">
        <v>1890</v>
      </c>
      <c r="B51" s="635" t="e">
        <f>C43</f>
        <v>#DIV/0!</v>
      </c>
      <c r="C51" s="636">
        <v>1</v>
      </c>
      <c r="D51" s="941">
        <v>1</v>
      </c>
      <c r="E51" s="636">
        <f>'数据-汇总表'!E8+'数据-汇总表'!E9</f>
        <v>47667.279999999977</v>
      </c>
      <c r="F51" s="637" t="e">
        <f t="shared" ref="F51:F60" si="15">ROUND(B51*E51/10000,0)</f>
        <v>#DIV/0!</v>
      </c>
      <c r="G51" s="3779"/>
      <c r="H51" s="3706"/>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8" customFormat="1">
      <c r="A52" s="639" t="s">
        <v>1891</v>
      </c>
      <c r="B52" s="216" t="e">
        <f>ROUND($C$43*C52*D52,0)</f>
        <v>#DIV/0!</v>
      </c>
      <c r="C52" s="169">
        <f t="shared" ref="C52:C60" si="16">IF($C$50="北京市系数",I52,J52)</f>
        <v>0</v>
      </c>
      <c r="D52" s="942">
        <v>0.25</v>
      </c>
      <c r="E52" s="640"/>
      <c r="F52" s="637"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8" customFormat="1">
      <c r="A53" s="639" t="s">
        <v>1893</v>
      </c>
      <c r="B53" s="216" t="e">
        <f t="shared" ref="B53:B60" si="17">ROUND($C$43*C53*D53,0)</f>
        <v>#DIV/0!</v>
      </c>
      <c r="C53" s="169">
        <f t="shared" si="16"/>
        <v>0</v>
      </c>
      <c r="D53" s="942">
        <v>0.25</v>
      </c>
      <c r="E53" s="640"/>
      <c r="F53" s="637"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8" customFormat="1">
      <c r="A54" s="639" t="s">
        <v>1894</v>
      </c>
      <c r="B54" s="216" t="e">
        <f t="shared" si="17"/>
        <v>#DIV/0!</v>
      </c>
      <c r="C54" s="169">
        <f t="shared" si="16"/>
        <v>0</v>
      </c>
      <c r="D54" s="942">
        <v>0.25</v>
      </c>
      <c r="E54" s="640"/>
      <c r="F54" s="637"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8" customFormat="1" hidden="1">
      <c r="A55" s="639"/>
      <c r="B55" s="216"/>
      <c r="C55" s="169"/>
      <c r="D55" s="942"/>
      <c r="E55" s="640"/>
      <c r="F55" s="637"/>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8" customFormat="1">
      <c r="A58" s="639" t="s">
        <v>1899</v>
      </c>
      <c r="B58" s="216" t="e">
        <f t="shared" si="17"/>
        <v>#DIV/0!</v>
      </c>
      <c r="C58" s="169">
        <f t="shared" si="16"/>
        <v>0</v>
      </c>
      <c r="D58" s="942">
        <v>0.25</v>
      </c>
      <c r="E58" s="215">
        <f>'数据-汇总表'!E13</f>
        <v>8191.59</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8" customFormat="1">
      <c r="A59" s="639" t="s">
        <v>1901</v>
      </c>
      <c r="B59" s="216" t="e">
        <f t="shared" si="17"/>
        <v>#DIV/0!</v>
      </c>
      <c r="C59" s="169">
        <f t="shared" si="16"/>
        <v>0</v>
      </c>
      <c r="D59" s="942">
        <v>0.25</v>
      </c>
      <c r="E59" s="215">
        <f>'数据-汇总表'!E14</f>
        <v>0</v>
      </c>
      <c r="F59" s="637" t="e">
        <f t="shared" si="15"/>
        <v>#DIV/0!</v>
      </c>
      <c r="G59" s="1984"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8" customFormat="1" ht="15"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2023-12-1</v>
      </c>
      <c r="D63" s="689">
        <f>EDATE(C63,-3)</f>
        <v>45170</v>
      </c>
      <c r="E63" s="689">
        <f>EDATE(D63,-3)</f>
        <v>45078</v>
      </c>
      <c r="F63" s="689">
        <f t="shared" ref="F63:O63" si="18">EDATE(E63,-3)</f>
        <v>44986</v>
      </c>
      <c r="G63" s="689">
        <f t="shared" si="18"/>
        <v>44896</v>
      </c>
      <c r="H63" s="689">
        <f t="shared" si="18"/>
        <v>44805</v>
      </c>
      <c r="I63" s="689">
        <f t="shared" si="18"/>
        <v>44713</v>
      </c>
      <c r="J63" s="689">
        <f t="shared" si="18"/>
        <v>44621</v>
      </c>
      <c r="K63" s="689">
        <f t="shared" si="18"/>
        <v>44531</v>
      </c>
      <c r="L63" s="689">
        <f t="shared" si="18"/>
        <v>44440</v>
      </c>
      <c r="M63" s="689">
        <f t="shared" si="18"/>
        <v>44348</v>
      </c>
      <c r="N63" s="689">
        <f t="shared" si="18"/>
        <v>44256</v>
      </c>
      <c r="O63" s="689">
        <f t="shared" si="18"/>
        <v>44166</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5" customFormat="1" ht="15">
      <c r="A65" s="1986" t="s">
        <v>1904</v>
      </c>
      <c r="B65" s="1106"/>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2" t="s">
        <v>1716</v>
      </c>
      <c r="B67" s="463"/>
      <c r="C67" s="464"/>
      <c r="D67" s="465"/>
      <c r="E67" s="465"/>
      <c r="F67" s="465"/>
      <c r="G67" s="465"/>
      <c r="H67" s="465"/>
      <c r="I67" s="465"/>
      <c r="J67" s="465"/>
      <c r="K67" s="465"/>
      <c r="L67" s="465"/>
      <c r="M67" s="466"/>
      <c r="N67" s="466"/>
      <c r="O67" s="467"/>
      <c r="P67" s="2735"/>
      <c r="Q67" s="2735"/>
      <c r="R67" s="2658"/>
      <c r="S67" s="2658"/>
      <c r="T67" s="2658"/>
      <c r="U67" s="2658"/>
      <c r="V67" s="2658"/>
      <c r="W67" s="2658"/>
      <c r="X67" s="2658"/>
      <c r="Y67" s="2658"/>
      <c r="Z67" s="2658"/>
      <c r="AA67" s="2658"/>
      <c r="AB67" s="2658"/>
      <c r="AC67" s="2658"/>
      <c r="AD67" s="2658"/>
      <c r="AE67" s="2658"/>
    </row>
    <row r="68" spans="1:31" s="108" customFormat="1" ht="15">
      <c r="A68" s="468" t="s">
        <v>1681</v>
      </c>
      <c r="B68" s="457"/>
      <c r="C68" s="469" t="s">
        <v>1776</v>
      </c>
      <c r="D68" s="470"/>
      <c r="E68" s="470"/>
      <c r="F68" s="470"/>
      <c r="G68" s="470"/>
      <c r="H68" s="470"/>
      <c r="I68" s="470"/>
      <c r="J68" s="470"/>
      <c r="K68" s="470"/>
      <c r="L68" s="471"/>
      <c r="M68" s="472"/>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68"/>
      <c r="B69" s="457"/>
      <c r="C69" s="585">
        <v>100</v>
      </c>
      <c r="D69" s="459"/>
      <c r="E69" s="459"/>
      <c r="F69" s="459"/>
      <c r="G69" s="459"/>
      <c r="H69" s="459"/>
      <c r="I69" s="459"/>
      <c r="J69" s="459"/>
      <c r="K69" s="459"/>
      <c r="L69" s="459"/>
      <c r="M69" s="461"/>
      <c r="N69" s="2748"/>
      <c r="O69" s="2748"/>
      <c r="P69" s="2735"/>
      <c r="Q69" s="2735"/>
      <c r="R69" s="2658"/>
      <c r="S69" s="2658"/>
      <c r="T69" s="2658"/>
      <c r="U69" s="2658"/>
      <c r="V69" s="2658"/>
      <c r="W69" s="2658"/>
      <c r="X69" s="2658"/>
      <c r="Y69" s="2658"/>
      <c r="Z69" s="2658"/>
      <c r="AA69" s="2658"/>
      <c r="AB69" s="2658"/>
      <c r="AC69" s="2658"/>
      <c r="AD69" s="2658"/>
      <c r="AE69" s="2658"/>
    </row>
    <row r="70" spans="1:31">
      <c r="A70" s="474" t="s">
        <v>1719</v>
      </c>
      <c r="B70" s="475" t="s">
        <v>1685</v>
      </c>
      <c r="C70" s="477"/>
      <c r="D70" s="477"/>
      <c r="E70" s="477"/>
      <c r="F70" s="477"/>
      <c r="G70" s="477"/>
      <c r="H70" s="477"/>
      <c r="I70" s="477"/>
      <c r="J70" s="477"/>
      <c r="K70" s="478"/>
      <c r="L70" s="479"/>
      <c r="M70" s="480"/>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1"/>
      <c r="B71" s="482"/>
      <c r="C71" s="483"/>
      <c r="D71" s="483"/>
      <c r="E71" s="483"/>
      <c r="F71" s="483"/>
      <c r="G71" s="483"/>
      <c r="H71" s="483"/>
      <c r="I71" s="483"/>
      <c r="J71" s="483"/>
      <c r="K71" s="483"/>
      <c r="L71" s="483"/>
      <c r="M71" s="484"/>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1"/>
      <c r="B72" s="485" t="s">
        <v>1688</v>
      </c>
      <c r="C72" s="486"/>
      <c r="D72" s="486"/>
      <c r="E72" s="486"/>
      <c r="F72" s="486"/>
      <c r="G72" s="486"/>
      <c r="H72" s="486"/>
      <c r="I72" s="486"/>
      <c r="J72" s="486"/>
      <c r="K72" s="487"/>
      <c r="L72" s="488"/>
      <c r="M72" s="489"/>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1"/>
      <c r="B73" s="490"/>
      <c r="C73" s="491"/>
      <c r="D73" s="491"/>
      <c r="E73" s="491"/>
      <c r="F73" s="491"/>
      <c r="G73" s="491"/>
      <c r="H73" s="491"/>
      <c r="I73" s="491"/>
      <c r="J73" s="491"/>
      <c r="K73" s="491"/>
      <c r="L73" s="491"/>
      <c r="M73" s="492"/>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1"/>
      <c r="B75" s="495"/>
      <c r="C75" s="496"/>
      <c r="D75" s="496"/>
      <c r="E75" s="496"/>
      <c r="F75" s="496"/>
      <c r="G75" s="496"/>
      <c r="H75" s="496"/>
      <c r="I75" s="496"/>
      <c r="J75" s="496"/>
      <c r="K75" s="497"/>
      <c r="L75" s="498"/>
      <c r="M75" s="499"/>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0" customFormat="1" ht="15.75" thickTop="1">
      <c r="A77" s="500"/>
      <c r="B77" s="485">
        <f>B12</f>
        <v>111</v>
      </c>
      <c r="C77" s="501"/>
      <c r="D77" s="501"/>
      <c r="E77" s="501"/>
      <c r="F77" s="501"/>
      <c r="G77" s="501"/>
      <c r="H77" s="502"/>
      <c r="I77" s="502"/>
      <c r="J77" s="502"/>
      <c r="K77" s="502"/>
      <c r="L77" s="503"/>
      <c r="M77" s="504"/>
      <c r="N77" s="2751"/>
      <c r="O77" s="2751"/>
      <c r="P77" s="2775"/>
      <c r="Q77" s="2742"/>
      <c r="R77" s="2743"/>
      <c r="S77" s="2743"/>
      <c r="T77" s="2743"/>
      <c r="U77" s="2743"/>
      <c r="V77" s="2743"/>
      <c r="W77" s="2743"/>
      <c r="X77" s="2743"/>
      <c r="Y77" s="2743"/>
      <c r="Z77" s="2743"/>
      <c r="AA77" s="2743"/>
      <c r="AB77" s="2743"/>
      <c r="AC77" s="2743"/>
      <c r="AD77" s="2743"/>
      <c r="AE77" s="2743"/>
    </row>
    <row r="78" spans="1:31" s="420" customFormat="1" ht="15.75" thickBot="1">
      <c r="A78" s="500"/>
      <c r="B78" s="490"/>
      <c r="C78" s="507"/>
      <c r="D78" s="483"/>
      <c r="E78" s="483"/>
      <c r="F78" s="483"/>
      <c r="G78" s="483"/>
      <c r="H78" s="483"/>
      <c r="I78" s="483"/>
      <c r="J78" s="483"/>
      <c r="K78" s="483"/>
      <c r="L78" s="483"/>
      <c r="M78" s="484"/>
      <c r="N78" s="2750"/>
      <c r="O78" s="2750"/>
      <c r="P78" s="2775"/>
      <c r="Q78" s="2742"/>
      <c r="R78" s="2743"/>
      <c r="S78" s="2743"/>
      <c r="T78" s="2743"/>
      <c r="U78" s="2743"/>
      <c r="V78" s="2743"/>
      <c r="W78" s="2743"/>
      <c r="X78" s="2743"/>
      <c r="Y78" s="2743"/>
      <c r="Z78" s="2743"/>
      <c r="AA78" s="2743"/>
      <c r="AB78" s="2743"/>
      <c r="AC78" s="2743"/>
      <c r="AD78" s="2743"/>
      <c r="AE78" s="2743"/>
    </row>
    <row r="79" spans="1:31" s="420" customFormat="1" ht="15.75" thickTop="1">
      <c r="A79" s="500"/>
      <c r="B79" s="485">
        <f>B13</f>
        <v>111</v>
      </c>
      <c r="C79" s="501"/>
      <c r="D79" s="501"/>
      <c r="E79" s="501"/>
      <c r="F79" s="501"/>
      <c r="G79" s="501"/>
      <c r="H79" s="502"/>
      <c r="I79" s="502"/>
      <c r="J79" s="502"/>
      <c r="K79" s="502"/>
      <c r="L79" s="503"/>
      <c r="M79" s="504"/>
      <c r="N79" s="2751"/>
      <c r="O79" s="2751"/>
      <c r="P79" s="2719"/>
      <c r="Q79" s="2745"/>
      <c r="R79" s="2743"/>
      <c r="S79" s="2743"/>
      <c r="T79" s="2743"/>
      <c r="U79" s="2743"/>
      <c r="V79" s="2743"/>
      <c r="W79" s="2743"/>
      <c r="X79" s="2743"/>
      <c r="Y79" s="2743"/>
      <c r="Z79" s="2743"/>
      <c r="AA79" s="2743"/>
      <c r="AB79" s="2743"/>
      <c r="AC79" s="2743"/>
      <c r="AD79" s="2743"/>
      <c r="AE79" s="2743"/>
    </row>
    <row r="80" spans="1:31" s="420" customFormat="1" ht="15.75" thickBot="1">
      <c r="A80" s="500"/>
      <c r="B80" s="490"/>
      <c r="C80" s="507"/>
      <c r="D80" s="507"/>
      <c r="E80" s="507"/>
      <c r="F80" s="507"/>
      <c r="G80" s="507"/>
      <c r="H80" s="509"/>
      <c r="I80" s="509"/>
      <c r="J80" s="509"/>
      <c r="K80" s="509"/>
      <c r="L80" s="509"/>
      <c r="M80" s="510"/>
      <c r="N80" s="2751"/>
      <c r="O80" s="2751"/>
      <c r="P80" s="2775"/>
      <c r="Q80" s="2742"/>
      <c r="R80" s="2743"/>
      <c r="S80" s="2743"/>
      <c r="T80" s="2743"/>
      <c r="U80" s="2743"/>
      <c r="V80" s="2743"/>
      <c r="W80" s="2743"/>
      <c r="X80" s="2743"/>
      <c r="Y80" s="2743"/>
      <c r="Z80" s="2743"/>
      <c r="AA80" s="2743"/>
      <c r="AB80" s="2743"/>
      <c r="AC80" s="2743"/>
      <c r="AD80" s="2743"/>
      <c r="AE80" s="2743"/>
    </row>
    <row r="81" spans="1:31" s="420" customFormat="1" ht="15.75" thickTop="1">
      <c r="A81" s="500"/>
      <c r="B81" s="493">
        <f>B14</f>
        <v>111</v>
      </c>
      <c r="C81" s="470"/>
      <c r="D81" s="470"/>
      <c r="E81" s="470"/>
      <c r="F81" s="470"/>
      <c r="G81" s="470"/>
      <c r="H81" s="511"/>
      <c r="I81" s="511"/>
      <c r="J81" s="511"/>
      <c r="K81" s="511"/>
      <c r="L81" s="512"/>
      <c r="M81" s="513"/>
      <c r="N81" s="2751"/>
      <c r="O81" s="2751"/>
      <c r="P81" s="2780"/>
      <c r="Q81" s="2742"/>
      <c r="R81" s="2743"/>
      <c r="S81" s="2743"/>
      <c r="T81" s="2743"/>
      <c r="U81" s="2743"/>
      <c r="V81" s="2743"/>
      <c r="W81" s="2743"/>
      <c r="X81" s="2743"/>
      <c r="Y81" s="2743"/>
      <c r="Z81" s="2743"/>
      <c r="AA81" s="2743"/>
      <c r="AB81" s="2743"/>
      <c r="AC81" s="2743"/>
      <c r="AD81" s="2743"/>
      <c r="AE81" s="2743"/>
    </row>
    <row r="82" spans="1:31" s="420" customFormat="1" ht="15.75" thickBot="1">
      <c r="A82" s="515"/>
      <c r="B82" s="516"/>
      <c r="C82" s="517"/>
      <c r="D82" s="517"/>
      <c r="E82" s="517"/>
      <c r="F82" s="517"/>
      <c r="G82" s="517"/>
      <c r="H82" s="518"/>
      <c r="I82" s="518"/>
      <c r="J82" s="518"/>
      <c r="K82" s="518"/>
      <c r="L82" s="518"/>
      <c r="M82" s="519"/>
      <c r="N82" s="2751"/>
      <c r="O82" s="2751"/>
      <c r="P82" s="2775"/>
      <c r="Q82" s="2742"/>
      <c r="R82" s="2743"/>
      <c r="S82" s="2743"/>
      <c r="T82" s="2743"/>
      <c r="U82" s="2743"/>
      <c r="V82" s="2743"/>
      <c r="W82" s="2743"/>
      <c r="X82" s="2743"/>
      <c r="Y82" s="2743"/>
      <c r="Z82" s="2743"/>
      <c r="AA82" s="2743"/>
      <c r="AB82" s="2743"/>
      <c r="AC82" s="2743"/>
      <c r="AD82" s="2743"/>
      <c r="AE82" s="2743"/>
    </row>
    <row r="83" spans="1:31">
      <c r="A83" s="474" t="s">
        <v>1690</v>
      </c>
      <c r="B83" s="475" t="s">
        <v>1829</v>
      </c>
      <c r="C83" s="520" t="s">
        <v>1721</v>
      </c>
      <c r="D83" s="520" t="s">
        <v>1722</v>
      </c>
      <c r="E83" s="520" t="s">
        <v>1723</v>
      </c>
      <c r="F83" s="520" t="s">
        <v>1724</v>
      </c>
      <c r="G83" s="520" t="s">
        <v>1725</v>
      </c>
      <c r="H83" s="476"/>
      <c r="I83" s="476"/>
      <c r="J83" s="476"/>
      <c r="K83" s="521"/>
      <c r="L83" s="522"/>
      <c r="M83" s="523"/>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1"/>
      <c r="B85" s="485" t="s">
        <v>1726</v>
      </c>
      <c r="C85" s="525" t="s">
        <v>1721</v>
      </c>
      <c r="D85" s="525" t="s">
        <v>1722</v>
      </c>
      <c r="E85" s="525" t="s">
        <v>1723</v>
      </c>
      <c r="F85" s="525" t="s">
        <v>1724</v>
      </c>
      <c r="G85" s="525" t="s">
        <v>1725</v>
      </c>
      <c r="H85" s="486"/>
      <c r="I85" s="486"/>
      <c r="J85" s="486"/>
      <c r="K85" s="487"/>
      <c r="L85" s="488"/>
      <c r="M85" s="489"/>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6"/>
      <c r="B87" s="485" t="s">
        <v>1907</v>
      </c>
      <c r="C87" s="520" t="s">
        <v>1721</v>
      </c>
      <c r="D87" s="520" t="s">
        <v>1722</v>
      </c>
      <c r="E87" s="520" t="s">
        <v>1723</v>
      </c>
      <c r="F87" s="520" t="s">
        <v>1724</v>
      </c>
      <c r="G87" s="520" t="s">
        <v>1725</v>
      </c>
      <c r="H87" s="525"/>
      <c r="I87" s="525"/>
      <c r="J87" s="525"/>
      <c r="K87" s="525"/>
      <c r="L87" s="644"/>
      <c r="M87" s="568"/>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6"/>
      <c r="B89" s="485" t="s">
        <v>1908</v>
      </c>
      <c r="C89" s="520" t="s">
        <v>1721</v>
      </c>
      <c r="D89" s="520" t="s">
        <v>1722</v>
      </c>
      <c r="E89" s="520" t="s">
        <v>1723</v>
      </c>
      <c r="F89" s="520" t="s">
        <v>1724</v>
      </c>
      <c r="G89" s="520" t="s">
        <v>1725</v>
      </c>
      <c r="H89" s="525"/>
      <c r="I89" s="525"/>
      <c r="J89" s="525"/>
      <c r="K89" s="525"/>
      <c r="L89" s="525"/>
      <c r="M89" s="568"/>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50"/>
      <c r="O90" s="2750"/>
      <c r="P90" s="2774"/>
      <c r="Q90" s="2735"/>
      <c r="R90" s="2658"/>
      <c r="S90" s="2658"/>
      <c r="T90" s="2658"/>
      <c r="U90" s="2658"/>
      <c r="V90" s="2658"/>
      <c r="W90" s="2658"/>
      <c r="X90" s="2658"/>
      <c r="Y90" s="2658"/>
      <c r="Z90" s="2658"/>
      <c r="AA90" s="2658"/>
      <c r="AB90" s="2658"/>
      <c r="AC90" s="2658"/>
      <c r="AD90" s="2658"/>
      <c r="AE90" s="2658"/>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1"/>
      <c r="O91" s="2751"/>
      <c r="P91" s="2775"/>
      <c r="Q91" s="2742"/>
      <c r="R91" s="2743"/>
      <c r="S91" s="2743"/>
      <c r="T91" s="2743"/>
      <c r="U91" s="2743"/>
      <c r="V91" s="2743"/>
      <c r="W91" s="2743"/>
      <c r="X91" s="2743"/>
      <c r="Y91" s="2743"/>
      <c r="Z91" s="2743"/>
      <c r="AA91" s="2743"/>
      <c r="AB91" s="2743"/>
      <c r="AC91" s="2743"/>
      <c r="AD91" s="2743"/>
      <c r="AE91" s="2743"/>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1"/>
      <c r="O92" s="2751"/>
      <c r="P92" s="2775"/>
      <c r="Q92" s="2742"/>
      <c r="R92" s="2743"/>
      <c r="S92" s="2743"/>
      <c r="T92" s="2743"/>
      <c r="U92" s="2743"/>
      <c r="V92" s="2743"/>
      <c r="W92" s="2743"/>
      <c r="X92" s="2743"/>
      <c r="Y92" s="2743"/>
      <c r="Z92" s="2743"/>
      <c r="AA92" s="2743"/>
      <c r="AB92" s="2743"/>
      <c r="AC92" s="2743"/>
      <c r="AD92" s="2743"/>
      <c r="AE92" s="2743"/>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1"/>
      <c r="O93" s="2751"/>
      <c r="P93" s="2775"/>
      <c r="Q93" s="2742"/>
      <c r="R93" s="2743"/>
      <c r="S93" s="2743"/>
      <c r="T93" s="2743"/>
      <c r="U93" s="2743"/>
      <c r="V93" s="2743"/>
      <c r="W93" s="2743"/>
      <c r="X93" s="2743"/>
      <c r="Y93" s="2743"/>
      <c r="Z93" s="2743"/>
      <c r="AA93" s="2743"/>
      <c r="AB93" s="2743"/>
      <c r="AC93" s="2743"/>
      <c r="AD93" s="2743"/>
      <c r="AE93" s="2743"/>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1"/>
      <c r="B97" s="485" t="s">
        <v>1815</v>
      </c>
      <c r="C97" s="501"/>
      <c r="D97" s="501"/>
      <c r="E97" s="501"/>
      <c r="F97" s="501"/>
      <c r="G97" s="501"/>
      <c r="H97" s="530"/>
      <c r="I97" s="530"/>
      <c r="J97" s="530"/>
      <c r="K97" s="531"/>
      <c r="L97" s="532"/>
      <c r="M97" s="533"/>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1"/>
      <c r="B99" s="485" t="s">
        <v>1873</v>
      </c>
      <c r="C99" s="530"/>
      <c r="D99" s="530"/>
      <c r="E99" s="530"/>
      <c r="F99" s="530"/>
      <c r="G99" s="530"/>
      <c r="H99" s="530"/>
      <c r="I99" s="530"/>
      <c r="J99" s="530"/>
      <c r="K99" s="531"/>
      <c r="L99" s="532"/>
      <c r="M99" s="533"/>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1"/>
      <c r="B101" s="493">
        <f>B31</f>
        <v>111</v>
      </c>
      <c r="C101" s="501"/>
      <c r="D101" s="501"/>
      <c r="E101" s="501"/>
      <c r="F101" s="501"/>
      <c r="G101" s="534"/>
      <c r="H101" s="534"/>
      <c r="I101" s="534"/>
      <c r="J101" s="534"/>
      <c r="K101" s="535"/>
      <c r="L101" s="536"/>
      <c r="M101" s="537"/>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1"/>
      <c r="B102" s="516"/>
      <c r="C102" s="507"/>
      <c r="D102" s="483"/>
      <c r="E102" s="483"/>
      <c r="F102" s="483"/>
      <c r="G102" s="538"/>
      <c r="H102" s="538"/>
      <c r="I102" s="538"/>
      <c r="J102" s="538"/>
      <c r="K102" s="538"/>
      <c r="L102" s="538"/>
      <c r="M102" s="539"/>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1"/>
      <c r="B103" s="485">
        <f>B32</f>
        <v>111</v>
      </c>
      <c r="C103" s="501"/>
      <c r="D103" s="501"/>
      <c r="E103" s="501"/>
      <c r="F103" s="501"/>
      <c r="G103" s="530"/>
      <c r="H103" s="530"/>
      <c r="I103" s="530"/>
      <c r="J103" s="530"/>
      <c r="K103" s="531"/>
      <c r="L103" s="532"/>
      <c r="M103" s="533"/>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1"/>
      <c r="B104" s="490"/>
      <c r="C104" s="507"/>
      <c r="D104" s="507"/>
      <c r="E104" s="507"/>
      <c r="F104" s="507"/>
      <c r="G104" s="483"/>
      <c r="H104" s="483"/>
      <c r="I104" s="483"/>
      <c r="J104" s="483"/>
      <c r="K104" s="483"/>
      <c r="L104" s="483"/>
      <c r="M104" s="484"/>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0" customFormat="1" ht="15" thickTop="1">
      <c r="A105" s="540"/>
      <c r="B105" s="541">
        <f>B33</f>
        <v>111</v>
      </c>
      <c r="C105" s="470"/>
      <c r="D105" s="470"/>
      <c r="E105" s="470"/>
      <c r="F105" s="470"/>
      <c r="G105" s="542"/>
      <c r="H105" s="542"/>
      <c r="I105" s="542"/>
      <c r="J105" s="543"/>
      <c r="K105" s="543"/>
      <c r="L105" s="544"/>
      <c r="M105" s="545"/>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0" customFormat="1" ht="15.75" thickBot="1">
      <c r="A106" s="500"/>
      <c r="B106" s="493"/>
      <c r="C106" s="517"/>
      <c r="D106" s="517"/>
      <c r="E106" s="517"/>
      <c r="F106" s="517"/>
      <c r="G106" s="623"/>
      <c r="H106" s="623"/>
      <c r="I106" s="623"/>
      <c r="J106" s="623"/>
      <c r="K106" s="623"/>
      <c r="L106" s="623"/>
      <c r="M106" s="645"/>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1"/>
      <c r="B108" s="493"/>
      <c r="C108" s="542"/>
      <c r="D108" s="542"/>
      <c r="E108" s="542"/>
      <c r="F108" s="542"/>
      <c r="G108" s="542"/>
      <c r="H108" s="542"/>
      <c r="I108" s="542"/>
      <c r="J108" s="543"/>
      <c r="K108" s="543"/>
      <c r="L108" s="544"/>
      <c r="M108" s="545"/>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1"/>
      <c r="B109" s="490"/>
      <c r="C109" s="517"/>
      <c r="D109" s="538"/>
      <c r="E109" s="538"/>
      <c r="F109" s="538"/>
      <c r="G109" s="538"/>
      <c r="H109" s="538"/>
      <c r="I109" s="538"/>
      <c r="J109" s="538"/>
      <c r="K109" s="538"/>
      <c r="L109" s="538"/>
      <c r="M109" s="539"/>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6"/>
      <c r="B110" s="485" t="s">
        <v>1914</v>
      </c>
      <c r="C110" s="530"/>
      <c r="D110" s="530"/>
      <c r="E110" s="530"/>
      <c r="F110" s="530"/>
      <c r="G110" s="530"/>
      <c r="H110" s="530"/>
      <c r="I110" s="530"/>
      <c r="J110" s="530"/>
      <c r="K110" s="531"/>
      <c r="L110" s="532"/>
      <c r="M110" s="533"/>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0" customFormat="1" ht="15" thickTop="1">
      <c r="A112" s="540"/>
      <c r="B112" s="485" t="s">
        <v>1916</v>
      </c>
      <c r="C112" s="501"/>
      <c r="D112" s="501"/>
      <c r="E112" s="501"/>
      <c r="F112" s="501"/>
      <c r="G112" s="501"/>
      <c r="H112" s="530"/>
      <c r="I112" s="530"/>
      <c r="J112" s="530"/>
      <c r="K112" s="531"/>
      <c r="L112" s="532"/>
      <c r="M112" s="533"/>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6"/>
      <c r="B114" s="485" t="s">
        <v>1917</v>
      </c>
      <c r="C114" s="501"/>
      <c r="D114" s="501"/>
      <c r="E114" s="530"/>
      <c r="F114" s="530"/>
      <c r="G114" s="530"/>
      <c r="H114" s="530"/>
      <c r="I114" s="530"/>
      <c r="J114" s="530"/>
      <c r="K114" s="531"/>
      <c r="L114" s="532"/>
      <c r="M114" s="533"/>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6"/>
      <c r="B116" s="485">
        <f>B38</f>
        <v>111</v>
      </c>
      <c r="C116" s="501"/>
      <c r="D116" s="501"/>
      <c r="E116" s="501"/>
      <c r="F116" s="501"/>
      <c r="G116" s="501"/>
      <c r="H116" s="530"/>
      <c r="I116" s="530"/>
      <c r="J116" s="530"/>
      <c r="K116" s="531"/>
      <c r="L116" s="532"/>
      <c r="M116" s="533"/>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1"/>
      <c r="B117" s="490"/>
      <c r="C117" s="507"/>
      <c r="D117" s="483"/>
      <c r="E117" s="483"/>
      <c r="F117" s="483"/>
      <c r="G117" s="483"/>
      <c r="H117" s="483"/>
      <c r="I117" s="483"/>
      <c r="J117" s="483"/>
      <c r="K117" s="483"/>
      <c r="L117" s="483"/>
      <c r="M117" s="484"/>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6"/>
      <c r="B118" s="485">
        <f>B39</f>
        <v>111</v>
      </c>
      <c r="C118" s="501"/>
      <c r="D118" s="501"/>
      <c r="E118" s="501"/>
      <c r="F118" s="501"/>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1"/>
      <c r="B119" s="490"/>
      <c r="C119" s="507"/>
      <c r="D119" s="507"/>
      <c r="E119" s="507"/>
      <c r="F119" s="507"/>
      <c r="G119" s="483"/>
      <c r="H119" s="483"/>
      <c r="I119" s="483"/>
      <c r="J119" s="483"/>
      <c r="K119" s="483"/>
      <c r="L119" s="483"/>
      <c r="M119" s="484"/>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0" customFormat="1" ht="15" thickTop="1">
      <c r="A120" s="540"/>
      <c r="B120" s="485">
        <f>B40</f>
        <v>111</v>
      </c>
      <c r="C120" s="470"/>
      <c r="D120" s="470"/>
      <c r="E120" s="470"/>
      <c r="F120" s="470"/>
      <c r="G120" s="502"/>
      <c r="H120" s="502"/>
      <c r="I120" s="502"/>
      <c r="J120" s="502"/>
      <c r="K120" s="502"/>
      <c r="L120" s="503"/>
      <c r="M120" s="504"/>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0" customFormat="1" ht="15.75" thickBot="1">
      <c r="A121" s="515"/>
      <c r="B121" s="646"/>
      <c r="C121" s="517"/>
      <c r="D121" s="517"/>
      <c r="E121" s="517"/>
      <c r="F121" s="517"/>
      <c r="G121" s="538"/>
      <c r="H121" s="538"/>
      <c r="I121" s="538"/>
      <c r="J121" s="538"/>
      <c r="K121" s="538"/>
      <c r="L121" s="538"/>
      <c r="M121" s="539"/>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806" t="s">
        <v>2084</v>
      </c>
      <c r="D1" s="3807"/>
      <c r="E1" s="3807"/>
      <c r="F1" s="3807"/>
      <c r="G1" s="3807"/>
      <c r="H1" s="3807"/>
      <c r="I1" s="3807"/>
      <c r="J1" s="3807"/>
      <c r="K1" s="3807"/>
      <c r="L1" s="3807"/>
      <c r="M1" s="3807"/>
      <c r="N1" s="3807"/>
      <c r="O1" s="3807"/>
      <c r="P1" s="3807"/>
      <c r="Q1" s="3807"/>
      <c r="R1" s="3807"/>
      <c r="S1" s="3808"/>
      <c r="T1" s="980" t="s">
        <v>2085</v>
      </c>
    </row>
    <row r="2" spans="1:45" s="653" customFormat="1">
      <c r="A2" s="981"/>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983"/>
      <c r="B3" s="654"/>
      <c r="C3" s="655"/>
      <c r="D3" s="656"/>
      <c r="E3" s="656"/>
      <c r="F3" s="1302"/>
      <c r="G3" s="1302"/>
      <c r="H3" s="1302"/>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2095</v>
      </c>
      <c r="E19" s="1337"/>
      <c r="F19" s="1337"/>
      <c r="G19" s="1337"/>
      <c r="H19" s="1056"/>
      <c r="I19" s="157"/>
      <c r="J19" s="157"/>
      <c r="K19" s="157"/>
      <c r="L19" s="157"/>
      <c r="M19" s="157"/>
      <c r="N19" s="157"/>
      <c r="O19" s="157"/>
      <c r="P19" s="157"/>
      <c r="Q19" s="157"/>
      <c r="R19" s="715"/>
      <c r="S19" s="127"/>
    </row>
    <row r="20" spans="1:45" ht="16.5" thickBot="1">
      <c r="A20" s="660" t="s">
        <v>2096</v>
      </c>
      <c r="B20" s="292" t="e">
        <f ca="1">IF(D20="——",S22,S22-F20)</f>
        <v>#REF!</v>
      </c>
      <c r="C20" s="157"/>
      <c r="D20" s="2148"/>
      <c r="E20" s="1338"/>
      <c r="F20" s="980" t="e">
        <f ca="1">SUMIF(INDIRECT("'"&amp;H20&amp;"'"&amp;"!A:A"),"承租人权益价值",INDIRECT("'"&amp;H20&amp;"'"&amp;"!c:c"))</f>
        <v>#REF!</v>
      </c>
      <c r="G20" s="980" t="s">
        <v>2097</v>
      </c>
      <c r="H20" s="2149"/>
      <c r="I20" s="157"/>
      <c r="J20" s="157"/>
      <c r="K20" s="157"/>
      <c r="L20" s="157"/>
      <c r="M20" s="157"/>
      <c r="N20" s="157"/>
      <c r="O20" s="157"/>
      <c r="P20" s="157"/>
      <c r="Q20" s="157"/>
      <c r="R20" s="715"/>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5"/>
      <c r="S21" s="127"/>
    </row>
    <row r="22" spans="1:45">
      <c r="A22" s="314" t="s">
        <v>2099</v>
      </c>
      <c r="B22" s="21">
        <f>SUM(B24:B10000)</f>
        <v>0</v>
      </c>
      <c r="C22" s="3803" t="s">
        <v>27</v>
      </c>
      <c r="D22" s="3804"/>
      <c r="E22" s="3804"/>
      <c r="F22" s="3804"/>
      <c r="G22" s="3804"/>
      <c r="H22" s="3804"/>
      <c r="I22" s="3804"/>
      <c r="J22" s="3804"/>
      <c r="K22" s="3804"/>
      <c r="L22" s="3804"/>
      <c r="M22" s="3804"/>
      <c r="N22" s="3804"/>
      <c r="O22" s="3804"/>
      <c r="P22" s="3804"/>
      <c r="Q22" s="3805"/>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7" customFormat="1">
      <c r="A24" s="663" t="s">
        <v>2105</v>
      </c>
      <c r="B24" s="663"/>
      <c r="C24" s="2806">
        <v>1</v>
      </c>
      <c r="D24" s="2807"/>
      <c r="E24" s="2806">
        <v>1</v>
      </c>
      <c r="F24" s="2807"/>
      <c r="G24" s="2806">
        <v>1</v>
      </c>
      <c r="H24" s="2807"/>
      <c r="I24" s="2806">
        <v>1</v>
      </c>
      <c r="J24" s="2807"/>
      <c r="K24" s="2806">
        <v>1</v>
      </c>
      <c r="L24" s="2807"/>
      <c r="M24" s="2806">
        <v>1</v>
      </c>
      <c r="N24" s="2807"/>
      <c r="O24" s="2806">
        <v>1</v>
      </c>
      <c r="P24" s="2807"/>
      <c r="Q24" s="2806">
        <v>1</v>
      </c>
      <c r="R24" s="666"/>
      <c r="S24" s="664">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9">
        <f ca="1">SUMIF(B6:B13,"&lt;&gt;#ref!",B6:B13)</f>
        <v>44508</v>
      </c>
      <c r="C2" s="2142" t="s">
        <v>2074</v>
      </c>
      <c r="D2" s="2142" t="s">
        <v>2075</v>
      </c>
      <c r="E2" s="2609">
        <f ca="1">SUMIF(E6:E13,"&lt;&gt;#ref!",E6:E13)</f>
        <v>55858.869999999981</v>
      </c>
      <c r="F2" s="2789"/>
      <c r="G2" s="2789"/>
      <c r="H2" s="2789"/>
      <c r="I2" s="2789"/>
      <c r="J2" s="2789"/>
      <c r="K2" s="2789"/>
      <c r="L2" s="2789"/>
      <c r="M2" s="2789"/>
      <c r="N2" s="2789"/>
      <c r="O2" s="2789"/>
      <c r="P2" s="2789"/>
    </row>
    <row r="3" spans="1:16" ht="15.75">
      <c r="A3" s="2142" t="s">
        <v>2076</v>
      </c>
      <c r="B3" s="2599">
        <f ca="1">ROUND(B2*10000/E2,0)</f>
        <v>7968</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3"/>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44508</v>
      </c>
      <c r="C6" s="2142" t="s">
        <v>2074</v>
      </c>
      <c r="D6" s="2789"/>
      <c r="E6" s="2609">
        <f ca="1">SUMIF(INDIRECT("'"&amp;A6&amp;"'"&amp;"!C:C"),"建筑面积",INDIRECT("'"&amp;A6&amp;"'"&amp;"!D:D"))</f>
        <v>55858.869999999981</v>
      </c>
      <c r="F6" s="2789"/>
      <c r="G6" s="2789"/>
      <c r="H6" s="2789"/>
      <c r="I6" s="2789"/>
      <c r="J6" s="2789"/>
      <c r="K6" s="2789"/>
      <c r="L6" s="2789"/>
      <c r="M6" s="2789"/>
      <c r="N6" s="2789"/>
      <c r="O6" s="2789"/>
      <c r="P6" s="2789"/>
    </row>
    <row r="7" spans="1:16" ht="15.75">
      <c r="A7" s="2606"/>
      <c r="B7" s="2599" t="e">
        <f ca="1">SUMIF(INDIRECT("'"&amp;A7&amp;"'"&amp;"!A:A"),"总价",INDIRECT("'"&amp;A7&amp;"'"&amp;"!B:B"))</f>
        <v>#REF!</v>
      </c>
      <c r="C7" s="2142"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64" sqref="N64"/>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c r="C1" s="196"/>
      <c r="D1" s="196"/>
      <c r="E1" s="196"/>
      <c r="F1" s="196"/>
      <c r="G1" s="1123">
        <f>MATCH(B1,'数据-取费表'!A6:A16,0)+5</f>
        <v>7</v>
      </c>
    </row>
    <row r="2" spans="1:9" s="198" customFormat="1" ht="18" customHeight="1">
      <c r="A2" s="199" t="s">
        <v>1462</v>
      </c>
      <c r="B2" s="200">
        <f ca="1">IF(D2="——",C52,C52-E2)</f>
        <v>101412</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18155</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45812</v>
      </c>
      <c r="D5" s="209" t="s">
        <v>1469</v>
      </c>
      <c r="E5" s="210" t="s">
        <v>1470</v>
      </c>
      <c r="F5" s="210" t="s">
        <v>1471</v>
      </c>
      <c r="G5" s="211"/>
    </row>
    <row r="6" spans="1:9" s="212" customFormat="1" ht="13.5" customHeight="1">
      <c r="A6" s="775" t="s">
        <v>1472</v>
      </c>
      <c r="B6" s="213" t="s">
        <v>1473</v>
      </c>
      <c r="C6" s="214">
        <f>基准地价修正!E33</f>
        <v>43372</v>
      </c>
      <c r="D6" s="215"/>
      <c r="E6" s="216"/>
      <c r="F6" s="216"/>
      <c r="G6" s="217"/>
    </row>
    <row r="7" spans="1:9" s="212" customFormat="1" ht="13.5" customHeight="1">
      <c r="A7" s="775" t="s">
        <v>1474</v>
      </c>
      <c r="B7" s="213" t="s">
        <v>1475</v>
      </c>
      <c r="C7" s="218">
        <f>ROUND(C6*F7,0)</f>
        <v>1323</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1117</v>
      </c>
      <c r="D8" s="220"/>
      <c r="E8" s="218"/>
      <c r="F8" s="219"/>
      <c r="G8" s="1853" t="s">
        <v>3421</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160</v>
      </c>
      <c r="F9" s="219"/>
      <c r="G9" s="1854" t="s">
        <v>3422</v>
      </c>
      <c r="H9" s="1134"/>
      <c r="I9" s="1855" t="s">
        <v>1479</v>
      </c>
    </row>
    <row r="10" spans="1:9" s="212" customFormat="1" ht="13.5" customHeight="1">
      <c r="A10" s="776" t="s">
        <v>356</v>
      </c>
      <c r="B10" s="222" t="s">
        <v>1480</v>
      </c>
      <c r="C10" s="223">
        <f ca="1">ROUND(D10*E10/10000,0)</f>
        <v>1117</v>
      </c>
      <c r="D10" s="842">
        <f ca="1">IF(B1="",'数据-汇总表'!E6,IF(INDIRECT("'数据-取费表'!c"&amp;$G$1)="住宅",INDIRECT("'数据-取费表'!s"&amp;$G$1),INDIRECT("'数据-取费表'!k"&amp;$G$1)+INDIRECT("'数据-取费表'!s"&amp;$G$1)))</f>
        <v>55858.869999999981</v>
      </c>
      <c r="E10" s="223">
        <f>'数据-取费表'!B28</f>
        <v>200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55858.869999999981</v>
      </c>
      <c r="E19" s="209">
        <f>'数据-取费表'!B31</f>
        <v>200</v>
      </c>
      <c r="F19" s="229"/>
      <c r="G19" s="1853" t="s">
        <v>3423</v>
      </c>
    </row>
    <row r="20" spans="1:7" s="212" customFormat="1" ht="13.5" customHeight="1">
      <c r="A20" s="253" t="s">
        <v>1493</v>
      </c>
      <c r="B20" s="208" t="s">
        <v>1494</v>
      </c>
      <c r="C20" s="230">
        <f ca="1">ROUND((C5+C19)*F20,0)</f>
        <v>1374</v>
      </c>
      <c r="D20" s="230"/>
      <c r="E20" s="230"/>
      <c r="F20" s="231">
        <f>'数据-取费表'!B37</f>
        <v>0.03</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1">
        <f ca="1">ROUND(SUM(C23:C25),0)</f>
        <v>3263</v>
      </c>
      <c r="D22" s="233">
        <f ca="1">C26</f>
        <v>6.9999999999999999E-4</v>
      </c>
      <c r="E22" s="234" t="s">
        <v>1498</v>
      </c>
      <c r="F22" s="235">
        <f ca="1">'数据-取费表'!B40</f>
        <v>3.4500000000000003E-2</v>
      </c>
      <c r="G22" s="232" t="str">
        <f>IF('数据-取费表'!B22&lt;=1,"单利计息","复利计息")</f>
        <v>复利计息</v>
      </c>
    </row>
    <row r="23" spans="1:7" s="212" customFormat="1" ht="13.5" customHeight="1">
      <c r="A23" s="777" t="s">
        <v>1502</v>
      </c>
      <c r="B23" s="213" t="s">
        <v>1503</v>
      </c>
      <c r="C23" s="1102">
        <f ca="1">ROUND(IF('数据-取费表'!B22&lt;=1,C5*F22*'数据-取费表'!B23,C5*(POWER((1+F22),'数据-取费表'!B23)-1)),0)</f>
        <v>3216</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f ca="1">ROUND(IF('数据-取费表'!B22&lt;=1,C20*F22*'数据-取费表'!B23/2,C20*(POWER((1+F22),'数据-取费表'!B23/2)-1)),0)</f>
        <v>47</v>
      </c>
      <c r="D25" s="236"/>
      <c r="E25" s="239"/>
      <c r="F25" s="237"/>
      <c r="G25" s="240" t="s">
        <v>1510</v>
      </c>
    </row>
    <row r="26" spans="1:7" s="212" customFormat="1">
      <c r="A26" s="777" t="s">
        <v>350</v>
      </c>
      <c r="B26" s="213" t="s">
        <v>1511</v>
      </c>
      <c r="C26" s="236">
        <f ca="1">ROUND(IF('数据-取费表'!B22&lt;=1,F21*F22*'数据-取费表'!B23/2,F21*(POWER((1+F22),'数据-取费表'!B23/2)-1)),4)</f>
        <v>6.9999999999999999E-4</v>
      </c>
      <c r="D26" s="236"/>
      <c r="E26" s="239"/>
      <c r="F26" s="237"/>
      <c r="G26" s="241"/>
    </row>
    <row r="27" spans="1:7" s="212" customFormat="1" ht="24.75">
      <c r="A27" s="253" t="s">
        <v>1512</v>
      </c>
      <c r="B27" s="242" t="s">
        <v>1513</v>
      </c>
      <c r="C27" s="243">
        <f ca="1">C28</f>
        <v>7078</v>
      </c>
      <c r="D27" s="233">
        <f ca="1">C29</f>
        <v>3.0000000000000001E-3</v>
      </c>
      <c r="E27" s="234" t="s">
        <v>1514</v>
      </c>
      <c r="F27" s="244">
        <f ca="1">IF(B1="",'数据-取费表'!Q16,INDIRECT("'数据-取费表'!q"&amp;$G$1))</f>
        <v>0.15</v>
      </c>
      <c r="G27" s="245" t="s">
        <v>1515</v>
      </c>
    </row>
    <row r="28" spans="1:7" s="212" customFormat="1" ht="13.5" customHeight="1">
      <c r="A28" s="777" t="s">
        <v>346</v>
      </c>
      <c r="B28" s="246" t="s">
        <v>1516</v>
      </c>
      <c r="C28" s="247">
        <f ca="1">ROUND((C5+C19+C20)*F27*'数据-取费表'!B21/'数据-取费表'!B20,0)</f>
        <v>7078</v>
      </c>
      <c r="D28" s="233"/>
      <c r="E28" s="234"/>
      <c r="F28" s="244"/>
      <c r="G28" s="245"/>
    </row>
    <row r="29" spans="1:7" s="212" customFormat="1" ht="13.5" customHeight="1">
      <c r="A29" s="777" t="s">
        <v>347</v>
      </c>
      <c r="B29" s="246" t="s">
        <v>1517</v>
      </c>
      <c r="C29" s="236">
        <f ca="1">ROUND(C21*F27*'数据-取费表'!B21/'数据-取费表'!B20,4)</f>
        <v>3.0000000000000001E-3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62326</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33989</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30722</v>
      </c>
      <c r="D34" s="215"/>
      <c r="E34" s="218"/>
      <c r="F34" s="255">
        <f ca="1">IF('数据-取费表'!B24=0,1,IF(B1="",'数据-取费表'!N16,INDIRECT("'数据-取费表'!n"&amp;$G$1)))</f>
        <v>1</v>
      </c>
      <c r="G34" s="217" t="s">
        <v>1526</v>
      </c>
    </row>
    <row r="35" spans="1:7" ht="13.5" customHeight="1">
      <c r="A35" s="777" t="s">
        <v>351</v>
      </c>
      <c r="B35" s="213" t="s">
        <v>1527</v>
      </c>
      <c r="C35" s="218">
        <f ca="1">ROUND(C34*F35,0)</f>
        <v>1536</v>
      </c>
      <c r="D35" s="218"/>
      <c r="E35" s="218"/>
      <c r="F35" s="257">
        <f>'数据-取费表'!B33</f>
        <v>0.05</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1117</v>
      </c>
      <c r="D37" s="215">
        <f ca="1">D19</f>
        <v>55858.869999999981</v>
      </c>
      <c r="E37" s="247">
        <f>'数据-取费表'!B35</f>
        <v>200</v>
      </c>
      <c r="F37" s="257"/>
      <c r="G37" s="259" t="s">
        <v>1532</v>
      </c>
    </row>
    <row r="38" spans="1:7" ht="13.5" customHeight="1">
      <c r="A38" s="777" t="s">
        <v>354</v>
      </c>
      <c r="B38" s="213" t="s">
        <v>1533</v>
      </c>
      <c r="C38" s="218">
        <f ca="1">ROUND(C34*F38,0)</f>
        <v>614</v>
      </c>
      <c r="D38" s="218"/>
      <c r="E38" s="218"/>
      <c r="F38" s="257">
        <f>'数据-取费表'!B36</f>
        <v>0.02</v>
      </c>
      <c r="G38" s="217" t="s">
        <v>1528</v>
      </c>
    </row>
    <row r="39" spans="1:7" s="212" customFormat="1" ht="13.5" customHeight="1">
      <c r="A39" s="253" t="s">
        <v>1534</v>
      </c>
      <c r="B39" s="208" t="s">
        <v>1535</v>
      </c>
      <c r="C39" s="230">
        <f ca="1">ROUND(C33*F20,0)</f>
        <v>1020</v>
      </c>
      <c r="D39" s="230"/>
      <c r="E39" s="230"/>
      <c r="F39" s="231">
        <f>F20</f>
        <v>0.03</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1208</v>
      </c>
      <c r="D41" s="233">
        <f ca="1">C44</f>
        <v>6.9999999999999999E-4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ROUND(IF('数据-取费表'!B22&lt;=1,C33*F22*'数据-取费表'!B21/2,C33*(POWER((1+F22),'数据-取费表'!B21/2)-1)),0)</f>
        <v>1173</v>
      </c>
      <c r="D42" s="236"/>
      <c r="E42" s="236"/>
      <c r="F42" s="237"/>
      <c r="G42" s="3703" t="s">
        <v>1544</v>
      </c>
    </row>
    <row r="43" spans="1:7" ht="13.5" customHeight="1">
      <c r="A43" s="777" t="s">
        <v>347</v>
      </c>
      <c r="B43" s="213" t="s">
        <v>1545</v>
      </c>
      <c r="C43" s="236">
        <f ca="1">ROUND(IF('数据-取费表'!B22&lt;=1,C39*F22*'数据-取费表'!B21/2,C39*(POWER((1+F22),'数据-取费表'!B21/2)-1)),0)</f>
        <v>35</v>
      </c>
      <c r="D43" s="236"/>
      <c r="E43" s="236"/>
      <c r="F43" s="237"/>
      <c r="G43" s="3704"/>
    </row>
    <row r="44" spans="1:7" ht="13.5" customHeight="1">
      <c r="A44" s="777" t="s">
        <v>348</v>
      </c>
      <c r="B44" s="213" t="s">
        <v>1546</v>
      </c>
      <c r="C44" s="236">
        <f ca="1">ROUND(IF('数据-取费表'!B22&lt;=1,C40*F22*'数据-取费表'!B21/2,C40*(POWER((1+F22),'数据-取费表'!B21/2)-1)),4)</f>
        <v>6.9999999999999999E-4</v>
      </c>
      <c r="D44" s="236"/>
      <c r="E44" s="236"/>
      <c r="F44" s="237"/>
      <c r="G44" s="3705"/>
    </row>
    <row r="45" spans="1:7" s="212" customFormat="1" ht="13.5" customHeight="1">
      <c r="A45" s="253" t="s">
        <v>1547</v>
      </c>
      <c r="B45" s="242" t="s">
        <v>1513</v>
      </c>
      <c r="C45" s="243">
        <f ca="1">C46</f>
        <v>5251</v>
      </c>
      <c r="D45" s="233">
        <f ca="1">C47</f>
        <v>3.0000000000000001E-3</v>
      </c>
      <c r="E45" s="234" t="s">
        <v>1539</v>
      </c>
      <c r="F45" s="244">
        <f ca="1">F27</f>
        <v>0.15</v>
      </c>
      <c r="G45" s="245" t="s">
        <v>1548</v>
      </c>
    </row>
    <row r="46" spans="1:7" s="212" customFormat="1" ht="13.5" customHeight="1">
      <c r="A46" s="777" t="s">
        <v>346</v>
      </c>
      <c r="B46" s="246" t="s">
        <v>1549</v>
      </c>
      <c r="C46" s="247">
        <f ca="1">ROUND((C33+C39)*F27,0)</f>
        <v>5251</v>
      </c>
      <c r="D46" s="261"/>
      <c r="E46" s="234"/>
      <c r="F46" s="244"/>
      <c r="G46" s="245"/>
    </row>
    <row r="47" spans="1:7" s="212" customFormat="1" ht="13.5" customHeight="1">
      <c r="A47" s="777" t="s">
        <v>347</v>
      </c>
      <c r="B47" s="246" t="s">
        <v>1550</v>
      </c>
      <c r="C47" s="236">
        <f ca="1">ROUND(C40*F27,4)</f>
        <v>3.0000000000000001E-3</v>
      </c>
      <c r="D47" s="261"/>
      <c r="E47" s="234"/>
      <c r="F47" s="244"/>
      <c r="G47" s="245"/>
    </row>
    <row r="48" spans="1:7" s="212" customFormat="1" ht="13.5" customHeight="1">
      <c r="A48" s="253" t="s">
        <v>1512</v>
      </c>
      <c r="B48" s="208" t="s">
        <v>1551</v>
      </c>
      <c r="C48" s="1324">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44927</v>
      </c>
      <c r="D49" s="230"/>
      <c r="E49" s="230"/>
      <c r="F49" s="262"/>
      <c r="G49" s="232" t="s">
        <v>1554</v>
      </c>
    </row>
    <row r="50" spans="1:7" s="256" customFormat="1" ht="24">
      <c r="A50" s="253" t="s">
        <v>1555</v>
      </c>
      <c r="B50" s="208" t="s">
        <v>1556</v>
      </c>
      <c r="C50" s="230"/>
      <c r="D50" s="230"/>
      <c r="E50" s="230"/>
      <c r="F50" s="262">
        <f>IF('数据-取费表'!B24=0,'数据-取费表'!N16,1)</f>
        <v>0.87</v>
      </c>
      <c r="G50" s="245" t="s">
        <v>1557</v>
      </c>
    </row>
    <row r="51" spans="1:7" ht="16.5" customHeight="1">
      <c r="A51" s="253" t="s">
        <v>1558</v>
      </c>
      <c r="B51" s="208" t="s">
        <v>1559</v>
      </c>
      <c r="C51" s="230">
        <f ca="1">ROUND(C49*F50,0)</f>
        <v>39086</v>
      </c>
      <c r="D51" s="230"/>
      <c r="E51" s="230"/>
      <c r="F51" s="262"/>
      <c r="G51" s="232" t="s">
        <v>1560</v>
      </c>
    </row>
    <row r="52" spans="1:7" s="206" customFormat="1" ht="16.5" thickBot="1">
      <c r="A52" s="263" t="s">
        <v>1561</v>
      </c>
      <c r="B52" s="264"/>
      <c r="C52" s="265">
        <f ca="1">C31+C51</f>
        <v>101412</v>
      </c>
      <c r="D52" s="264"/>
      <c r="E52" s="264"/>
      <c r="F52" s="264"/>
      <c r="G52" s="266"/>
    </row>
    <row r="55" spans="1:7" ht="15">
      <c r="B55" s="268" t="s">
        <v>1562</v>
      </c>
      <c r="C55" s="269"/>
    </row>
    <row r="56" spans="1:7">
      <c r="B56" s="271" t="s">
        <v>802</v>
      </c>
      <c r="C56" s="273">
        <f ca="1">1-C57</f>
        <v>0.61499999999999999</v>
      </c>
    </row>
    <row r="57" spans="1:7">
      <c r="B57" s="271" t="s">
        <v>803</v>
      </c>
      <c r="C57" s="272">
        <f ca="1">ROUND(C51/C52,3)</f>
        <v>0.38500000000000001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49" sqref="G49"/>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55858.869999999981</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44508</v>
      </c>
      <c r="C2" s="1996" t="s">
        <v>1935</v>
      </c>
      <c r="D2" s="1997" t="s">
        <v>1936</v>
      </c>
      <c r="E2" s="3418" t="s">
        <v>3</v>
      </c>
      <c r="F2" s="1997" t="s">
        <v>1937</v>
      </c>
      <c r="G2" s="1998" t="str">
        <f>IF(E2="商业",项目基本情况!B37,IF(E2="办公",项目基本情况!C37,IF(E2="住宅",项目基本情况!D37,IF(E2="工业",项目基本情况!E37,项目基本情况!F37))))</f>
        <v>四级</v>
      </c>
      <c r="H2" s="1997" t="s">
        <v>1938</v>
      </c>
      <c r="I2" s="1998" t="str">
        <f>IF(E2="商业",项目基本情况!B38,IF(E2="办公",项目基本情况!C38,IF(E2="住宅",项目基本情况!D38,IF(E2="工业",项目基本情况!E38,项目基本情况!F38))))</f>
        <v>Ⅳ-电子城西</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1.5019</v>
      </c>
      <c r="T2" s="3357">
        <f t="shared" ref="T2:T16" si="0">ROUND($C$5*$C$22*$C$23*$C$24*S2*$C$28,0)</f>
        <v>13890</v>
      </c>
      <c r="U2" s="1210"/>
      <c r="V2" s="3357">
        <f>ROUND(T2*U2/10000,0)</f>
        <v>0</v>
      </c>
      <c r="W2" s="1213"/>
      <c r="X2" s="1213"/>
      <c r="Y2" s="1213"/>
      <c r="Z2" s="1213"/>
      <c r="AA2" s="1213"/>
      <c r="AB2" s="1213"/>
      <c r="AC2" s="1214"/>
      <c r="AD2" s="1215"/>
      <c r="AE2" s="1215"/>
      <c r="AF2" s="1215"/>
      <c r="AG2" s="1215"/>
      <c r="AH2" s="1215"/>
      <c r="AI2" s="1215"/>
      <c r="AJ2" s="1216"/>
    </row>
    <row r="3" spans="1:36" ht="15.75">
      <c r="A3" s="201" t="s">
        <v>1940</v>
      </c>
      <c r="B3" s="202">
        <f>ROUND(B2*10000/D1,0)</f>
        <v>7968</v>
      </c>
      <c r="C3" s="1996" t="s">
        <v>1941</v>
      </c>
      <c r="D3" s="1997" t="s">
        <v>1942</v>
      </c>
      <c r="E3" s="3416" t="s">
        <v>3408</v>
      </c>
      <c r="F3" s="2001" t="s">
        <v>3417</v>
      </c>
      <c r="G3" s="749">
        <f>IF(F3="宗地容积率",'数据-汇总表'!I4,IF(F3="估价对象容积率",'数据-汇总表'!I6,'数据-汇总表'!I7))</f>
        <v>2.15</v>
      </c>
      <c r="H3" s="168"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1.1838</v>
      </c>
      <c r="T3" s="3357">
        <f t="shared" si="0"/>
        <v>10948</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816"/>
      <c r="B4" s="3817"/>
      <c r="C4" s="3817"/>
      <c r="D4" s="3818"/>
      <c r="E4" s="3818"/>
      <c r="F4" s="3818"/>
      <c r="G4" s="3818"/>
      <c r="H4" s="3818"/>
      <c r="I4" s="3818"/>
      <c r="J4" s="3819"/>
      <c r="K4" s="1116"/>
      <c r="L4" s="2000" t="s">
        <v>1946</v>
      </c>
      <c r="M4" s="861">
        <f>SUMPRODUCT((区片价!B55:B86=I2)*(区片价!C3:G3=E2)*(区片价!C55:G86))</f>
        <v>4600</v>
      </c>
      <c r="N4" s="863">
        <f>SUMPRODUCT((因素修正幅度!B55:B86=I2)*(因素修正幅度!C3:G3=E2)*(因素修正幅度!C55:G86))</f>
        <v>0.1</v>
      </c>
      <c r="O4" s="1116"/>
      <c r="P4" s="1116"/>
      <c r="Q4" s="1116"/>
      <c r="R4" s="1209">
        <v>3</v>
      </c>
      <c r="S4" s="3357">
        <f>ROUND(SUMPRODUCT((B106:B110=R4)*(C105:N105=G2)*(C106:N110)),4)</f>
        <v>1.0004999999999999</v>
      </c>
      <c r="T4" s="3357">
        <f t="shared" si="0"/>
        <v>9253</v>
      </c>
      <c r="U4" s="1210"/>
      <c r="V4" s="3357">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4555</v>
      </c>
      <c r="D5" s="1336">
        <f>ROUND(C6*C17+C20,0)</f>
        <v>4555</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0.88239999999999996</v>
      </c>
      <c r="T5" s="3357">
        <f t="shared" si="0"/>
        <v>8161</v>
      </c>
      <c r="U5" s="1210"/>
      <c r="V5" s="3357">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4600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0.84799999999999998</v>
      </c>
      <c r="T6" s="3357">
        <f t="shared" si="0"/>
        <v>7843</v>
      </c>
      <c r="U6" s="1210"/>
      <c r="V6" s="3357">
        <f t="shared" si="1"/>
        <v>0</v>
      </c>
      <c r="W6" s="1213"/>
      <c r="X6" s="1213"/>
      <c r="Y6" s="1213"/>
      <c r="Z6" s="1213"/>
      <c r="AA6" s="1213"/>
      <c r="AB6" s="1213"/>
      <c r="AC6" s="2008"/>
      <c r="AD6" s="2009"/>
      <c r="AE6" s="2009"/>
      <c r="AF6" s="2009"/>
      <c r="AG6" s="2009"/>
      <c r="AH6" s="2009"/>
      <c r="AI6" s="2009"/>
      <c r="AJ6" s="2010"/>
    </row>
    <row r="7" spans="1:36" ht="24.75" thickBot="1">
      <c r="A7" s="3300" t="s">
        <v>3241</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f t="shared" si="0"/>
        <v>0</v>
      </c>
      <c r="U7" s="1210"/>
      <c r="V7" s="3357">
        <f t="shared" si="1"/>
        <v>0</v>
      </c>
      <c r="W7" s="1355" t="s">
        <v>1955</v>
      </c>
      <c r="X7" s="1211" t="str">
        <f>G2</f>
        <v>四级</v>
      </c>
      <c r="Y7" s="1211" t="s">
        <v>1956</v>
      </c>
      <c r="Z7" s="1212">
        <f>G3</f>
        <v>2.15</v>
      </c>
      <c r="AA7" s="1213"/>
      <c r="AB7" s="1213"/>
      <c r="AC7" s="1214"/>
      <c r="AD7" s="1215"/>
      <c r="AE7" s="1215"/>
      <c r="AF7" s="1215"/>
      <c r="AG7" s="1215"/>
      <c r="AH7" s="1215"/>
      <c r="AI7" s="1215"/>
      <c r="AJ7" s="1216"/>
    </row>
    <row r="8" spans="1:36" ht="25.5">
      <c r="A8" s="3295"/>
      <c r="B8" s="168" t="s">
        <v>1957</v>
      </c>
      <c r="C8" s="2023" t="s">
        <v>3416</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f t="shared" si="0"/>
        <v>0</v>
      </c>
      <c r="U8" s="1210"/>
      <c r="V8" s="3357">
        <f t="shared" si="1"/>
        <v>0</v>
      </c>
      <c r="W8" s="3813" t="s">
        <v>1960</v>
      </c>
      <c r="X8" s="3814"/>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f t="shared" si="0"/>
        <v>0</v>
      </c>
      <c r="U9" s="1210"/>
      <c r="V9" s="3357">
        <f t="shared" si="1"/>
        <v>0</v>
      </c>
      <c r="W9" s="3815"/>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81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3242</v>
      </c>
      <c r="B12" s="3301" t="s">
        <v>3243</v>
      </c>
      <c r="C12" s="3302"/>
      <c r="D12" s="3303" t="s">
        <v>3244</v>
      </c>
      <c r="E12" s="3304" t="s">
        <v>3245</v>
      </c>
      <c r="F12" s="3305"/>
      <c r="G12" s="3306"/>
      <c r="H12" s="3306"/>
      <c r="I12" s="3306"/>
      <c r="J12" s="3307"/>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3246</v>
      </c>
      <c r="B13" s="2031" t="s">
        <v>1982</v>
      </c>
      <c r="C13" s="752">
        <f>ROUND(C16*D16*E16*F16*G16*H16*I16*J16,4)</f>
        <v>0</v>
      </c>
      <c r="D13" s="2032" t="s">
        <v>1983</v>
      </c>
      <c r="E13" s="2033"/>
      <c r="F13" s="2033"/>
      <c r="G13" s="2034"/>
      <c r="H13" s="2034"/>
      <c r="I13" s="2034"/>
      <c r="J13" s="2035"/>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7" t="s">
        <v>1985</v>
      </c>
      <c r="C14" s="2038" t="s">
        <v>1986</v>
      </c>
      <c r="D14" s="1347" t="s">
        <v>1987</v>
      </c>
      <c r="E14" s="27" t="s">
        <v>1988</v>
      </c>
      <c r="F14" s="3308" t="s">
        <v>3247</v>
      </c>
      <c r="G14" s="3308" t="s">
        <v>3247</v>
      </c>
      <c r="H14" s="3308" t="s">
        <v>3247</v>
      </c>
      <c r="I14" s="3308" t="s">
        <v>3247</v>
      </c>
      <c r="J14" s="3308" t="s">
        <v>3247</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3248</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4"/>
      <c r="M16" s="1994"/>
      <c r="N16" s="1994"/>
      <c r="O16" s="1994"/>
      <c r="P16" s="1994"/>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9"/>
      <c r="B18" s="3006"/>
      <c r="C18" s="3324"/>
      <c r="D18" s="3319" t="s">
        <v>3252</v>
      </c>
      <c r="E18" s="3325"/>
      <c r="F18" s="3320" t="s">
        <v>3255</v>
      </c>
      <c r="G18" s="3324">
        <f>ROUND(1-(1/(POWER(1+G24,E18))),4)</f>
        <v>0</v>
      </c>
      <c r="H18" s="3320" t="s">
        <v>3257</v>
      </c>
      <c r="I18" s="3324">
        <f>ROUND(1-(1/(POWER(1+G24,J24))),4)</f>
        <v>0.91279999999999994</v>
      </c>
      <c r="J18" s="3330"/>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4"/>
    </row>
    <row r="19" spans="1:37" s="2011" customFormat="1" ht="15" thickBot="1">
      <c r="A19" s="3331"/>
      <c r="B19" s="3332"/>
      <c r="C19" s="3333"/>
      <c r="D19" s="3333" t="s">
        <v>3253</v>
      </c>
      <c r="E19" s="3334"/>
      <c r="F19" s="3335" t="s">
        <v>3256</v>
      </c>
      <c r="G19" s="3334"/>
      <c r="H19" s="3333"/>
      <c r="I19" s="3333"/>
      <c r="J19" s="3336"/>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7"/>
      <c r="AH19" s="2138"/>
      <c r="AI19" s="2788"/>
      <c r="AJ19" s="2788"/>
      <c r="AK19" s="2054"/>
    </row>
    <row r="20" spans="1:37" s="2011" customFormat="1" ht="14.25">
      <c r="A20" s="3820" t="s">
        <v>3258</v>
      </c>
      <c r="B20" s="165" t="s">
        <v>1994</v>
      </c>
      <c r="C20" s="3321">
        <f>ROUND(IF(F21="与级别开发程度一致",0,(G21-E21)/C21),0)</f>
        <v>-45</v>
      </c>
      <c r="D20" s="3337" t="s">
        <v>1998</v>
      </c>
      <c r="E20" s="3338"/>
      <c r="F20" s="3826" t="s">
        <v>1995</v>
      </c>
      <c r="G20" s="3827"/>
      <c r="H20" s="3322" t="s">
        <v>3410</v>
      </c>
      <c r="I20" s="3322" t="s">
        <v>3411</v>
      </c>
      <c r="J20" s="3323" t="s">
        <v>3412</v>
      </c>
      <c r="K20" s="2044" t="s">
        <v>3413</v>
      </c>
      <c r="L20" s="2044" t="s">
        <v>3414</v>
      </c>
      <c r="M20" s="2044" t="s">
        <v>3415</v>
      </c>
      <c r="N20" s="2044"/>
      <c r="O20" s="2045"/>
      <c r="P20" s="1994"/>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1" customFormat="1" ht="26.25" thickBot="1">
      <c r="A21" s="3821"/>
      <c r="B21" s="2161" t="s">
        <v>1997</v>
      </c>
      <c r="C21" s="2162">
        <f>IF(E3="M4科研用地",SUMPRODUCT((修正!A2:A7=E3)*(修正!B1:M1=G2)*(修正!B2:M7)),SUMPRODUCT((修正!A2:A7=E2)*(修正!B1:M1=G2)*(修正!B2:M7)))</f>
        <v>2</v>
      </c>
      <c r="D21" s="185" t="str">
        <f>IF(OR(G2="八级",G2="九级",G2="十级",G2="十一级",G2="十二级"),"五通一平","七通一平")</f>
        <v>七通一平</v>
      </c>
      <c r="E21" s="2152">
        <f>SUMPRODUCT((修正!B1:M1=G2)*(修正!B17:M17))</f>
        <v>315</v>
      </c>
      <c r="F21" s="2153" t="s">
        <v>3409</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1" customFormat="1" ht="15.75" thickBot="1">
      <c r="A22" s="2155" t="s">
        <v>363</v>
      </c>
      <c r="B22" s="2156" t="s">
        <v>2000</v>
      </c>
      <c r="C22" s="2157">
        <f>SUMIF(修正!C20:C51,E3,修正!E20:E51)</f>
        <v>2</v>
      </c>
      <c r="D22" s="2158"/>
      <c r="E22" s="2159"/>
      <c r="F22" s="2159"/>
      <c r="G22" s="2159"/>
      <c r="H22" s="2159"/>
      <c r="I22" s="2159"/>
      <c r="J22" s="2160"/>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1" t="s">
        <v>2002</v>
      </c>
      <c r="E23" s="758">
        <v>44197</v>
      </c>
      <c r="F23" s="2051" t="s">
        <v>2003</v>
      </c>
      <c r="G23" s="759">
        <f>'数据-取费表'!B2</f>
        <v>45272</v>
      </c>
      <c r="H23" s="3339" t="s">
        <v>3260</v>
      </c>
      <c r="I23" s="3340" t="str">
        <f>IF(H23="季度增幅（自定义）",SUMIF(N25:N28,E2,O25:O28),"")</f>
        <v/>
      </c>
      <c r="J23" s="3442" t="s">
        <v>3259</v>
      </c>
      <c r="K23" s="1122"/>
      <c r="L23" s="2052" t="s">
        <v>2004</v>
      </c>
      <c r="M23" s="1325">
        <f>ROUND(SUMIF(地价!B2:G2,E2,地价!B16:G16),0)</f>
        <v>318</v>
      </c>
      <c r="N23" s="2053" t="s">
        <v>2005</v>
      </c>
      <c r="O23" s="760">
        <f>ROUNDDOWN(DATEDIF(E23,G23,"M")/3,0)</f>
        <v>11</v>
      </c>
      <c r="P23" s="1119"/>
      <c r="Q23" s="2784"/>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0.90269999999999995</v>
      </c>
      <c r="D24" s="2057" t="s">
        <v>2007</v>
      </c>
      <c r="E24" s="1332">
        <f>存贷款利率!E24/100</f>
        <v>4.3499999999999997E-2</v>
      </c>
      <c r="F24" s="2057" t="s">
        <v>1999</v>
      </c>
      <c r="G24" s="765">
        <f>SUMIF(M30:Q30,E2,M33:Q33)</f>
        <v>0.05</v>
      </c>
      <c r="H24" s="2057" t="s">
        <v>2008</v>
      </c>
      <c r="I24" s="766">
        <f>SUMIF('数据-取费表'!C6:C15,E2,'数据-取费表'!F6:F15)/COUNTIF('数据-取费表'!C6:C15,E2)</f>
        <v>35.6</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2" t="s">
        <v>366</v>
      </c>
      <c r="B25" s="2063" t="s">
        <v>3339</v>
      </c>
      <c r="C25" s="768">
        <f>IF(B25="容积率修正",IF(G3&lt;10,D26,J26),C27)</f>
        <v>0.98380000000000001</v>
      </c>
      <c r="D25" s="2064"/>
      <c r="E25" s="2064"/>
      <c r="F25" s="2064"/>
      <c r="G25" s="2064"/>
      <c r="H25" s="2064"/>
      <c r="I25" s="2064"/>
      <c r="J25" s="2065"/>
      <c r="K25" s="1122"/>
      <c r="L25" s="2784"/>
      <c r="M25" s="2784"/>
      <c r="N25" s="2066"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1" t="s">
        <v>3261</v>
      </c>
      <c r="D26" s="1349">
        <f>IF(E26=G26,F26,IF(G3&lt;10,ROUND(F26+(H26-F26)*(G3-E26)/(G26-E26),4),"——"))</f>
        <v>0.98380000000000001</v>
      </c>
      <c r="E26" s="749">
        <f>ROUNDDOWN(G3,1)</f>
        <v>2.1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49">
        <f>ROUNDUP(G3,1)</f>
        <v>2.2000000000000002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1" t="s">
        <v>3262</v>
      </c>
      <c r="J26" s="769" t="str">
        <f>IF(G3&gt;=10,D115,"——")</f>
        <v>——</v>
      </c>
      <c r="K26" s="1122"/>
      <c r="L26" s="2784"/>
      <c r="M26" s="2784"/>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1.0535000000000001</v>
      </c>
      <c r="D28" s="2049"/>
      <c r="E28" s="2074"/>
      <c r="F28" s="2074"/>
      <c r="G28" s="2074"/>
      <c r="H28" s="2074"/>
      <c r="I28" s="2074"/>
      <c r="J28" s="2075"/>
      <c r="K28" s="1122"/>
      <c r="L28" s="2784"/>
      <c r="M28" s="2784"/>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44508</v>
      </c>
      <c r="D30" s="2080"/>
      <c r="E30" s="2043"/>
      <c r="F30" s="2081"/>
      <c r="G30" s="2043"/>
      <c r="H30" s="2043"/>
      <c r="I30" s="2043"/>
      <c r="J30" s="2082"/>
      <c r="K30" s="1116"/>
      <c r="L30" s="3347" t="s">
        <v>1936</v>
      </c>
      <c r="M30" s="3348" t="s">
        <v>1990</v>
      </c>
      <c r="N30" s="3348" t="s">
        <v>1991</v>
      </c>
      <c r="O30" s="3348" t="s">
        <v>1992</v>
      </c>
      <c r="P30" s="3348" t="s">
        <v>1993</v>
      </c>
      <c r="Q30" s="3351" t="s">
        <v>3266</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170</v>
      </c>
      <c r="D31" s="2084"/>
      <c r="E31" s="2085"/>
      <c r="F31" s="2086"/>
      <c r="G31" s="2085"/>
      <c r="H31" s="2085"/>
      <c r="I31" s="2085"/>
      <c r="J31" s="2087"/>
      <c r="K31" s="1116"/>
      <c r="L31" s="3349" t="s">
        <v>1996</v>
      </c>
      <c r="M31" s="1997">
        <v>0.25</v>
      </c>
      <c r="N31" s="1997">
        <v>0.2</v>
      </c>
      <c r="O31" s="1997">
        <v>0.15</v>
      </c>
      <c r="P31" s="1997">
        <v>0.1</v>
      </c>
      <c r="Q31" s="3344">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0" t="s">
        <v>1999</v>
      </c>
      <c r="M32" s="2567">
        <f>ROUND($E$24*(1+M31),3)</f>
        <v>5.3999999999999999E-2</v>
      </c>
      <c r="N32" s="2567">
        <f>ROUND($E$24*(1+N31),3)</f>
        <v>5.1999999999999998E-2</v>
      </c>
      <c r="O32" s="2567">
        <f>ROUND($E$24*(1+O31),3)</f>
        <v>0.05</v>
      </c>
      <c r="P32" s="2567">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f>ROUND(C5*C22*C23*C24*C25*C28,0)</f>
        <v>9099</v>
      </c>
      <c r="D33" s="2095">
        <f>面积表!E37</f>
        <v>47667.279999999977</v>
      </c>
      <c r="E33" s="770">
        <f>ROUND(C33*D33/10000,0)</f>
        <v>43372</v>
      </c>
      <c r="F33" s="3342" t="s">
        <v>3264</v>
      </c>
      <c r="G33" s="2096"/>
      <c r="H33" s="2096"/>
      <c r="I33" s="2096"/>
      <c r="J33" s="2097"/>
      <c r="K33" s="1116"/>
      <c r="L33" s="3345" t="s">
        <v>3267</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f>ROUND(IF(E2="工业",C33*M42,IF(B25="楼层修正",SUM(V2:V16)*M41*10000/D34,C33*M41)),0)</f>
        <v>1365</v>
      </c>
      <c r="D34" s="2100"/>
      <c r="E34" s="770">
        <f>ROUND(IF(B25="楼层修正",SUM(V2:V16)*M40,C34*D34/10000),0)</f>
        <v>0</v>
      </c>
      <c r="F34" s="2101" t="s">
        <v>2032</v>
      </c>
      <c r="G34" s="2102"/>
      <c r="H34" s="2102"/>
      <c r="I34" s="2102"/>
      <c r="J34" s="2103"/>
      <c r="K34" s="1116"/>
      <c r="L34" s="3345" t="s">
        <v>3268</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3" t="s">
        <v>3265</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24"/>
      <c r="B37" s="2110" t="s">
        <v>2036</v>
      </c>
      <c r="C37" s="173">
        <f>ROUND(D5*C22*C23*C24*C28*F37,0)</f>
        <v>5549</v>
      </c>
      <c r="D37" s="2095"/>
      <c r="E37" s="169">
        <f>ROUND(C37*D37/10000,0)</f>
        <v>0</v>
      </c>
      <c r="F37" s="169">
        <f>SUMIF(修正!A57:A68,G2,修正!B57:B68)</f>
        <v>0.6</v>
      </c>
      <c r="G37" s="169">
        <f>ROUND(IF(E2="工业",C37*$M$42,C37*$M$41),0)</f>
        <v>832</v>
      </c>
      <c r="H37" s="169">
        <f>D37</f>
        <v>0</v>
      </c>
      <c r="I37" s="169">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25"/>
      <c r="B38" s="2038" t="s">
        <v>2037</v>
      </c>
      <c r="C38" s="173">
        <f>ROUND(D5*C22*C23*C24*C28*F38,0)</f>
        <v>2775</v>
      </c>
      <c r="D38" s="2095"/>
      <c r="E38" s="169">
        <f t="shared" ref="E38:E42" si="4">ROUND(C38*D38/10000,0)</f>
        <v>0</v>
      </c>
      <c r="F38" s="169">
        <f>SUMIF(修正!A57:A68,G2,修正!C57:C68)</f>
        <v>0.3</v>
      </c>
      <c r="G38" s="169">
        <f>ROUND(IF(E2="工业",C38*$M$42,C38*$M$41),0)</f>
        <v>416</v>
      </c>
      <c r="H38" s="169">
        <f t="shared" ref="H38:H42" si="5">D38</f>
        <v>0</v>
      </c>
      <c r="I38" s="169">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25"/>
      <c r="B39" s="2038" t="s">
        <v>3263</v>
      </c>
      <c r="C39" s="173">
        <f>ROUND(D5*C22*C23*C24*C28*F39,0)</f>
        <v>2312</v>
      </c>
      <c r="D39" s="2095"/>
      <c r="E39" s="169">
        <f t="shared" si="4"/>
        <v>0</v>
      </c>
      <c r="F39" s="169">
        <f>SUMIF(修正!A57:A68,G2,修正!D57:D68)</f>
        <v>0.25</v>
      </c>
      <c r="G39" s="169">
        <f>ROUND(IF(E2="工业",C39*$M$42,C39*$M$41),0)</f>
        <v>347</v>
      </c>
      <c r="H39" s="169">
        <f t="shared" si="5"/>
        <v>0</v>
      </c>
      <c r="I39" s="169">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2312</v>
      </c>
      <c r="D40" s="2095"/>
      <c r="E40" s="169">
        <f t="shared" si="4"/>
        <v>0</v>
      </c>
      <c r="F40" s="173">
        <f>SUMIF(修正!A57:A68,G2,修正!E57:E68)</f>
        <v>0.25</v>
      </c>
      <c r="G40" s="169">
        <f>ROUND(IF(E2="工业",C40*$M$42,C40*$M$41),0)</f>
        <v>347</v>
      </c>
      <c r="H40" s="169">
        <f t="shared" si="5"/>
        <v>0</v>
      </c>
      <c r="I40" s="169">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2312</v>
      </c>
      <c r="D41" s="2095"/>
      <c r="E41" s="169">
        <f t="shared" si="4"/>
        <v>0</v>
      </c>
      <c r="F41" s="173">
        <f>SUMIF(修正!A57:A68,G2,修正!F57:F68)</f>
        <v>0.25</v>
      </c>
      <c r="G41" s="169">
        <f>ROUND(IF(E2="工业",C41*$M$42,C41*$M$41),0)</f>
        <v>347</v>
      </c>
      <c r="H41" s="169">
        <f t="shared" si="5"/>
        <v>0</v>
      </c>
      <c r="I41" s="169">
        <f t="shared" si="6"/>
        <v>0</v>
      </c>
      <c r="J41" s="2111"/>
      <c r="L41" s="3356" t="s">
        <v>3271</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f>ROUND(D5*C22*C23*C44*C28*F42,0)</f>
        <v>1387</v>
      </c>
      <c r="D42" s="2100">
        <f>面积表!E36</f>
        <v>8191.59</v>
      </c>
      <c r="E42" s="185">
        <f t="shared" si="4"/>
        <v>1136</v>
      </c>
      <c r="F42" s="764">
        <f>SUMIF(修正!A57:A68,G2,修正!G57:G68)</f>
        <v>0.15</v>
      </c>
      <c r="G42" s="185">
        <f>ROUND(IF(E2="工业",C42*$M$42,C42*$M$41),0)</f>
        <v>208</v>
      </c>
      <c r="H42" s="185">
        <f t="shared" si="5"/>
        <v>8191.59</v>
      </c>
      <c r="I42" s="185">
        <f t="shared" si="6"/>
        <v>170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2122</v>
      </c>
      <c r="C44" s="340">
        <f>ROUND(POWER(1+E44,H44-G44)*(POWER(1+E44,G44)-1)/(POWER(1+E44,H44)-1),4)</f>
        <v>0.90269999999999995</v>
      </c>
      <c r="D44" s="169" t="s">
        <v>1999</v>
      </c>
      <c r="E44" s="2150">
        <f>G24</f>
        <v>0.05</v>
      </c>
      <c r="F44" s="169" t="s">
        <v>2008</v>
      </c>
      <c r="G44" s="181">
        <f>I24</f>
        <v>35.6</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3273</v>
      </c>
      <c r="B52" s="2131">
        <f>估价对象房地状况!C19</f>
        <v>0</v>
      </c>
      <c r="C52" s="2041"/>
      <c r="D52" s="1062">
        <f t="shared" si="7"/>
        <v>0</v>
      </c>
      <c r="E52" s="742"/>
      <c r="F52" s="1811"/>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3273</v>
      </c>
      <c r="B63" s="2131">
        <f>估价对象房地状况!C19</f>
        <v>0</v>
      </c>
      <c r="C63" s="2041"/>
      <c r="D63" s="1062">
        <f t="shared" si="12"/>
        <v>0</v>
      </c>
      <c r="E63" s="742"/>
      <c r="F63" s="1811"/>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5" t="s">
        <v>3273</v>
      </c>
      <c r="B74" s="2131">
        <f>估价对象房地状况!C19</f>
        <v>0</v>
      </c>
      <c r="C74" s="2041"/>
      <c r="D74" s="1062">
        <f t="shared" si="17"/>
        <v>0</v>
      </c>
      <c r="E74" s="744"/>
      <c r="F74" s="1811"/>
      <c r="G74" s="1060"/>
      <c r="H74" s="1063" t="str">
        <f t="shared" si="18"/>
        <v>——</v>
      </c>
      <c r="I74" s="3363">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3">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3">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3">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3">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3">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4">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1.0535000000000001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t="s">
        <v>3418</v>
      </c>
      <c r="D83" s="1062">
        <f t="shared" ref="D83:D90" si="22">SUMIF($J$82:$N$82,C83,J83:N83)</f>
        <v>1.2999999999999999E-2</v>
      </c>
      <c r="E83" s="741">
        <f>ROUND(SUM(D83:D90),4)</f>
        <v>5.3499999999999999E-2</v>
      </c>
      <c r="F83" s="1811">
        <f>IF(E2="工业",SUMIF(L1:L12,G2,N1:N12),"——")</f>
        <v>0.1</v>
      </c>
      <c r="G83" s="1060">
        <v>1.2999999999999999E-2</v>
      </c>
      <c r="H83" s="1063">
        <f t="shared" ref="H83:H90" si="23">IFERROR(ROUNDDOWN($F$83*I83/2,4),"——")</f>
        <v>1.2999999999999999E-2</v>
      </c>
      <c r="I83" s="3363">
        <v>0.26</v>
      </c>
      <c r="J83" s="1061">
        <f t="shared" ref="J83:J90" si="24">K83+$G83</f>
        <v>2.5999999999999999E-2</v>
      </c>
      <c r="K83" s="1061">
        <f t="shared" ref="K83:K90" si="25">$L83+$G83</f>
        <v>1.2999999999999999E-2</v>
      </c>
      <c r="L83" s="1061">
        <v>0</v>
      </c>
      <c r="M83" s="1061">
        <f t="shared" ref="M83:N90" si="26">L83-$G83</f>
        <v>-1.2999999999999999E-2</v>
      </c>
      <c r="N83" s="1061">
        <f t="shared" si="26"/>
        <v>-2.5999999999999999E-2</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3418</v>
      </c>
      <c r="D84" s="1062">
        <f t="shared" si="22"/>
        <v>1.4999999999999999E-2</v>
      </c>
      <c r="E84" s="744"/>
      <c r="F84" s="1811"/>
      <c r="G84" s="1060">
        <v>1.4999999999999999E-2</v>
      </c>
      <c r="H84" s="1063">
        <f t="shared" si="23"/>
        <v>1.4999999999999999E-2</v>
      </c>
      <c r="I84" s="3363">
        <v>0.3</v>
      </c>
      <c r="J84" s="1061">
        <f t="shared" si="24"/>
        <v>0.03</v>
      </c>
      <c r="K84" s="1061">
        <f t="shared" si="25"/>
        <v>1.4999999999999999E-2</v>
      </c>
      <c r="L84" s="1061">
        <v>0</v>
      </c>
      <c r="M84" s="1061">
        <f t="shared" si="26"/>
        <v>-1.4999999999999999E-2</v>
      </c>
      <c r="N84" s="1061">
        <f t="shared" si="26"/>
        <v>-0.03</v>
      </c>
      <c r="Z84" s="1995"/>
      <c r="AA84" s="2050"/>
      <c r="AG84" s="1118"/>
      <c r="AK84" s="2050"/>
    </row>
    <row r="85" spans="1:37" ht="36">
      <c r="A85" s="3365" t="s">
        <v>3274</v>
      </c>
      <c r="B85" s="2131">
        <f>估价对象房地状况!G17</f>
        <v>0</v>
      </c>
      <c r="C85" s="2041" t="s">
        <v>3418</v>
      </c>
      <c r="D85" s="1062">
        <f t="shared" si="22"/>
        <v>5.0000000000000001E-3</v>
      </c>
      <c r="E85" s="744"/>
      <c r="F85" s="1811"/>
      <c r="G85" s="1060">
        <v>5.0000000000000001E-3</v>
      </c>
      <c r="H85" s="1063">
        <f t="shared" si="23"/>
        <v>5.0000000000000001E-3</v>
      </c>
      <c r="I85" s="3363">
        <v>0.1</v>
      </c>
      <c r="J85" s="1061">
        <f t="shared" si="24"/>
        <v>0.01</v>
      </c>
      <c r="K85" s="1061">
        <f t="shared" si="25"/>
        <v>5.0000000000000001E-3</v>
      </c>
      <c r="L85" s="1061">
        <v>0</v>
      </c>
      <c r="M85" s="1061">
        <f t="shared" si="26"/>
        <v>-5.0000000000000001E-3</v>
      </c>
      <c r="N85" s="1061">
        <f t="shared" si="26"/>
        <v>-0.01</v>
      </c>
      <c r="Z85" s="1995"/>
      <c r="AA85" s="2050"/>
      <c r="AG85" s="1118"/>
      <c r="AK85" s="2050"/>
    </row>
    <row r="86" spans="1:37" ht="14.25">
      <c r="A86" s="2127" t="s">
        <v>2067</v>
      </c>
      <c r="B86" s="2131">
        <f>估价对象房地状况!G22</f>
        <v>0</v>
      </c>
      <c r="C86" s="2041" t="s">
        <v>3419</v>
      </c>
      <c r="D86" s="1062">
        <f t="shared" si="22"/>
        <v>0</v>
      </c>
      <c r="E86" s="744"/>
      <c r="F86" s="1811"/>
      <c r="G86" s="1060">
        <v>2.5000000000000001E-3</v>
      </c>
      <c r="H86" s="1063">
        <f t="shared" si="23"/>
        <v>2.5000000000000001E-3</v>
      </c>
      <c r="I86" s="3363">
        <v>0.05</v>
      </c>
      <c r="J86" s="1061">
        <f t="shared" si="24"/>
        <v>5.0000000000000001E-3</v>
      </c>
      <c r="K86" s="1061">
        <f t="shared" si="25"/>
        <v>2.5000000000000001E-3</v>
      </c>
      <c r="L86" s="1061">
        <v>0</v>
      </c>
      <c r="M86" s="1061">
        <f t="shared" si="26"/>
        <v>-2.5000000000000001E-3</v>
      </c>
      <c r="N86" s="1061">
        <f t="shared" si="26"/>
        <v>-5.0000000000000001E-3</v>
      </c>
      <c r="Z86" s="1995"/>
      <c r="AA86" s="2050"/>
      <c r="AG86" s="1118"/>
      <c r="AK86" s="2050"/>
    </row>
    <row r="87" spans="1:37" ht="25.5">
      <c r="A87" s="2127" t="s">
        <v>2059</v>
      </c>
      <c r="B87" s="1323" t="str">
        <f>估价对象房地状况!G19</f>
        <v>估价对象所在区域公共配套设施齐备情况</v>
      </c>
      <c r="C87" s="2041" t="s">
        <v>3418</v>
      </c>
      <c r="D87" s="1062">
        <f t="shared" si="22"/>
        <v>3.0000000000000001E-3</v>
      </c>
      <c r="E87" s="744"/>
      <c r="F87" s="1811"/>
      <c r="G87" s="1060">
        <v>3.0000000000000001E-3</v>
      </c>
      <c r="H87" s="1063">
        <f t="shared" si="23"/>
        <v>3.0000000000000001E-3</v>
      </c>
      <c r="I87" s="3363">
        <v>0.06</v>
      </c>
      <c r="J87" s="1061">
        <f t="shared" si="24"/>
        <v>6.0000000000000001E-3</v>
      </c>
      <c r="K87" s="1061">
        <f t="shared" si="25"/>
        <v>3.0000000000000001E-3</v>
      </c>
      <c r="L87" s="1061">
        <v>0</v>
      </c>
      <c r="M87" s="1061">
        <f t="shared" si="26"/>
        <v>-3.0000000000000001E-3</v>
      </c>
      <c r="N87" s="1061">
        <f t="shared" si="26"/>
        <v>-6.0000000000000001E-3</v>
      </c>
    </row>
    <row r="88" spans="1:37" ht="25.5">
      <c r="A88" s="2127" t="s">
        <v>2060</v>
      </c>
      <c r="B88" s="1323" t="str">
        <f>估价对象房地状况!G20</f>
        <v>估价对象所在区域基础设施水平</v>
      </c>
      <c r="C88" s="2041" t="s">
        <v>3420</v>
      </c>
      <c r="D88" s="1062">
        <f t="shared" si="22"/>
        <v>1.2E-2</v>
      </c>
      <c r="E88" s="744"/>
      <c r="F88" s="1811"/>
      <c r="G88" s="1060">
        <v>6.0000000000000001E-3</v>
      </c>
      <c r="H88" s="1063">
        <f t="shared" si="23"/>
        <v>6.0000000000000001E-3</v>
      </c>
      <c r="I88" s="3363">
        <v>0.12</v>
      </c>
      <c r="J88" s="1061">
        <f t="shared" si="24"/>
        <v>1.2E-2</v>
      </c>
      <c r="K88" s="1061">
        <f t="shared" si="25"/>
        <v>6.0000000000000001E-3</v>
      </c>
      <c r="L88" s="1061">
        <v>0</v>
      </c>
      <c r="M88" s="1061">
        <f t="shared" si="26"/>
        <v>-6.0000000000000001E-3</v>
      </c>
      <c r="N88" s="1061">
        <f t="shared" si="26"/>
        <v>-1.2E-2</v>
      </c>
    </row>
    <row r="89" spans="1:37" ht="24">
      <c r="A89" s="2127" t="s">
        <v>2057</v>
      </c>
      <c r="B89" s="2133" t="s">
        <v>2071</v>
      </c>
      <c r="C89" s="2041" t="s">
        <v>3418</v>
      </c>
      <c r="D89" s="1062">
        <f t="shared" si="22"/>
        <v>3.0000000000000001E-3</v>
      </c>
      <c r="E89" s="744"/>
      <c r="F89" s="1811"/>
      <c r="G89" s="1060">
        <v>3.0000000000000001E-3</v>
      </c>
      <c r="H89" s="1063">
        <f t="shared" si="23"/>
        <v>3.0000000000000001E-3</v>
      </c>
      <c r="I89" s="3363">
        <v>0.06</v>
      </c>
      <c r="J89" s="1061">
        <f t="shared" si="24"/>
        <v>6.0000000000000001E-3</v>
      </c>
      <c r="K89" s="1061">
        <f t="shared" si="25"/>
        <v>3.0000000000000001E-3</v>
      </c>
      <c r="L89" s="1061">
        <v>0</v>
      </c>
      <c r="M89" s="1061">
        <f t="shared" si="26"/>
        <v>-3.0000000000000001E-3</v>
      </c>
      <c r="N89" s="1061">
        <f t="shared" si="26"/>
        <v>-6.0000000000000001E-3</v>
      </c>
    </row>
    <row r="90" spans="1:37" ht="39" thickBot="1">
      <c r="A90" s="2135" t="s">
        <v>2072</v>
      </c>
      <c r="B90" s="2140" t="str">
        <f>估价对象房地状况!G18</f>
        <v>该园区内是否有污染型企业，绿化情况，卫生条件，整体环境状况判断</v>
      </c>
      <c r="C90" s="2041" t="s">
        <v>3418</v>
      </c>
      <c r="D90" s="1062">
        <f t="shared" si="22"/>
        <v>2.5000000000000001E-3</v>
      </c>
      <c r="E90" s="745"/>
      <c r="F90" s="1811"/>
      <c r="G90" s="1060">
        <v>2.5000000000000001E-3</v>
      </c>
      <c r="H90" s="1063">
        <f t="shared" si="23"/>
        <v>2.5000000000000001E-3</v>
      </c>
      <c r="I90" s="3364">
        <v>0.05</v>
      </c>
      <c r="J90" s="1061">
        <f t="shared" si="24"/>
        <v>5.0000000000000001E-3</v>
      </c>
      <c r="K90" s="1061">
        <f t="shared" si="25"/>
        <v>2.5000000000000001E-3</v>
      </c>
      <c r="L90" s="1061">
        <v>0</v>
      </c>
      <c r="M90" s="1061">
        <f t="shared" si="26"/>
        <v>-2.5000000000000001E-3</v>
      </c>
      <c r="N90" s="1061">
        <f t="shared" si="26"/>
        <v>-5.0000000000000001E-3</v>
      </c>
    </row>
    <row r="91" spans="1:37" ht="15">
      <c r="A91" s="3373" t="s">
        <v>2616</v>
      </c>
      <c r="B91" s="3374">
        <f>1+E93</f>
        <v>1</v>
      </c>
      <c r="C91" s="3367"/>
      <c r="D91" s="3368"/>
      <c r="E91" s="1811"/>
      <c r="F91" s="1811"/>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22" t="s">
        <v>3298</v>
      </c>
      <c r="B103" s="3822"/>
      <c r="C103" s="3822"/>
      <c r="D103" s="3822"/>
      <c r="E103" s="3822"/>
      <c r="F103" s="3822"/>
      <c r="G103" s="3822"/>
      <c r="H103" s="3822"/>
      <c r="I103" s="3822"/>
      <c r="J103" s="3822"/>
      <c r="K103" s="3386"/>
      <c r="L103" s="3386"/>
      <c r="M103" s="3386"/>
      <c r="N103" s="3386"/>
    </row>
    <row r="104" spans="1:14">
      <c r="A104" s="3823" t="s">
        <v>3299</v>
      </c>
      <c r="B104" s="3823" t="s">
        <v>3300</v>
      </c>
      <c r="C104" s="3387" t="s">
        <v>3301</v>
      </c>
      <c r="D104" s="3388"/>
      <c r="E104" s="3388"/>
      <c r="F104" s="3388"/>
      <c r="G104" s="3388"/>
      <c r="H104" s="3388"/>
      <c r="I104" s="3388"/>
      <c r="J104" s="3389"/>
      <c r="K104" s="3390"/>
      <c r="L104" s="3390"/>
      <c r="M104" s="3390"/>
      <c r="N104" s="3390"/>
    </row>
    <row r="105" spans="1:14">
      <c r="A105" s="3823"/>
      <c r="B105" s="3823"/>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809"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1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1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1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1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10"/>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1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12" t="s">
        <v>3315</v>
      </c>
      <c r="B113" s="3812"/>
      <c r="C113" s="3812"/>
      <c r="D113" s="3812"/>
      <c r="E113" s="3812"/>
      <c r="F113" s="3812"/>
      <c r="G113" s="3812"/>
      <c r="H113" s="3812"/>
      <c r="I113" s="3812"/>
      <c r="J113" s="381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2.15</v>
      </c>
      <c r="C116" s="3396" t="s">
        <v>3317</v>
      </c>
      <c r="D116" s="3397">
        <f>SUMPRODUCT((A118:A122=F116)*(B117:M117=H116)*B118:M122)</f>
        <v>0.7208</v>
      </c>
      <c r="E116" s="1997" t="s">
        <v>3318</v>
      </c>
      <c r="F116" s="3398" t="str">
        <f>E2</f>
        <v>工业</v>
      </c>
      <c r="G116" s="1997" t="s">
        <v>3319</v>
      </c>
      <c r="H116" s="3398" t="str">
        <f>G2</f>
        <v>四级</v>
      </c>
      <c r="I116" s="1997"/>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0.97319999999999995</v>
      </c>
      <c r="C118" s="3384">
        <f>B118</f>
        <v>0.97319999999999995</v>
      </c>
      <c r="D118" s="3384">
        <f>ROUND(0.949-0.014*B116,4)</f>
        <v>0.91890000000000005</v>
      </c>
      <c r="E118" s="3384">
        <f>D118</f>
        <v>0.91890000000000005</v>
      </c>
      <c r="F118" s="3384">
        <f>E118</f>
        <v>0.91890000000000005</v>
      </c>
      <c r="G118" s="3384">
        <f>F118</f>
        <v>0.91890000000000005</v>
      </c>
      <c r="H118" s="3384">
        <f>G118</f>
        <v>0.91890000000000005</v>
      </c>
      <c r="I118" s="3384">
        <f>ROUND(0.8486-0.018*B116,4)</f>
        <v>0.80989999999999995</v>
      </c>
      <c r="J118" s="3384">
        <f t="shared" ref="J118:M122" si="35">I118</f>
        <v>0.80989999999999995</v>
      </c>
      <c r="K118" s="3384">
        <f t="shared" si="35"/>
        <v>0.80989999999999995</v>
      </c>
      <c r="L118" s="3384">
        <f t="shared" si="35"/>
        <v>0.80989999999999995</v>
      </c>
      <c r="M118" s="3407">
        <f t="shared" si="35"/>
        <v>0.80989999999999995</v>
      </c>
      <c r="N118" s="3394"/>
    </row>
    <row r="119" spans="1:14">
      <c r="A119" s="3406" t="s">
        <v>3333</v>
      </c>
      <c r="B119" s="3384">
        <f>ROUND(0.993-0.0112*B116,4)</f>
        <v>0.96889999999999998</v>
      </c>
      <c r="C119" s="3384">
        <f>B119</f>
        <v>0.96889999999999998</v>
      </c>
      <c r="D119" s="3384">
        <f>ROUND(0.9415-0.0142*B116,4)</f>
        <v>0.91100000000000003</v>
      </c>
      <c r="E119" s="3384">
        <f t="shared" ref="E119:H120" si="36">D119</f>
        <v>0.91100000000000003</v>
      </c>
      <c r="F119" s="3384">
        <f t="shared" si="36"/>
        <v>0.91100000000000003</v>
      </c>
      <c r="G119" s="3384">
        <f t="shared" si="36"/>
        <v>0.91100000000000003</v>
      </c>
      <c r="H119" s="3384">
        <f t="shared" si="36"/>
        <v>0.91100000000000003</v>
      </c>
      <c r="I119" s="3384">
        <f>ROUND(0.838-0.0182*B116,4)</f>
        <v>0.79890000000000005</v>
      </c>
      <c r="J119" s="3384">
        <f t="shared" si="35"/>
        <v>0.79890000000000005</v>
      </c>
      <c r="K119" s="3384">
        <f t="shared" si="35"/>
        <v>0.79890000000000005</v>
      </c>
      <c r="L119" s="3384">
        <f t="shared" si="35"/>
        <v>0.79890000000000005</v>
      </c>
      <c r="M119" s="3407">
        <f t="shared" si="35"/>
        <v>0.79890000000000005</v>
      </c>
      <c r="N119" s="3394"/>
    </row>
    <row r="120" spans="1:14">
      <c r="A120" s="3406" t="s">
        <v>3334</v>
      </c>
      <c r="B120" s="3384">
        <f>ROUND(0.9448-0.0115*B116,4)</f>
        <v>0.92010000000000003</v>
      </c>
      <c r="C120" s="3384">
        <f>B120</f>
        <v>0.92010000000000003</v>
      </c>
      <c r="D120" s="3384">
        <f>ROUND(0.937-0.0145*B116,4)</f>
        <v>0.90580000000000005</v>
      </c>
      <c r="E120" s="3384">
        <f t="shared" si="36"/>
        <v>0.90580000000000005</v>
      </c>
      <c r="F120" s="3384">
        <f t="shared" si="36"/>
        <v>0.90580000000000005</v>
      </c>
      <c r="G120" s="3384">
        <f t="shared" si="36"/>
        <v>0.90580000000000005</v>
      </c>
      <c r="H120" s="3384">
        <f t="shared" si="36"/>
        <v>0.90580000000000005</v>
      </c>
      <c r="I120" s="3384">
        <f>ROUND(0.7965-0.0185*B116,4)</f>
        <v>0.75670000000000004</v>
      </c>
      <c r="J120" s="3384">
        <f t="shared" si="35"/>
        <v>0.75670000000000004</v>
      </c>
      <c r="K120" s="3384">
        <f t="shared" si="35"/>
        <v>0.75670000000000004</v>
      </c>
      <c r="L120" s="3384">
        <f t="shared" si="35"/>
        <v>0.75670000000000004</v>
      </c>
      <c r="M120" s="3407">
        <f t="shared" si="35"/>
        <v>0.75670000000000004</v>
      </c>
      <c r="N120" s="3394"/>
    </row>
    <row r="121" spans="1:14" ht="13.5" thickBot="1">
      <c r="A121" s="3408" t="s">
        <v>3335</v>
      </c>
      <c r="B121" s="3409">
        <f>ROUND(0.7836-0.012*B116,4)</f>
        <v>0.75780000000000003</v>
      </c>
      <c r="C121" s="3409">
        <f>B121</f>
        <v>0.75780000000000003</v>
      </c>
      <c r="D121" s="3409">
        <f>ROUND(0.753-0.015*B116,4)</f>
        <v>0.7208</v>
      </c>
      <c r="E121" s="3409">
        <f>D121</f>
        <v>0.7208</v>
      </c>
      <c r="F121" s="3409">
        <f>E121</f>
        <v>0.7208</v>
      </c>
      <c r="G121" s="3409">
        <f>ROUND(0.6612-0.018*B116,4)</f>
        <v>0.62250000000000005</v>
      </c>
      <c r="H121" s="3409">
        <f>G121</f>
        <v>0.62250000000000005</v>
      </c>
      <c r="I121" s="3409">
        <f>ROUND(0.5905-0.019*B116,4)</f>
        <v>0.54969999999999997</v>
      </c>
      <c r="J121" s="3409">
        <f t="shared" si="35"/>
        <v>0.54969999999999997</v>
      </c>
      <c r="K121" s="3409">
        <f t="shared" si="35"/>
        <v>0.54969999999999997</v>
      </c>
      <c r="L121" s="3409">
        <f t="shared" si="35"/>
        <v>0.54969999999999997</v>
      </c>
      <c r="M121" s="3410">
        <f t="shared" si="35"/>
        <v>0.54969999999999997</v>
      </c>
      <c r="N121" s="3394"/>
    </row>
    <row r="122" spans="1:14">
      <c r="A122" s="3411" t="s">
        <v>2616</v>
      </c>
      <c r="B122" s="3384">
        <f>ROUND(0.9404-0.0106*B116,4)</f>
        <v>0.91759999999999997</v>
      </c>
      <c r="C122" s="3384">
        <f>B122</f>
        <v>0.91759999999999997</v>
      </c>
      <c r="D122" s="3384">
        <f>ROUND(0.8955-0.0135*B116,4)</f>
        <v>0.86650000000000005</v>
      </c>
      <c r="E122" s="3384">
        <f t="shared" ref="E122:H122" si="37">D122</f>
        <v>0.86650000000000005</v>
      </c>
      <c r="F122" s="3384">
        <f t="shared" si="37"/>
        <v>0.86650000000000005</v>
      </c>
      <c r="G122" s="3384">
        <f t="shared" si="37"/>
        <v>0.86650000000000005</v>
      </c>
      <c r="H122" s="3384">
        <f t="shared" si="37"/>
        <v>0.86650000000000005</v>
      </c>
      <c r="I122" s="3384">
        <f>ROUND(0.7632-0.0166*B116,4)</f>
        <v>0.72750000000000004</v>
      </c>
      <c r="J122" s="3384">
        <f t="shared" si="35"/>
        <v>0.72750000000000004</v>
      </c>
      <c r="K122" s="3384">
        <f t="shared" si="35"/>
        <v>0.72750000000000004</v>
      </c>
      <c r="L122" s="3384">
        <f t="shared" si="35"/>
        <v>0.72750000000000004</v>
      </c>
      <c r="M122" s="3407">
        <f t="shared" si="35"/>
        <v>0.72750000000000004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37" t="s">
        <v>2611</v>
      </c>
      <c r="B20" s="3832" t="s">
        <v>2632</v>
      </c>
      <c r="C20" s="3099" t="s">
        <v>2443</v>
      </c>
      <c r="D20" s="3100"/>
      <c r="E20" s="3101">
        <v>1</v>
      </c>
      <c r="F20" s="3102" t="s">
        <v>2444</v>
      </c>
      <c r="G20" s="3102"/>
    </row>
    <row r="21" spans="1:13" ht="19.5" customHeight="1">
      <c r="A21" s="3838"/>
      <c r="B21" s="3831"/>
      <c r="C21" s="3103" t="s">
        <v>2445</v>
      </c>
      <c r="D21" s="3104"/>
      <c r="E21" s="3105">
        <v>1</v>
      </c>
      <c r="F21" s="3102" t="s">
        <v>2446</v>
      </c>
      <c r="G21" s="3102"/>
    </row>
    <row r="22" spans="1:13" ht="19.5" customHeight="1">
      <c r="A22" s="3838"/>
      <c r="B22" s="3831"/>
      <c r="C22" s="3103" t="s">
        <v>2447</v>
      </c>
      <c r="D22" s="3104"/>
      <c r="E22" s="3105">
        <v>0.9</v>
      </c>
      <c r="F22" s="3102" t="s">
        <v>2448</v>
      </c>
      <c r="G22" s="3102"/>
    </row>
    <row r="23" spans="1:13" ht="19.5" customHeight="1">
      <c r="A23" s="3838"/>
      <c r="B23" s="3831"/>
      <c r="C23" s="3103" t="s">
        <v>2449</v>
      </c>
      <c r="D23" s="3104"/>
      <c r="E23" s="3105">
        <v>0.9</v>
      </c>
      <c r="F23" s="3102" t="s">
        <v>2450</v>
      </c>
      <c r="G23" s="3102"/>
    </row>
    <row r="24" spans="1:13" ht="19.5" customHeight="1">
      <c r="A24" s="3838"/>
      <c r="B24" s="3831"/>
      <c r="C24" s="3103" t="s">
        <v>2451</v>
      </c>
      <c r="D24" s="3104"/>
      <c r="E24" s="3105">
        <v>0.8</v>
      </c>
      <c r="F24" s="3102" t="s">
        <v>2452</v>
      </c>
      <c r="G24" s="3102"/>
    </row>
    <row r="25" spans="1:13" ht="19.5" customHeight="1" thickBot="1">
      <c r="A25" s="3839"/>
      <c r="B25" s="3833"/>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34" t="s">
        <v>2635</v>
      </c>
      <c r="B27" s="3832" t="s">
        <v>2616</v>
      </c>
      <c r="C27" s="3099" t="s">
        <v>2456</v>
      </c>
      <c r="D27" s="3100"/>
      <c r="E27" s="3101">
        <v>1</v>
      </c>
      <c r="F27" s="3102" t="s">
        <v>2457</v>
      </c>
      <c r="G27" s="3102"/>
    </row>
    <row r="28" spans="1:13" ht="19.5" customHeight="1">
      <c r="A28" s="3835"/>
      <c r="B28" s="3831"/>
      <c r="C28" s="3103" t="s">
        <v>2458</v>
      </c>
      <c r="D28" s="3104"/>
      <c r="E28" s="3105">
        <v>1</v>
      </c>
      <c r="F28" s="3102" t="s">
        <v>2459</v>
      </c>
      <c r="G28" s="3102"/>
    </row>
    <row r="29" spans="1:13" ht="19.5" customHeight="1">
      <c r="A29" s="3835"/>
      <c r="B29" s="3831"/>
      <c r="C29" s="3103" t="s">
        <v>2460</v>
      </c>
      <c r="D29" s="3104"/>
      <c r="E29" s="3105">
        <v>0.8</v>
      </c>
      <c r="F29" s="3102" t="s">
        <v>2461</v>
      </c>
      <c r="G29" s="3102"/>
    </row>
    <row r="30" spans="1:13" ht="19.5" customHeight="1">
      <c r="A30" s="3835"/>
      <c r="B30" s="3831"/>
      <c r="C30" s="3103" t="s">
        <v>2462</v>
      </c>
      <c r="D30" s="3104"/>
      <c r="E30" s="3105">
        <v>0.8</v>
      </c>
      <c r="F30" s="3102" t="s">
        <v>2463</v>
      </c>
      <c r="G30" s="3102"/>
    </row>
    <row r="31" spans="1:13" ht="19.5" customHeight="1">
      <c r="A31" s="3835"/>
      <c r="B31" s="3831"/>
      <c r="C31" s="3103" t="s">
        <v>2464</v>
      </c>
      <c r="D31" s="3104"/>
      <c r="E31" s="3105">
        <v>0.8</v>
      </c>
      <c r="F31" s="3102" t="s">
        <v>2465</v>
      </c>
      <c r="G31" s="3102"/>
    </row>
    <row r="32" spans="1:13" ht="19.5" customHeight="1">
      <c r="A32" s="3835"/>
      <c r="B32" s="3831"/>
      <c r="C32" s="3103" t="s">
        <v>2466</v>
      </c>
      <c r="D32" s="3104"/>
      <c r="E32" s="3105">
        <v>0.7</v>
      </c>
      <c r="F32" s="3102" t="s">
        <v>2467</v>
      </c>
      <c r="G32" s="3102"/>
    </row>
    <row r="33" spans="1:7" ht="19.5" customHeight="1">
      <c r="A33" s="3835"/>
      <c r="B33" s="3831"/>
      <c r="C33" s="3103" t="s">
        <v>2468</v>
      </c>
      <c r="D33" s="3104"/>
      <c r="E33" s="3105">
        <v>0.8</v>
      </c>
      <c r="F33" s="3102" t="s">
        <v>2469</v>
      </c>
      <c r="G33" s="3102"/>
    </row>
    <row r="34" spans="1:7" ht="19.5" customHeight="1">
      <c r="A34" s="3835"/>
      <c r="B34" s="3831"/>
      <c r="C34" s="3103" t="s">
        <v>2470</v>
      </c>
      <c r="D34" s="3104"/>
      <c r="E34" s="3105">
        <v>0.6</v>
      </c>
      <c r="F34" s="3102" t="s">
        <v>2471</v>
      </c>
      <c r="G34" s="3102"/>
    </row>
    <row r="35" spans="1:7" ht="19.5" customHeight="1">
      <c r="A35" s="3835"/>
      <c r="B35" s="3831"/>
      <c r="C35" s="3103" t="s">
        <v>2472</v>
      </c>
      <c r="D35" s="3104"/>
      <c r="E35" s="3105">
        <v>0.2</v>
      </c>
      <c r="F35" s="3102" t="s">
        <v>2473</v>
      </c>
      <c r="G35" s="3102"/>
    </row>
    <row r="36" spans="1:7" ht="19.5" customHeight="1">
      <c r="A36" s="3835"/>
      <c r="B36" s="3831"/>
      <c r="C36" s="3103" t="s">
        <v>2474</v>
      </c>
      <c r="D36" s="3104"/>
      <c r="E36" s="3105">
        <v>0.2</v>
      </c>
      <c r="F36" s="3102" t="s">
        <v>2475</v>
      </c>
      <c r="G36" s="3102"/>
    </row>
    <row r="37" spans="1:7" ht="19.5" customHeight="1">
      <c r="A37" s="3835"/>
      <c r="B37" s="3829" t="s">
        <v>2636</v>
      </c>
      <c r="C37" s="3103" t="s">
        <v>2476</v>
      </c>
      <c r="D37" s="3104"/>
      <c r="E37" s="3105">
        <v>0.6</v>
      </c>
      <c r="F37" s="3102" t="s">
        <v>2477</v>
      </c>
      <c r="G37" s="3102"/>
    </row>
    <row r="38" spans="1:7" ht="19.5" customHeight="1">
      <c r="A38" s="3835"/>
      <c r="B38" s="3831"/>
      <c r="C38" s="3103" t="s">
        <v>2478</v>
      </c>
      <c r="D38" s="3104"/>
      <c r="E38" s="3105">
        <v>0.6</v>
      </c>
      <c r="F38" s="3102" t="s">
        <v>2479</v>
      </c>
      <c r="G38" s="3102"/>
    </row>
    <row r="39" spans="1:7" ht="19.5" customHeight="1" thickBot="1">
      <c r="A39" s="3836"/>
      <c r="B39" s="3833"/>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37" t="s">
        <v>2614</v>
      </c>
      <c r="B41" s="3832" t="s">
        <v>2638</v>
      </c>
      <c r="C41" s="3099" t="s">
        <v>2483</v>
      </c>
      <c r="D41" s="3100"/>
      <c r="E41" s="3101">
        <v>1</v>
      </c>
      <c r="F41" s="3102" t="s">
        <v>2484</v>
      </c>
      <c r="G41" s="3102"/>
    </row>
    <row r="42" spans="1:7" ht="19.5" customHeight="1">
      <c r="A42" s="3838"/>
      <c r="B42" s="3831"/>
      <c r="C42" s="3103" t="s">
        <v>2485</v>
      </c>
      <c r="D42" s="3104"/>
      <c r="E42" s="3105">
        <v>1</v>
      </c>
      <c r="F42" s="3102" t="s">
        <v>2486</v>
      </c>
      <c r="G42" s="3102"/>
    </row>
    <row r="43" spans="1:7" ht="19.5" customHeight="1">
      <c r="A43" s="3838"/>
      <c r="B43" s="3830"/>
      <c r="C43" s="3103" t="s">
        <v>2487</v>
      </c>
      <c r="D43" s="3104"/>
      <c r="E43" s="3105">
        <v>1.5</v>
      </c>
      <c r="F43" s="3102" t="s">
        <v>2488</v>
      </c>
      <c r="G43" s="3102"/>
    </row>
    <row r="44" spans="1:7" ht="19.5" customHeight="1">
      <c r="A44" s="3838"/>
      <c r="B44" s="3114" t="s">
        <v>2639</v>
      </c>
      <c r="C44" s="3103" t="s">
        <v>2640</v>
      </c>
      <c r="D44" s="3104"/>
      <c r="E44" s="3105">
        <v>2</v>
      </c>
      <c r="F44" s="3102" t="s">
        <v>2489</v>
      </c>
      <c r="G44" s="3102"/>
    </row>
    <row r="45" spans="1:7" ht="19.5" customHeight="1">
      <c r="A45" s="3838"/>
      <c r="B45" s="3829" t="s">
        <v>2641</v>
      </c>
      <c r="C45" s="3103" t="s">
        <v>2490</v>
      </c>
      <c r="D45" s="3104"/>
      <c r="E45" s="3105">
        <v>1</v>
      </c>
      <c r="F45" s="3102" t="s">
        <v>2491</v>
      </c>
      <c r="G45" s="3102"/>
    </row>
    <row r="46" spans="1:7" ht="19.5" customHeight="1">
      <c r="A46" s="3838"/>
      <c r="B46" s="3831"/>
      <c r="C46" s="3103" t="s">
        <v>2492</v>
      </c>
      <c r="D46" s="3104"/>
      <c r="E46" s="3105">
        <v>1</v>
      </c>
      <c r="F46" s="3102" t="s">
        <v>2493</v>
      </c>
      <c r="G46" s="3102"/>
    </row>
    <row r="47" spans="1:7" ht="19.5" customHeight="1">
      <c r="A47" s="3838"/>
      <c r="B47" s="3831"/>
      <c r="C47" s="3103" t="s">
        <v>2494</v>
      </c>
      <c r="D47" s="3104"/>
      <c r="E47" s="3105">
        <v>1</v>
      </c>
      <c r="F47" s="3102" t="s">
        <v>2495</v>
      </c>
      <c r="G47" s="3102"/>
    </row>
    <row r="48" spans="1:7" ht="19.5" customHeight="1">
      <c r="A48" s="3838"/>
      <c r="B48" s="3831"/>
      <c r="C48" s="3103" t="s">
        <v>2496</v>
      </c>
      <c r="D48" s="3104"/>
      <c r="E48" s="3105">
        <v>1</v>
      </c>
      <c r="F48" s="3102" t="s">
        <v>2497</v>
      </c>
      <c r="G48" s="3102"/>
    </row>
    <row r="49" spans="1:7" ht="19.5" customHeight="1">
      <c r="A49" s="3838"/>
      <c r="B49" s="3831"/>
      <c r="C49" s="3103" t="s">
        <v>2498</v>
      </c>
      <c r="D49" s="3104"/>
      <c r="E49" s="3105">
        <v>1</v>
      </c>
      <c r="F49" s="3102" t="s">
        <v>2499</v>
      </c>
      <c r="G49" s="3102"/>
    </row>
    <row r="50" spans="1:7" ht="19.5" customHeight="1">
      <c r="A50" s="3838"/>
      <c r="B50" s="3831"/>
      <c r="C50" s="3103" t="s">
        <v>2500</v>
      </c>
      <c r="D50" s="3104"/>
      <c r="E50" s="3105">
        <v>1</v>
      </c>
      <c r="F50" s="3102" t="s">
        <v>2501</v>
      </c>
      <c r="G50" s="3102"/>
    </row>
    <row r="51" spans="1:7" ht="19.5" customHeight="1" thickBot="1">
      <c r="A51" s="3839"/>
      <c r="B51" s="3833"/>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829" t="s">
        <v>2655</v>
      </c>
      <c r="C73" s="3088" t="s">
        <v>2656</v>
      </c>
      <c r="D73" s="3088" t="s">
        <v>2657</v>
      </c>
      <c r="E73" s="3114">
        <v>0.2</v>
      </c>
      <c r="F73" s="3114">
        <v>25</v>
      </c>
    </row>
    <row r="74" spans="1:7" ht="24">
      <c r="A74" s="3114">
        <v>2</v>
      </c>
      <c r="B74" s="3831"/>
      <c r="C74" s="3088" t="s">
        <v>2658</v>
      </c>
      <c r="D74" s="3088" t="s">
        <v>2659</v>
      </c>
      <c r="E74" s="3114">
        <v>0.2</v>
      </c>
      <c r="F74" s="3114">
        <v>25</v>
      </c>
    </row>
    <row r="75" spans="1:7" ht="24">
      <c r="A75" s="3114">
        <v>3</v>
      </c>
      <c r="B75" s="3831"/>
      <c r="C75" s="3088" t="s">
        <v>2660</v>
      </c>
      <c r="D75" s="3088" t="s">
        <v>2661</v>
      </c>
      <c r="E75" s="3114">
        <v>0.2</v>
      </c>
      <c r="F75" s="3114">
        <v>25</v>
      </c>
    </row>
    <row r="76" spans="1:7" ht="13.5">
      <c r="A76" s="3114">
        <v>4</v>
      </c>
      <c r="B76" s="3831"/>
      <c r="C76" s="3088" t="s">
        <v>2662</v>
      </c>
      <c r="D76" s="3088" t="s">
        <v>2663</v>
      </c>
      <c r="E76" s="3114">
        <v>0.15</v>
      </c>
      <c r="F76" s="3114">
        <v>20</v>
      </c>
    </row>
    <row r="77" spans="1:7" ht="24">
      <c r="A77" s="3114">
        <v>5</v>
      </c>
      <c r="B77" s="3831"/>
      <c r="C77" s="3088" t="s">
        <v>2664</v>
      </c>
      <c r="D77" s="3088" t="s">
        <v>2665</v>
      </c>
      <c r="E77" s="3114">
        <v>0.15</v>
      </c>
      <c r="F77" s="3114">
        <v>20</v>
      </c>
    </row>
    <row r="78" spans="1:7" ht="24">
      <c r="A78" s="3114">
        <v>6</v>
      </c>
      <c r="B78" s="3831"/>
      <c r="C78" s="3088" t="s">
        <v>2666</v>
      </c>
      <c r="D78" s="3088" t="s">
        <v>2667</v>
      </c>
      <c r="E78" s="3114">
        <v>0.15</v>
      </c>
      <c r="F78" s="3114">
        <v>20</v>
      </c>
    </row>
    <row r="79" spans="1:7" ht="24">
      <c r="A79" s="3114">
        <v>7</v>
      </c>
      <c r="B79" s="3831"/>
      <c r="C79" s="3088" t="s">
        <v>2668</v>
      </c>
      <c r="D79" s="3088" t="s">
        <v>2669</v>
      </c>
      <c r="E79" s="3114">
        <v>0.15</v>
      </c>
      <c r="F79" s="3114">
        <v>20</v>
      </c>
    </row>
    <row r="80" spans="1:7" ht="24">
      <c r="A80" s="3114">
        <v>8</v>
      </c>
      <c r="B80" s="3831"/>
      <c r="C80" s="3088" t="s">
        <v>2670</v>
      </c>
      <c r="D80" s="3088" t="s">
        <v>2671</v>
      </c>
      <c r="E80" s="3114">
        <v>0.1</v>
      </c>
      <c r="F80" s="3114">
        <v>15</v>
      </c>
    </row>
    <row r="81" spans="1:6" ht="24">
      <c r="A81" s="3114">
        <v>9</v>
      </c>
      <c r="B81" s="3831"/>
      <c r="C81" s="3088" t="s">
        <v>2672</v>
      </c>
      <c r="D81" s="3088" t="s">
        <v>2673</v>
      </c>
      <c r="E81" s="3114">
        <v>0.1</v>
      </c>
      <c r="F81" s="3114">
        <v>15</v>
      </c>
    </row>
    <row r="82" spans="1:6" ht="24">
      <c r="A82" s="3114">
        <v>10</v>
      </c>
      <c r="B82" s="3831"/>
      <c r="C82" s="3088" t="s">
        <v>2674</v>
      </c>
      <c r="D82" s="3088" t="s">
        <v>2675</v>
      </c>
      <c r="E82" s="3114">
        <v>0.1</v>
      </c>
      <c r="F82" s="3114">
        <v>15</v>
      </c>
    </row>
    <row r="83" spans="1:6" ht="24">
      <c r="A83" s="3114">
        <v>11</v>
      </c>
      <c r="B83" s="3831"/>
      <c r="C83" s="3088" t="s">
        <v>2676</v>
      </c>
      <c r="D83" s="3088" t="s">
        <v>2677</v>
      </c>
      <c r="E83" s="3114">
        <v>0.1</v>
      </c>
      <c r="F83" s="3114">
        <v>15</v>
      </c>
    </row>
    <row r="84" spans="1:6" ht="24">
      <c r="A84" s="3114">
        <v>12</v>
      </c>
      <c r="B84" s="3831"/>
      <c r="C84" s="3088" t="s">
        <v>2678</v>
      </c>
      <c r="D84" s="3088" t="s">
        <v>2679</v>
      </c>
      <c r="E84" s="3114">
        <v>0.1</v>
      </c>
      <c r="F84" s="3114">
        <v>15</v>
      </c>
    </row>
    <row r="85" spans="1:6" ht="13.5">
      <c r="A85" s="3114">
        <v>13</v>
      </c>
      <c r="B85" s="3831"/>
      <c r="C85" s="3088" t="s">
        <v>2680</v>
      </c>
      <c r="D85" s="3088" t="s">
        <v>2681</v>
      </c>
      <c r="E85" s="3114">
        <v>0.1</v>
      </c>
      <c r="F85" s="3114">
        <v>15</v>
      </c>
    </row>
    <row r="86" spans="1:6" ht="13.5">
      <c r="A86" s="3114">
        <v>14</v>
      </c>
      <c r="B86" s="3831"/>
      <c r="C86" s="3088" t="s">
        <v>2682</v>
      </c>
      <c r="D86" s="3088" t="s">
        <v>2683</v>
      </c>
      <c r="E86" s="3114">
        <v>0.1</v>
      </c>
      <c r="F86" s="3114">
        <v>15</v>
      </c>
    </row>
    <row r="87" spans="1:6" ht="13.5">
      <c r="A87" s="3114">
        <v>15</v>
      </c>
      <c r="B87" s="3831"/>
      <c r="C87" s="3088" t="s">
        <v>2684</v>
      </c>
      <c r="D87" s="3088" t="s">
        <v>2685</v>
      </c>
      <c r="E87" s="3114">
        <v>0.1</v>
      </c>
      <c r="F87" s="3114">
        <v>15</v>
      </c>
    </row>
    <row r="88" spans="1:6" ht="24">
      <c r="A88" s="3114">
        <v>16</v>
      </c>
      <c r="B88" s="3831"/>
      <c r="C88" s="3088" t="s">
        <v>2686</v>
      </c>
      <c r="D88" s="3088" t="s">
        <v>2687</v>
      </c>
      <c r="E88" s="3114">
        <v>0.1</v>
      </c>
      <c r="F88" s="3114">
        <v>15</v>
      </c>
    </row>
    <row r="89" spans="1:6" ht="24">
      <c r="A89" s="3114">
        <v>17</v>
      </c>
      <c r="B89" s="3830"/>
      <c r="C89" s="3088" t="s">
        <v>2688</v>
      </c>
      <c r="D89" s="3088" t="s">
        <v>2689</v>
      </c>
      <c r="E89" s="3114">
        <v>0.1</v>
      </c>
      <c r="F89" s="3114">
        <v>15</v>
      </c>
    </row>
    <row r="90" spans="1:6" ht="13.5">
      <c r="A90" s="3114">
        <v>18</v>
      </c>
      <c r="B90" s="3829" t="s">
        <v>2690</v>
      </c>
      <c r="C90" s="3088" t="s">
        <v>2691</v>
      </c>
      <c r="D90" s="3088" t="s">
        <v>2692</v>
      </c>
      <c r="E90" s="3114">
        <v>0.2</v>
      </c>
      <c r="F90" s="3114">
        <v>25</v>
      </c>
    </row>
    <row r="91" spans="1:6" ht="24">
      <c r="A91" s="3114">
        <v>19</v>
      </c>
      <c r="B91" s="3831"/>
      <c r="C91" s="3088" t="s">
        <v>2693</v>
      </c>
      <c r="D91" s="3088" t="s">
        <v>2694</v>
      </c>
      <c r="E91" s="3114">
        <v>0.2</v>
      </c>
      <c r="F91" s="3114">
        <v>25</v>
      </c>
    </row>
    <row r="92" spans="1:6" ht="13.5">
      <c r="A92" s="3114">
        <v>20</v>
      </c>
      <c r="B92" s="3831"/>
      <c r="C92" s="3088" t="s">
        <v>2695</v>
      </c>
      <c r="D92" s="3088" t="s">
        <v>2696</v>
      </c>
      <c r="E92" s="3114">
        <v>0.15</v>
      </c>
      <c r="F92" s="3114">
        <v>20</v>
      </c>
    </row>
    <row r="93" spans="1:6" ht="13.5">
      <c r="A93" s="3114">
        <v>21</v>
      </c>
      <c r="B93" s="3831"/>
      <c r="C93" s="3088" t="s">
        <v>2697</v>
      </c>
      <c r="D93" s="3088" t="s">
        <v>2698</v>
      </c>
      <c r="E93" s="3114">
        <v>0.15</v>
      </c>
      <c r="F93" s="3114">
        <v>20</v>
      </c>
    </row>
    <row r="94" spans="1:6" ht="13.5">
      <c r="A94" s="3114">
        <v>22</v>
      </c>
      <c r="B94" s="3831"/>
      <c r="C94" s="3088" t="s">
        <v>2699</v>
      </c>
      <c r="D94" s="3088" t="s">
        <v>2700</v>
      </c>
      <c r="E94" s="3114">
        <v>0.15</v>
      </c>
      <c r="F94" s="3114">
        <v>20</v>
      </c>
    </row>
    <row r="95" spans="1:6" ht="36">
      <c r="A95" s="3114">
        <v>23</v>
      </c>
      <c r="B95" s="3831"/>
      <c r="C95" s="3088" t="s">
        <v>2701</v>
      </c>
      <c r="D95" s="3088" t="s">
        <v>2702</v>
      </c>
      <c r="E95" s="3114">
        <v>0.15</v>
      </c>
      <c r="F95" s="3114">
        <v>20</v>
      </c>
    </row>
    <row r="96" spans="1:6" ht="13.5">
      <c r="A96" s="3114">
        <v>24</v>
      </c>
      <c r="B96" s="3831"/>
      <c r="C96" s="3088" t="s">
        <v>2703</v>
      </c>
      <c r="D96" s="3088" t="s">
        <v>2704</v>
      </c>
      <c r="E96" s="3114">
        <v>0.1</v>
      </c>
      <c r="F96" s="3114">
        <v>15</v>
      </c>
    </row>
    <row r="97" spans="1:6" ht="13.5">
      <c r="A97" s="3114">
        <v>25</v>
      </c>
      <c r="B97" s="3831"/>
      <c r="C97" s="3088" t="s">
        <v>2705</v>
      </c>
      <c r="D97" s="3088" t="s">
        <v>2706</v>
      </c>
      <c r="E97" s="3114">
        <v>0.1</v>
      </c>
      <c r="F97" s="3114">
        <v>15</v>
      </c>
    </row>
    <row r="98" spans="1:6" ht="24">
      <c r="A98" s="3114">
        <v>26</v>
      </c>
      <c r="B98" s="3831"/>
      <c r="C98" s="3088" t="s">
        <v>2707</v>
      </c>
      <c r="D98" s="3088" t="s">
        <v>2708</v>
      </c>
      <c r="E98" s="3114">
        <v>0.1</v>
      </c>
      <c r="F98" s="3114">
        <v>15</v>
      </c>
    </row>
    <row r="99" spans="1:6" ht="24">
      <c r="A99" s="3114">
        <v>27</v>
      </c>
      <c r="B99" s="3831"/>
      <c r="C99" s="3088" t="s">
        <v>2709</v>
      </c>
      <c r="D99" s="3088" t="s">
        <v>2710</v>
      </c>
      <c r="E99" s="3114">
        <v>0.1</v>
      </c>
      <c r="F99" s="3114">
        <v>15</v>
      </c>
    </row>
    <row r="100" spans="1:6" ht="13.5">
      <c r="A100" s="3114">
        <v>28</v>
      </c>
      <c r="B100" s="3831"/>
      <c r="C100" s="3088" t="s">
        <v>2711</v>
      </c>
      <c r="D100" s="3088" t="s">
        <v>2712</v>
      </c>
      <c r="E100" s="3114">
        <v>0.1</v>
      </c>
      <c r="F100" s="3114">
        <v>15</v>
      </c>
    </row>
    <row r="101" spans="1:6" ht="13.5">
      <c r="A101" s="3114">
        <v>29</v>
      </c>
      <c r="B101" s="3831"/>
      <c r="C101" s="3088" t="s">
        <v>2713</v>
      </c>
      <c r="D101" s="3088" t="s">
        <v>2714</v>
      </c>
      <c r="E101" s="3114">
        <v>0.1</v>
      </c>
      <c r="F101" s="3114">
        <v>15</v>
      </c>
    </row>
    <row r="102" spans="1:6" ht="13.5">
      <c r="A102" s="3114">
        <v>30</v>
      </c>
      <c r="B102" s="3831"/>
      <c r="C102" s="3088" t="s">
        <v>2715</v>
      </c>
      <c r="D102" s="3088" t="s">
        <v>2716</v>
      </c>
      <c r="E102" s="3114">
        <v>0.1</v>
      </c>
      <c r="F102" s="3114">
        <v>15</v>
      </c>
    </row>
    <row r="103" spans="1:6" ht="24">
      <c r="A103" s="3114">
        <v>31</v>
      </c>
      <c r="B103" s="3831"/>
      <c r="C103" s="3088" t="s">
        <v>2717</v>
      </c>
      <c r="D103" s="3088" t="s">
        <v>2718</v>
      </c>
      <c r="E103" s="3114">
        <v>0.1</v>
      </c>
      <c r="F103" s="3114">
        <v>15</v>
      </c>
    </row>
    <row r="104" spans="1:6" ht="24">
      <c r="A104" s="3114">
        <v>32</v>
      </c>
      <c r="B104" s="3831"/>
      <c r="C104" s="3088" t="s">
        <v>2719</v>
      </c>
      <c r="D104" s="3088" t="s">
        <v>2720</v>
      </c>
      <c r="E104" s="3114">
        <v>0.1</v>
      </c>
      <c r="F104" s="3114">
        <v>15</v>
      </c>
    </row>
    <row r="105" spans="1:6" ht="24">
      <c r="A105" s="3114">
        <v>33</v>
      </c>
      <c r="B105" s="3831"/>
      <c r="C105" s="3088" t="s">
        <v>2721</v>
      </c>
      <c r="D105" s="3088" t="s">
        <v>2722</v>
      </c>
      <c r="E105" s="3114">
        <v>0.1</v>
      </c>
      <c r="F105" s="3114">
        <v>15</v>
      </c>
    </row>
    <row r="106" spans="1:6" ht="24">
      <c r="A106" s="3114">
        <v>34</v>
      </c>
      <c r="B106" s="3830"/>
      <c r="C106" s="3088" t="s">
        <v>2723</v>
      </c>
      <c r="D106" s="3088" t="s">
        <v>2724</v>
      </c>
      <c r="E106" s="3114">
        <v>0.1</v>
      </c>
      <c r="F106" s="3114">
        <v>15</v>
      </c>
    </row>
    <row r="107" spans="1:6" ht="24">
      <c r="A107" s="3114">
        <v>35</v>
      </c>
      <c r="B107" s="3829" t="s">
        <v>2725</v>
      </c>
      <c r="C107" s="3114" t="s">
        <v>2726</v>
      </c>
      <c r="D107" s="3088" t="s">
        <v>2727</v>
      </c>
      <c r="E107" s="3114">
        <v>0.15</v>
      </c>
      <c r="F107" s="3114">
        <v>20</v>
      </c>
    </row>
    <row r="108" spans="1:6" ht="13.5">
      <c r="A108" s="3114">
        <v>36</v>
      </c>
      <c r="B108" s="3831"/>
      <c r="C108" s="3114" t="s">
        <v>2728</v>
      </c>
      <c r="D108" s="3088" t="s">
        <v>2729</v>
      </c>
      <c r="E108" s="3114">
        <v>0.15</v>
      </c>
      <c r="F108" s="3114">
        <v>20</v>
      </c>
    </row>
    <row r="109" spans="1:6" ht="13.5">
      <c r="A109" s="3114">
        <v>37</v>
      </c>
      <c r="B109" s="3831"/>
      <c r="C109" s="3114" t="s">
        <v>2730</v>
      </c>
      <c r="D109" s="3088" t="s">
        <v>2731</v>
      </c>
      <c r="E109" s="3114">
        <v>0.15</v>
      </c>
      <c r="F109" s="3114">
        <v>20</v>
      </c>
    </row>
    <row r="110" spans="1:6" ht="13.5">
      <c r="A110" s="3114">
        <v>38</v>
      </c>
      <c r="B110" s="3831"/>
      <c r="C110" s="3114" t="s">
        <v>2732</v>
      </c>
      <c r="D110" s="3088" t="s">
        <v>2733</v>
      </c>
      <c r="E110" s="3114">
        <v>0.1</v>
      </c>
      <c r="F110" s="3114">
        <v>15</v>
      </c>
    </row>
    <row r="111" spans="1:6" ht="24">
      <c r="A111" s="3114">
        <v>39</v>
      </c>
      <c r="B111" s="3831"/>
      <c r="C111" s="3114" t="s">
        <v>2734</v>
      </c>
      <c r="D111" s="3088" t="s">
        <v>2735</v>
      </c>
      <c r="E111" s="3114">
        <v>0.1</v>
      </c>
      <c r="F111" s="3114">
        <v>15</v>
      </c>
    </row>
    <row r="112" spans="1:6" ht="24">
      <c r="A112" s="3114">
        <v>40</v>
      </c>
      <c r="B112" s="3830"/>
      <c r="C112" s="3114" t="s">
        <v>2736</v>
      </c>
      <c r="D112" s="3088" t="s">
        <v>2737</v>
      </c>
      <c r="E112" s="3114">
        <v>0.1</v>
      </c>
      <c r="F112" s="3114">
        <v>15</v>
      </c>
    </row>
    <row r="113" spans="1:6" ht="13.5">
      <c r="A113" s="3114">
        <v>41</v>
      </c>
      <c r="B113" s="3828" t="s">
        <v>2738</v>
      </c>
      <c r="C113" s="3114" t="s">
        <v>2739</v>
      </c>
      <c r="D113" s="3088" t="s">
        <v>2740</v>
      </c>
      <c r="E113" s="3114">
        <v>0.1</v>
      </c>
      <c r="F113" s="3114">
        <v>15</v>
      </c>
    </row>
    <row r="114" spans="1:6" ht="13.5">
      <c r="A114" s="3114">
        <v>42</v>
      </c>
      <c r="B114" s="3828"/>
      <c r="C114" s="3114" t="s">
        <v>2741</v>
      </c>
      <c r="D114" s="3088" t="s">
        <v>2742</v>
      </c>
      <c r="E114" s="3114">
        <v>0.1</v>
      </c>
      <c r="F114" s="3114">
        <v>15</v>
      </c>
    </row>
    <row r="115" spans="1:6" ht="24">
      <c r="A115" s="3114">
        <v>43</v>
      </c>
      <c r="B115" s="3828"/>
      <c r="C115" s="3114" t="s">
        <v>2743</v>
      </c>
      <c r="D115" s="3088" t="s">
        <v>2744</v>
      </c>
      <c r="E115" s="3114">
        <v>0.1</v>
      </c>
      <c r="F115" s="3114">
        <v>15</v>
      </c>
    </row>
    <row r="116" spans="1:6" ht="13.5">
      <c r="A116" s="3114">
        <v>44</v>
      </c>
      <c r="B116" s="3829" t="s">
        <v>2745</v>
      </c>
      <c r="C116" s="3114" t="s">
        <v>2746</v>
      </c>
      <c r="D116" s="3088" t="s">
        <v>2747</v>
      </c>
      <c r="E116" s="3114">
        <v>0.1</v>
      </c>
      <c r="F116" s="3114">
        <v>15</v>
      </c>
    </row>
    <row r="117" spans="1:6" ht="24">
      <c r="A117" s="3114">
        <v>45</v>
      </c>
      <c r="B117" s="3830"/>
      <c r="C117" s="3088" t="s">
        <v>2748</v>
      </c>
      <c r="D117" s="3088" t="s">
        <v>2749</v>
      </c>
      <c r="E117" s="3114">
        <v>0.1</v>
      </c>
      <c r="F117" s="3114">
        <v>15</v>
      </c>
    </row>
    <row r="118" spans="1:6" ht="24">
      <c r="A118" s="3114">
        <v>46</v>
      </c>
      <c r="B118" s="3829" t="s">
        <v>2750</v>
      </c>
      <c r="C118" s="3114" t="s">
        <v>2751</v>
      </c>
      <c r="D118" s="3088" t="s">
        <v>2752</v>
      </c>
      <c r="E118" s="3114">
        <v>0.1</v>
      </c>
      <c r="F118" s="3114">
        <v>15</v>
      </c>
    </row>
    <row r="119" spans="1:6" ht="24">
      <c r="A119" s="3114">
        <v>47</v>
      </c>
      <c r="B119" s="3830"/>
      <c r="C119" s="3114" t="s">
        <v>2753</v>
      </c>
      <c r="D119" s="3088" t="s">
        <v>2754</v>
      </c>
      <c r="E119" s="3114">
        <v>0.1</v>
      </c>
      <c r="F119" s="3114">
        <v>15</v>
      </c>
    </row>
    <row r="120" spans="1:6" ht="13.5">
      <c r="A120" s="3114">
        <v>48</v>
      </c>
      <c r="B120" s="3829" t="s">
        <v>2755</v>
      </c>
      <c r="C120" s="3114" t="s">
        <v>2756</v>
      </c>
      <c r="D120" s="3088" t="s">
        <v>2757</v>
      </c>
      <c r="E120" s="3114">
        <v>0.1</v>
      </c>
      <c r="F120" s="3114">
        <v>15</v>
      </c>
    </row>
    <row r="121" spans="1:6" ht="13.5">
      <c r="A121" s="3114">
        <v>49</v>
      </c>
      <c r="B121" s="3830"/>
      <c r="C121" s="3114" t="s">
        <v>2758</v>
      </c>
      <c r="D121" s="3088" t="s">
        <v>2759</v>
      </c>
      <c r="E121" s="3114">
        <v>0.1</v>
      </c>
      <c r="F121" s="3114">
        <v>15</v>
      </c>
    </row>
    <row r="122" spans="1:6" ht="24">
      <c r="A122" s="3114">
        <v>50</v>
      </c>
      <c r="B122" s="3828" t="s">
        <v>2760</v>
      </c>
      <c r="C122" s="3114" t="s">
        <v>2761</v>
      </c>
      <c r="D122" s="3088" t="s">
        <v>2762</v>
      </c>
      <c r="E122" s="3114">
        <v>0.1</v>
      </c>
      <c r="F122" s="3114">
        <v>15</v>
      </c>
    </row>
    <row r="123" spans="1:6" ht="24">
      <c r="A123" s="3114">
        <v>51</v>
      </c>
      <c r="B123" s="3828"/>
      <c r="C123" s="3114" t="s">
        <v>2763</v>
      </c>
      <c r="D123" s="3088" t="s">
        <v>2764</v>
      </c>
      <c r="E123" s="3114">
        <v>0.1</v>
      </c>
      <c r="F123" s="3114">
        <v>15</v>
      </c>
    </row>
    <row r="124" spans="1:6" ht="24">
      <c r="A124" s="3114">
        <v>52</v>
      </c>
      <c r="B124" s="3828" t="s">
        <v>2765</v>
      </c>
      <c r="C124" s="3114" t="s">
        <v>2766</v>
      </c>
      <c r="D124" s="3088" t="s">
        <v>2767</v>
      </c>
      <c r="E124" s="3114">
        <v>0.1</v>
      </c>
      <c r="F124" s="3114">
        <v>15</v>
      </c>
    </row>
    <row r="125" spans="1:6" ht="24">
      <c r="A125" s="3114">
        <v>53</v>
      </c>
      <c r="B125" s="3828"/>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828" t="s">
        <v>2773</v>
      </c>
      <c r="C127" s="3114" t="s">
        <v>2774</v>
      </c>
      <c r="D127" s="3088" t="s">
        <v>2775</v>
      </c>
      <c r="E127" s="3114">
        <v>0.1</v>
      </c>
      <c r="F127" s="3114">
        <v>15</v>
      </c>
    </row>
    <row r="128" spans="1:6" ht="13.5">
      <c r="A128" s="3114">
        <v>56</v>
      </c>
      <c r="B128" s="3828"/>
      <c r="C128" s="3114" t="s">
        <v>2776</v>
      </c>
      <c r="D128" s="3088" t="s">
        <v>2777</v>
      </c>
      <c r="E128" s="3114">
        <v>0.1</v>
      </c>
      <c r="F128" s="3114">
        <v>15</v>
      </c>
    </row>
    <row r="129" spans="1:6" ht="24">
      <c r="A129" s="3114">
        <v>57</v>
      </c>
      <c r="B129" s="3828"/>
      <c r="C129" s="3114" t="s">
        <v>2778</v>
      </c>
      <c r="D129" s="3088" t="s">
        <v>2779</v>
      </c>
      <c r="E129" s="3114">
        <v>0.1</v>
      </c>
      <c r="F129" s="3114">
        <v>15</v>
      </c>
    </row>
    <row r="130" spans="1:6" ht="24">
      <c r="A130" s="3114">
        <v>58</v>
      </c>
      <c r="B130" s="3828" t="s">
        <v>2780</v>
      </c>
      <c r="C130" s="3114" t="s">
        <v>2781</v>
      </c>
      <c r="D130" s="3088" t="s">
        <v>2782</v>
      </c>
      <c r="E130" s="3114">
        <v>0.1</v>
      </c>
      <c r="F130" s="3114">
        <v>15</v>
      </c>
    </row>
    <row r="131" spans="1:6" ht="13.5">
      <c r="A131" s="3114">
        <v>59</v>
      </c>
      <c r="B131" s="3828"/>
      <c r="C131" s="3114" t="s">
        <v>2783</v>
      </c>
      <c r="D131" s="3088" t="s">
        <v>2784</v>
      </c>
      <c r="E131" s="3114">
        <v>0.1</v>
      </c>
      <c r="F131" s="3114">
        <v>15</v>
      </c>
    </row>
    <row r="132" spans="1:6" ht="13.5">
      <c r="A132" s="3114">
        <v>60</v>
      </c>
      <c r="B132" s="3829" t="s">
        <v>2785</v>
      </c>
      <c r="C132" s="3114" t="s">
        <v>2786</v>
      </c>
      <c r="D132" s="3088" t="s">
        <v>2787</v>
      </c>
      <c r="E132" s="3114">
        <v>0.1</v>
      </c>
      <c r="F132" s="3114">
        <v>15</v>
      </c>
    </row>
    <row r="133" spans="1:6" ht="13.5">
      <c r="A133" s="3114">
        <v>61</v>
      </c>
      <c r="B133" s="3830"/>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828" t="s">
        <v>2793</v>
      </c>
      <c r="C135" s="3114" t="s">
        <v>2794</v>
      </c>
      <c r="D135" s="3088" t="s">
        <v>2795</v>
      </c>
      <c r="E135" s="3114">
        <v>0.1</v>
      </c>
      <c r="F135" s="3114">
        <v>15</v>
      </c>
    </row>
    <row r="136" spans="1:6" ht="13.5">
      <c r="A136" s="3114">
        <v>64</v>
      </c>
      <c r="B136" s="3828"/>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2802</v>
      </c>
      <c r="B1" s="3123"/>
      <c r="C1" s="3123"/>
      <c r="D1" s="3123"/>
      <c r="E1" s="3123"/>
      <c r="F1" s="3123"/>
      <c r="G1" s="3123"/>
      <c r="H1" s="3123"/>
      <c r="I1" s="3123"/>
      <c r="J1" s="3123"/>
      <c r="K1" s="3123"/>
      <c r="L1" s="3123"/>
      <c r="M1" s="3123"/>
      <c r="N1" s="746"/>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7">
        <f>SUMPRODUCT((A95:A184=ROUNDDOWN(基准地价修正!G3,1))*(B94:M94=基准地价修正!G2)*(B95:M184))</f>
        <v>1.0397000000000001</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7">
        <f>SUMPRODUCT((A371:A460=ROUNDDOWN(基准地价修正!G3,1))*(B370:M370=基准地价修正!G2)*(B371:M460))</f>
        <v>0.98899999999999999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4"/>
      <c r="C2" s="3524"/>
      <c r="D2" s="3524"/>
      <c r="E2" s="3524"/>
    </row>
    <row r="3" spans="1:5" ht="18">
      <c r="A3" s="3525" t="str">
        <f>IF(项目基本情况!B9="房地产市场价值","估价结果一览表（市场价值不需“结果表-1”）","估价结果一览表")</f>
        <v>估价结果一览表</v>
      </c>
      <c r="B3" s="3525"/>
      <c r="C3" s="3525"/>
      <c r="D3" s="3525"/>
      <c r="E3" s="3525"/>
    </row>
    <row r="4" spans="1:5" ht="19.5" thickBot="1">
      <c r="A4" s="1490"/>
      <c r="B4" s="3523" t="s">
        <v>917</v>
      </c>
      <c r="C4" s="3523"/>
      <c r="D4" s="3523"/>
      <c r="E4" s="1490"/>
    </row>
    <row r="5" spans="1:5" ht="16.5" thickTop="1">
      <c r="A5" s="1488"/>
      <c r="B5" s="3521" t="s">
        <v>909</v>
      </c>
      <c r="C5" s="1491" t="s">
        <v>910</v>
      </c>
      <c r="D5" s="847">
        <f ca="1">结果表!H101</f>
        <v>183644</v>
      </c>
      <c r="E5" s="1488"/>
    </row>
    <row r="6" spans="1:5" ht="15.75">
      <c r="A6" s="1488"/>
      <c r="B6" s="3521"/>
      <c r="C6" s="1491" t="s">
        <v>911</v>
      </c>
      <c r="D6" s="847" t="str">
        <f ca="1">NUMBERSTRING(INT(D5*10000),2)&amp;"元整"</f>
        <v>壹拾捌亿叁仟陆佰肆拾肆万元整</v>
      </c>
      <c r="E6" s="1488"/>
    </row>
    <row r="7" spans="1:5" ht="15.75">
      <c r="A7" s="1488"/>
      <c r="B7" s="3526"/>
      <c r="C7" s="1492" t="s">
        <v>912</v>
      </c>
      <c r="D7" s="848">
        <f ca="1">结果表!H102</f>
        <v>32876</v>
      </c>
      <c r="E7" s="1488"/>
    </row>
    <row r="8" spans="1:5" ht="15.75">
      <c r="A8" s="1488"/>
      <c r="B8" s="3527" t="str">
        <f>结果表!E103</f>
        <v>2.估价师知悉的法定优先受偿款</v>
      </c>
      <c r="C8" s="1493" t="s">
        <v>913</v>
      </c>
      <c r="D8" s="848">
        <f>结果表!H103</f>
        <v>0</v>
      </c>
      <c r="E8" s="1488"/>
    </row>
    <row r="9" spans="1:5" ht="15.75">
      <c r="A9" s="1488"/>
      <c r="B9" s="3529"/>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20" t="str">
        <f>结果表!E107</f>
        <v>3.房地产抵押价值</v>
      </c>
      <c r="C13" s="1496" t="s">
        <v>910</v>
      </c>
      <c r="D13" s="850">
        <f ca="1">结果表!H107</f>
        <v>183644</v>
      </c>
      <c r="E13" s="1488"/>
    </row>
    <row r="14" spans="1:5" ht="15.75">
      <c r="A14" s="1488"/>
      <c r="B14" s="3521"/>
      <c r="C14" s="1491" t="s">
        <v>911</v>
      </c>
      <c r="D14" s="847" t="str">
        <f ca="1">NUMBERSTRING(INT(D13*10000),2)&amp;"元整"</f>
        <v>壹拾捌亿叁仟陆佰肆拾肆万元整</v>
      </c>
      <c r="E14" s="1488"/>
    </row>
    <row r="15" spans="1:5" ht="15">
      <c r="A15" s="1488"/>
      <c r="B15" s="3526"/>
      <c r="C15" s="1492" t="s">
        <v>921</v>
      </c>
      <c r="D15" s="856">
        <f ca="1">结果表!H108</f>
        <v>32876</v>
      </c>
      <c r="E15" s="1488"/>
    </row>
    <row r="16" spans="1:5" ht="15">
      <c r="A16" s="1488"/>
      <c r="B16" s="3527" t="str">
        <f>结果表!E109</f>
        <v>——</v>
      </c>
      <c r="C16" s="1496" t="s">
        <v>922</v>
      </c>
      <c r="D16" s="1497" t="str">
        <f>结果表!H109</f>
        <v>——</v>
      </c>
      <c r="E16" s="1488"/>
    </row>
    <row r="17" spans="1:5" ht="15.75">
      <c r="A17" s="1488"/>
      <c r="B17" s="3528"/>
      <c r="C17" s="1491" t="s">
        <v>923</v>
      </c>
      <c r="D17" s="847" t="e">
        <f>NUMBERSTRING(INT(D16*10000),2)&amp;"元整"</f>
        <v>#VALUE!</v>
      </c>
      <c r="E17" s="1488"/>
    </row>
    <row r="18" spans="1:5" ht="15">
      <c r="A18" s="1488"/>
      <c r="B18" s="3529"/>
      <c r="C18" s="1492" t="s">
        <v>912</v>
      </c>
      <c r="D18" s="856" t="str">
        <f>结果表!H110</f>
        <v>——</v>
      </c>
      <c r="E18" s="1488"/>
    </row>
    <row r="19" spans="1:5" ht="15.75">
      <c r="A19" s="1488"/>
      <c r="B19" s="3520" t="str">
        <f>结果表!E111</f>
        <v>——</v>
      </c>
      <c r="C19" s="1496" t="s">
        <v>910</v>
      </c>
      <c r="D19" s="848" t="str">
        <f>结果表!H111</f>
        <v>——</v>
      </c>
      <c r="E19" s="1488"/>
    </row>
    <row r="20" spans="1:5" ht="15.75">
      <c r="A20" s="1488"/>
      <c r="B20" s="3521"/>
      <c r="C20" s="1491" t="s">
        <v>923</v>
      </c>
      <c r="D20" s="847" t="e">
        <f>NUMBERSTRING(INT(D19*10000),2)&amp;"元整"</f>
        <v>#VALUE!</v>
      </c>
      <c r="E20" s="1488"/>
    </row>
    <row r="21" spans="1:5" ht="15.75" thickBot="1">
      <c r="A21" s="1488"/>
      <c r="B21" s="3522"/>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68648</v>
      </c>
      <c r="C2" s="2" t="s">
        <v>106</v>
      </c>
      <c r="D2" s="197"/>
      <c r="E2" s="197"/>
      <c r="F2" s="197"/>
      <c r="G2" s="197"/>
    </row>
    <row r="3" spans="1:7" s="198" customFormat="1" ht="18" customHeight="1" thickBot="1">
      <c r="A3" s="201" t="s">
        <v>58</v>
      </c>
      <c r="B3" s="202">
        <f ca="1">ROUND(B2*10000/'数据-汇总表'!E3,0)</f>
        <v>12290</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160</v>
      </c>
      <c r="F9" s="219"/>
      <c r="G9" s="224"/>
    </row>
    <row r="10" spans="1:7" s="212" customFormat="1" ht="13.5" customHeight="1">
      <c r="A10" s="776" t="s">
        <v>356</v>
      </c>
      <c r="B10" s="222" t="s">
        <v>67</v>
      </c>
      <c r="C10" s="223">
        <f>ROUND(D10*E10/10000,0)</f>
        <v>1117</v>
      </c>
      <c r="D10" s="842">
        <f>'数据-汇总表'!E6</f>
        <v>55858.869999999981</v>
      </c>
      <c r="E10" s="223">
        <f>'数据-取费表'!B28</f>
        <v>200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1117</v>
      </c>
      <c r="D19" s="846">
        <f>'数据-汇总表'!E3</f>
        <v>55858.869999999981</v>
      </c>
      <c r="E19" s="209">
        <f>'数据-取费表'!B31</f>
        <v>200</v>
      </c>
      <c r="F19" s="229"/>
      <c r="G19" s="1" t="s">
        <v>436</v>
      </c>
    </row>
    <row r="20" spans="1:7" s="212" customFormat="1" ht="13.5" customHeight="1">
      <c r="A20" s="774" t="s">
        <v>419</v>
      </c>
      <c r="B20" s="208" t="s">
        <v>77</v>
      </c>
      <c r="C20" s="230">
        <f>ROUND((C5+C19)*F20,0)</f>
        <v>652</v>
      </c>
      <c r="D20" s="230"/>
      <c r="E20" s="230"/>
      <c r="F20" s="231">
        <f>'数据-取费表'!B37</f>
        <v>0.03</v>
      </c>
      <c r="G20" s="1064" t="s">
        <v>430</v>
      </c>
    </row>
    <row r="21" spans="1:7" s="212" customFormat="1" ht="13.5" customHeight="1">
      <c r="A21" s="774" t="s">
        <v>421</v>
      </c>
      <c r="B21" s="208" t="s">
        <v>78</v>
      </c>
      <c r="C21" s="233">
        <f>F21</f>
        <v>0.02</v>
      </c>
      <c r="D21" s="234" t="s">
        <v>99</v>
      </c>
      <c r="E21" s="230"/>
      <c r="F21" s="231">
        <f>'数据-取费表'!B38</f>
        <v>0.02</v>
      </c>
      <c r="G21" s="232" t="s">
        <v>79</v>
      </c>
    </row>
    <row r="22" spans="1:7" s="212" customFormat="1" ht="13.5" customHeight="1">
      <c r="A22" s="774" t="s">
        <v>341</v>
      </c>
      <c r="B22" s="208" t="s">
        <v>80</v>
      </c>
      <c r="C22" s="1101">
        <f ca="1">ROUND(SUM(C23:C25),0)</f>
        <v>1547</v>
      </c>
      <c r="D22" s="233">
        <f ca="1">C26</f>
        <v>6.9999999999999999E-4</v>
      </c>
      <c r="E22" s="234" t="s">
        <v>99</v>
      </c>
      <c r="F22" s="235">
        <f ca="1">'数据-取费表'!B40</f>
        <v>3.4500000000000003E-2</v>
      </c>
      <c r="G22" s="1064" t="str">
        <f>IF('数据-取费表'!B22&lt;=1,"单利计息","复利计息")</f>
        <v>复利计息</v>
      </c>
    </row>
    <row r="23" spans="1:7" s="212" customFormat="1" ht="13.5" customHeight="1">
      <c r="A23" s="777" t="s">
        <v>349</v>
      </c>
      <c r="B23" s="213" t="s">
        <v>423</v>
      </c>
      <c r="C23" s="1102">
        <f ca="1">ROUND(IF('数据-取费表'!B22&lt;=1,C5*F22*'数据-取费表'!B23,C5*(POWER((1+F22),'数据-取费表'!B23)-1)),0)</f>
        <v>1447</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78</v>
      </c>
      <c r="D24" s="236"/>
      <c r="E24" s="236"/>
      <c r="F24" s="237"/>
      <c r="G24" s="238" t="s">
        <v>82</v>
      </c>
    </row>
    <row r="25" spans="1:7" s="212" customFormat="1" ht="24">
      <c r="A25" s="777" t="s">
        <v>348</v>
      </c>
      <c r="B25" s="213" t="s">
        <v>420</v>
      </c>
      <c r="C25" s="1102">
        <f ca="1">ROUND(IF('数据-取费表'!B22&lt;=1,C20*F22*'数据-取费表'!B23/2,C20*(POWER((1+F22),'数据-取费表'!B23/2)-1)),0)</f>
        <v>22</v>
      </c>
      <c r="D25" s="236"/>
      <c r="E25" s="239"/>
      <c r="F25" s="237"/>
      <c r="G25" s="240" t="s">
        <v>83</v>
      </c>
    </row>
    <row r="26" spans="1:7" s="212" customFormat="1">
      <c r="A26" s="777" t="s">
        <v>350</v>
      </c>
      <c r="B26" s="213" t="s">
        <v>422</v>
      </c>
      <c r="C26" s="236">
        <f ca="1">ROUND(IF('数据-取费表'!B22&lt;=1,F21*F22*'数据-取费表'!B23/2,F21*(POWER((1+F22),'数据-取费表'!B23/2)-1)),4)</f>
        <v>6.9999999999999999E-4</v>
      </c>
      <c r="D26" s="236"/>
      <c r="E26" s="239"/>
      <c r="F26" s="237"/>
      <c r="G26" s="241"/>
    </row>
    <row r="27" spans="1:7" s="212" customFormat="1" ht="24.75">
      <c r="A27" s="774" t="s">
        <v>342</v>
      </c>
      <c r="B27" s="242" t="s">
        <v>85</v>
      </c>
      <c r="C27" s="243">
        <f>C28</f>
        <v>3357</v>
      </c>
      <c r="D27" s="233">
        <f>C29</f>
        <v>3.0000000000000001E-3</v>
      </c>
      <c r="E27" s="234" t="s">
        <v>99</v>
      </c>
      <c r="F27" s="244">
        <f>'数据-取费表'!Q16</f>
        <v>0.15</v>
      </c>
      <c r="G27" s="245" t="s">
        <v>431</v>
      </c>
    </row>
    <row r="28" spans="1:7" s="212" customFormat="1" ht="13.5" customHeight="1">
      <c r="A28" s="777" t="s">
        <v>349</v>
      </c>
      <c r="B28" s="246" t="s">
        <v>424</v>
      </c>
      <c r="C28" s="247">
        <f>ROUND((C5+C19+C20)*F27*'数据-取费表'!B21/'数据-取费表'!B20,0)</f>
        <v>3357</v>
      </c>
      <c r="D28" s="233"/>
      <c r="E28" s="234"/>
      <c r="F28" s="244"/>
      <c r="G28" s="245"/>
    </row>
    <row r="29" spans="1:7" s="212" customFormat="1" ht="13.5" customHeight="1">
      <c r="A29" s="777" t="s">
        <v>347</v>
      </c>
      <c r="B29" s="246" t="s">
        <v>425</v>
      </c>
      <c r="C29" s="236">
        <f>ROUND(C21*F27*'数据-取费表'!B21/'数据-取费表'!B20,4)</f>
        <v>3.0000000000000001E-3</v>
      </c>
      <c r="D29" s="233"/>
      <c r="E29" s="234"/>
      <c r="F29" s="244"/>
      <c r="G29" s="245"/>
    </row>
    <row r="30" spans="1:7" s="212" customFormat="1" ht="13.5" customHeight="1">
      <c r="A30" s="774"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29560</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33989</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30722</v>
      </c>
      <c r="D34" s="215"/>
      <c r="E34" s="218"/>
      <c r="F34" s="255">
        <f>IF('数据-取费表'!B24=0,1,'数据-取费表'!N16)</f>
        <v>1</v>
      </c>
      <c r="G34" s="217" t="s">
        <v>89</v>
      </c>
    </row>
    <row r="35" spans="1:7" ht="13.5" customHeight="1">
      <c r="A35" s="777" t="s">
        <v>351</v>
      </c>
      <c r="B35" s="213" t="s">
        <v>33</v>
      </c>
      <c r="C35" s="218">
        <f>ROUND(C34*F35,0)</f>
        <v>1536</v>
      </c>
      <c r="D35" s="218"/>
      <c r="E35" s="218"/>
      <c r="F35" s="257">
        <f>'数据-取费表'!B33</f>
        <v>0.05</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1117</v>
      </c>
      <c r="D37" s="215">
        <f>'数据-汇总表'!E3</f>
        <v>55858.869999999981</v>
      </c>
      <c r="E37" s="247">
        <f>'数据-取费表'!B35</f>
        <v>200</v>
      </c>
      <c r="F37" s="257"/>
      <c r="G37" s="259" t="s">
        <v>92</v>
      </c>
    </row>
    <row r="38" spans="1:7" ht="13.5" customHeight="1">
      <c r="A38" s="777" t="s">
        <v>354</v>
      </c>
      <c r="B38" s="213" t="s">
        <v>36</v>
      </c>
      <c r="C38" s="218">
        <f>ROUND(C34*F38,0)</f>
        <v>614</v>
      </c>
      <c r="D38" s="218"/>
      <c r="E38" s="218"/>
      <c r="F38" s="257">
        <f>'数据-取费表'!B36</f>
        <v>0.02</v>
      </c>
      <c r="G38" s="217" t="s">
        <v>90</v>
      </c>
    </row>
    <row r="39" spans="1:7" s="212" customFormat="1" ht="13.5" customHeight="1">
      <c r="A39" s="774" t="s">
        <v>338</v>
      </c>
      <c r="B39" s="208" t="s">
        <v>77</v>
      </c>
      <c r="C39" s="230">
        <f>ROUND(C33*F20,0)</f>
        <v>1020</v>
      </c>
      <c r="D39" s="230"/>
      <c r="E39" s="230"/>
      <c r="F39" s="231"/>
      <c r="G39" s="1064" t="s">
        <v>433</v>
      </c>
    </row>
    <row r="40" spans="1:7" s="212" customFormat="1" ht="13.5" customHeight="1">
      <c r="A40" s="774" t="s">
        <v>339</v>
      </c>
      <c r="B40" s="208" t="s">
        <v>78</v>
      </c>
      <c r="C40" s="260">
        <f>F21</f>
        <v>0.02</v>
      </c>
      <c r="D40" s="234" t="s">
        <v>102</v>
      </c>
      <c r="E40" s="230"/>
      <c r="F40" s="231"/>
      <c r="G40" s="232" t="s">
        <v>93</v>
      </c>
    </row>
    <row r="41" spans="1:7" s="212" customFormat="1" ht="13.5" customHeight="1">
      <c r="A41" s="774" t="s">
        <v>340</v>
      </c>
      <c r="B41" s="208" t="s">
        <v>80</v>
      </c>
      <c r="C41" s="230">
        <f ca="1">ROUND(SUM(C42:C43),0)</f>
        <v>1208</v>
      </c>
      <c r="D41" s="233">
        <f ca="1">C44</f>
        <v>6.9999999999999999E-4</v>
      </c>
      <c r="E41" s="234" t="s">
        <v>102</v>
      </c>
      <c r="F41" s="235"/>
      <c r="G41" s="1064" t="str">
        <f>IF('数据-取费表'!B22&lt;=1,"单利计息","复利计息")</f>
        <v>复利计息</v>
      </c>
    </row>
    <row r="42" spans="1:7" ht="13.5" customHeight="1">
      <c r="A42" s="777" t="s">
        <v>349</v>
      </c>
      <c r="B42" s="213" t="s">
        <v>423</v>
      </c>
      <c r="C42" s="236">
        <f ca="1">ROUND(IF('数据-取费表'!B22&lt;=1,C33*F22*'数据-取费表'!B21/2,C33*(POWER((1+F22),'数据-取费表'!B21/2)-1)),0)</f>
        <v>1173</v>
      </c>
      <c r="D42" s="236"/>
      <c r="E42" s="236"/>
      <c r="F42" s="237"/>
      <c r="G42" s="3703" t="s">
        <v>94</v>
      </c>
    </row>
    <row r="43" spans="1:7" ht="13.5" customHeight="1">
      <c r="A43" s="777" t="s">
        <v>347</v>
      </c>
      <c r="B43" s="213" t="s">
        <v>426</v>
      </c>
      <c r="C43" s="236">
        <f ca="1">ROUND(IF('数据-取费表'!B22&lt;=1,C39*F22*'数据-取费表'!B21/2,C39*(POWER((1+F22),'数据-取费表'!B21/2)-1)),0)</f>
        <v>35</v>
      </c>
      <c r="D43" s="236"/>
      <c r="E43" s="236"/>
      <c r="F43" s="237"/>
      <c r="G43" s="3704"/>
    </row>
    <row r="44" spans="1:7" ht="13.5" customHeight="1">
      <c r="A44" s="777" t="s">
        <v>348</v>
      </c>
      <c r="B44" s="213" t="s">
        <v>428</v>
      </c>
      <c r="C44" s="236">
        <f ca="1">ROUND(IF('数据-取费表'!B22&lt;=1,C40*F22*'数据-取费表'!B21/2,C40*(POWER((1+F22),'数据-取费表'!B21/2)-1)),4)</f>
        <v>6.9999999999999999E-4</v>
      </c>
      <c r="D44" s="236"/>
      <c r="E44" s="236"/>
      <c r="F44" s="237"/>
      <c r="G44" s="3705"/>
    </row>
    <row r="45" spans="1:7" s="212" customFormat="1" ht="13.5" customHeight="1">
      <c r="A45" s="774" t="s">
        <v>341</v>
      </c>
      <c r="B45" s="242" t="s">
        <v>85</v>
      </c>
      <c r="C45" s="243">
        <f>C46</f>
        <v>5251</v>
      </c>
      <c r="D45" s="233">
        <f>C47</f>
        <v>3.0000000000000001E-3</v>
      </c>
      <c r="E45" s="234" t="s">
        <v>102</v>
      </c>
      <c r="F45" s="244"/>
      <c r="G45" s="245" t="s">
        <v>434</v>
      </c>
    </row>
    <row r="46" spans="1:7" s="212" customFormat="1" ht="13.5" customHeight="1">
      <c r="A46" s="777" t="s">
        <v>349</v>
      </c>
      <c r="B46" s="246" t="s">
        <v>427</v>
      </c>
      <c r="C46" s="247">
        <f>ROUND((C33+C39)*F27,0)</f>
        <v>5251</v>
      </c>
      <c r="D46" s="261"/>
      <c r="E46" s="234"/>
      <c r="F46" s="244"/>
      <c r="G46" s="245"/>
    </row>
    <row r="47" spans="1:7" s="212" customFormat="1" ht="13.5" customHeight="1">
      <c r="A47" s="777" t="s">
        <v>347</v>
      </c>
      <c r="B47" s="246" t="s">
        <v>429</v>
      </c>
      <c r="C47" s="236">
        <f>ROUND(C40*F27,4)</f>
        <v>3.0000000000000001E-3</v>
      </c>
      <c r="D47" s="261"/>
      <c r="E47" s="234"/>
      <c r="F47" s="244"/>
      <c r="G47" s="245"/>
    </row>
    <row r="48" spans="1:7" s="212" customFormat="1" ht="13.5" customHeight="1">
      <c r="A48" s="774" t="s">
        <v>342</v>
      </c>
      <c r="B48" s="208" t="s">
        <v>95</v>
      </c>
      <c r="C48" s="260">
        <f>F30</f>
        <v>5.6000000000000001E-2</v>
      </c>
      <c r="D48" s="234" t="s">
        <v>103</v>
      </c>
      <c r="E48" s="230"/>
      <c r="F48" s="235"/>
      <c r="G48" s="232" t="s">
        <v>96</v>
      </c>
    </row>
    <row r="49" spans="1:7" ht="16.5" customHeight="1">
      <c r="A49" s="774" t="s">
        <v>343</v>
      </c>
      <c r="B49" s="208" t="s">
        <v>104</v>
      </c>
      <c r="C49" s="230">
        <f ca="1">ROUND((C33+C39+C41+C45)/(1-C40-D41-D45-C48/(1+'数据-取费表'!B42)),0)</f>
        <v>44929</v>
      </c>
      <c r="D49" s="230"/>
      <c r="E49" s="230"/>
      <c r="F49" s="262"/>
      <c r="G49" s="232" t="s">
        <v>435</v>
      </c>
    </row>
    <row r="50" spans="1:7" s="256" customFormat="1" ht="24">
      <c r="A50" s="774" t="s">
        <v>344</v>
      </c>
      <c r="B50" s="208" t="s">
        <v>97</v>
      </c>
      <c r="C50" s="230"/>
      <c r="D50" s="230"/>
      <c r="E50" s="230"/>
      <c r="F50" s="262">
        <f>IF('数据-取费表'!B24=0,'数据-取费表'!N16,1)</f>
        <v>0.87</v>
      </c>
      <c r="G50" s="245" t="s">
        <v>98</v>
      </c>
    </row>
    <row r="51" spans="1:7" ht="16.5" customHeight="1">
      <c r="A51" s="774" t="s">
        <v>345</v>
      </c>
      <c r="B51" s="208" t="s">
        <v>105</v>
      </c>
      <c r="C51" s="230">
        <f ca="1">ROUND(C49*F50,0)</f>
        <v>39088</v>
      </c>
      <c r="D51" s="230"/>
      <c r="E51" s="230"/>
      <c r="F51" s="262"/>
      <c r="G51" s="232" t="s">
        <v>37</v>
      </c>
    </row>
    <row r="52" spans="1:7" s="206" customFormat="1" ht="16.5" thickBot="1">
      <c r="A52" s="263" t="s">
        <v>38</v>
      </c>
      <c r="B52" s="264"/>
      <c r="C52" s="265">
        <f ca="1">C31+C51</f>
        <v>68648</v>
      </c>
      <c r="D52" s="264"/>
      <c r="E52" s="264"/>
      <c r="F52" s="264"/>
      <c r="G52" s="266"/>
    </row>
    <row r="55" spans="1:7" ht="15">
      <c r="B55" s="268" t="s">
        <v>39</v>
      </c>
      <c r="C55" s="269"/>
    </row>
    <row r="56" spans="1:7">
      <c r="B56" s="271" t="s">
        <v>40</v>
      </c>
      <c r="C56" s="272">
        <f ca="1">ROUND(C51/C52,3)</f>
        <v>0.56899999999999995</v>
      </c>
    </row>
    <row r="57" spans="1:7">
      <c r="B57" s="271" t="s">
        <v>41</v>
      </c>
      <c r="C57" s="273">
        <f ca="1">1-C56</f>
        <v>0.43100000000000005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2" t="s">
        <v>2843</v>
      </c>
      <c r="B1" s="3842"/>
      <c r="C1" s="3842"/>
      <c r="D1" s="3842"/>
      <c r="E1" s="3842"/>
      <c r="F1" s="3842"/>
      <c r="G1" s="3843"/>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40"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841"/>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4" t="s">
        <v>3185</v>
      </c>
      <c r="B1" s="3844"/>
    </row>
    <row r="2" spans="1:7" ht="14.25" thickBot="1">
      <c r="A2" s="3251"/>
      <c r="B2" s="3251"/>
    </row>
    <row r="3" spans="1:7" ht="14.25" thickBot="1">
      <c r="A3" s="3251"/>
      <c r="B3" s="3251"/>
      <c r="C3" s="3252" t="s">
        <v>2815</v>
      </c>
      <c r="D3" s="3252" t="s">
        <v>2871</v>
      </c>
      <c r="E3" s="3252" t="s">
        <v>2817</v>
      </c>
      <c r="F3" s="3252" t="s">
        <v>2872</v>
      </c>
      <c r="G3" s="3252" t="s">
        <v>2635</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45" t="s">
        <v>3236</v>
      </c>
      <c r="B1" s="3845"/>
      <c r="C1" s="3845"/>
      <c r="D1" s="3845"/>
      <c r="E1" s="3845"/>
      <c r="F1" s="3846"/>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7">
        <f>基准地价修正!G23</f>
        <v>45272</v>
      </c>
      <c r="B1" s="3206" t="s">
        <v>3376</v>
      </c>
      <c r="C1" s="3207"/>
      <c r="D1" s="3207"/>
      <c r="E1" s="3207"/>
      <c r="F1" s="3207"/>
      <c r="G1" s="3207"/>
      <c r="H1" s="3207"/>
      <c r="I1" s="3207"/>
      <c r="J1" s="3161"/>
      <c r="K1" s="3207" t="s">
        <v>454</v>
      </c>
      <c r="L1" s="3207"/>
      <c r="M1" s="3207"/>
      <c r="N1" s="3207"/>
      <c r="O1" s="3207"/>
      <c r="P1" s="3207"/>
      <c r="Q1" s="3161"/>
      <c r="R1" s="3847" t="s">
        <v>456</v>
      </c>
      <c r="S1" s="3848"/>
      <c r="T1" s="3848"/>
      <c r="U1" s="3848"/>
      <c r="V1" s="3848"/>
      <c r="W1" s="3848"/>
      <c r="X1" s="3161"/>
      <c r="Y1" s="3847" t="s">
        <v>457</v>
      </c>
      <c r="Z1" s="3848"/>
      <c r="AA1" s="3848"/>
      <c r="AB1" s="3848"/>
      <c r="AC1" s="3848"/>
      <c r="AD1" s="3848"/>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ROUND(AVERAGEIF(D4:D18,"&lt;&gt;0"),2)</f>
        <v>0.78</v>
      </c>
      <c r="E3" s="3147">
        <f t="shared" ref="E3:H3" si="0">ROUND(AVERAGEIF(E4:E18,"&lt;&gt;0"),2)</f>
        <v>0.41</v>
      </c>
      <c r="F3" s="3147">
        <f t="shared" si="0"/>
        <v>0.23</v>
      </c>
      <c r="G3" s="3147">
        <f t="shared" si="0"/>
        <v>0.84</v>
      </c>
      <c r="H3" s="3147">
        <f t="shared" si="0"/>
        <v>0.63</v>
      </c>
      <c r="I3" s="3147">
        <f>F3</f>
        <v>0.23</v>
      </c>
      <c r="J3" s="3148"/>
      <c r="K3" s="3149">
        <f>ROUND(AVERAGEIF(K4:K18,"&lt;&gt;0"),4)</f>
        <v>7.7999999999999996E-3</v>
      </c>
      <c r="L3" s="3150">
        <f t="shared" ref="L3:O3" si="1">ROUND(AVERAGEIF(L4:L18,"&lt;&gt;0"),4)</f>
        <v>4.1000000000000003E-3</v>
      </c>
      <c r="M3" s="3150">
        <f t="shared" si="1"/>
        <v>2.3E-3</v>
      </c>
      <c r="N3" s="3150">
        <f t="shared" si="1"/>
        <v>8.3999999999999995E-3</v>
      </c>
      <c r="O3" s="3150">
        <f t="shared" si="1"/>
        <v>6.3E-3</v>
      </c>
      <c r="P3" s="3150">
        <f>M3</f>
        <v>2.3E-3</v>
      </c>
      <c r="Q3" s="3148"/>
      <c r="R3" s="3151">
        <f>ROUND(SUMPRODUCT(PRODUCT(1+K4:K18)),4)</f>
        <v>1.0888</v>
      </c>
      <c r="S3" s="3152">
        <f t="shared" ref="S3:V3" si="2">ROUND(SUMPRODUCT(PRODUCT(1+L4:L18)),4)</f>
        <v>1.0463</v>
      </c>
      <c r="T3" s="3152">
        <f t="shared" si="2"/>
        <v>1.0257000000000001</v>
      </c>
      <c r="U3" s="3152">
        <f t="shared" si="2"/>
        <v>1.0961000000000001</v>
      </c>
      <c r="V3" s="3152">
        <f t="shared" si="2"/>
        <v>1.0713999999999999</v>
      </c>
      <c r="W3" s="3151">
        <f>T3</f>
        <v>1.0257000000000001</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3380</v>
      </c>
      <c r="B5" s="3173">
        <v>2023</v>
      </c>
      <c r="C5" s="3174">
        <v>4</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1.0783</v>
      </c>
      <c r="S5" s="3179">
        <f>ROUND(IF(项目基本情况!$B$8="出让",SUMPRODUCT(PRODUCT(1+L5:$L$18)),SUMPRODUCT(PRODUCT(1+L5:$L$17))),4)</f>
        <v>1.0447</v>
      </c>
      <c r="T5" s="3179">
        <f>ROUND(IF(项目基本情况!$B$8="出让",SUMPRODUCT(PRODUCT(1+M5:$M$18)),SUMPRODUCT(PRODUCT(1+M5:$M$17))),4)</f>
        <v>1.0282</v>
      </c>
      <c r="U5" s="3179">
        <f>ROUND(IF(项目基本情况!$B$8="出让",SUMPRODUCT(PRODUCT(1+N5:$N$18)),SUMPRODUCT(PRODUCT(1+N5:$N$17))),4)</f>
        <v>1.0841000000000001</v>
      </c>
      <c r="V5" s="3179">
        <f>ROUND(IF(项目基本情况!$B$8="出让",SUMPRODUCT(PRODUCT(1+O5:$O$18)),SUMPRODUCT(PRODUCT(1+O5:$O$17))),4)</f>
        <v>1.0674999999999999</v>
      </c>
      <c r="W5" s="3179">
        <f>T5</f>
        <v>1.0282</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2" t="s">
        <v>3381</v>
      </c>
      <c r="B6" s="3173">
        <v>2023</v>
      </c>
      <c r="C6" s="3174">
        <v>3</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1.0783</v>
      </c>
      <c r="S6" s="3179">
        <f>ROUND(IF(项目基本情况!$B$8="出让",SUMPRODUCT(PRODUCT(1+L6:$L$18)),SUMPRODUCT(PRODUCT(1+L6:$L$17))),4)</f>
        <v>1.0447</v>
      </c>
      <c r="T6" s="3179">
        <f>ROUND(IF(项目基本情况!$B$8="出让",SUMPRODUCT(PRODUCT(1+M6:$M$18)),SUMPRODUCT(PRODUCT(1+M6:$M$17))),4)</f>
        <v>1.0282</v>
      </c>
      <c r="U6" s="3179">
        <f>ROUND(IF(项目基本情况!$B$8="出让",SUMPRODUCT(PRODUCT(1+N6:$N$18)),SUMPRODUCT(PRODUCT(1+N6:$N$17))),4)</f>
        <v>1.0841000000000001</v>
      </c>
      <c r="V6" s="3179">
        <f>ROUND(IF(项目基本情况!$B$8="出让",SUMPRODUCT(PRODUCT(1+O6:$O$18)),SUMPRODUCT(PRODUCT(1+O6:$O$17))),4)</f>
        <v>1.0674999999999999</v>
      </c>
      <c r="W6" s="3179">
        <f t="shared" ref="W6" si="14">T6</f>
        <v>1.0282</v>
      </c>
      <c r="X6" s="3177"/>
      <c r="Y6" s="3180"/>
      <c r="Z6" s="3180"/>
      <c r="AA6" s="3180"/>
      <c r="AB6" s="3180"/>
      <c r="AC6" s="3180"/>
      <c r="AD6" s="3180"/>
    </row>
    <row r="7" spans="1:30" s="3181" customFormat="1" ht="12.75">
      <c r="A7" s="2202" t="s">
        <v>3382</v>
      </c>
      <c r="B7" s="3173">
        <v>2023</v>
      </c>
      <c r="C7" s="3174">
        <v>3</v>
      </c>
      <c r="D7" s="3175">
        <v>0</v>
      </c>
      <c r="E7" s="3175">
        <v>0</v>
      </c>
      <c r="F7" s="3175">
        <v>0</v>
      </c>
      <c r="G7" s="3175">
        <v>0</v>
      </c>
      <c r="H7" s="3192">
        <v>0</v>
      </c>
      <c r="I7" s="3176">
        <v>0</v>
      </c>
      <c r="J7" s="3177"/>
      <c r="K7" s="3178">
        <f t="shared" si="5"/>
        <v>0</v>
      </c>
      <c r="L7" s="3168">
        <f t="shared" si="5"/>
        <v>0</v>
      </c>
      <c r="M7" s="3168">
        <f t="shared" si="5"/>
        <v>0</v>
      </c>
      <c r="N7" s="3168">
        <f t="shared" si="5"/>
        <v>0</v>
      </c>
      <c r="O7" s="3168">
        <f t="shared" si="5"/>
        <v>0</v>
      </c>
      <c r="P7" s="3168">
        <f t="shared" ref="P7" si="15">M7</f>
        <v>0</v>
      </c>
      <c r="Q7" s="3177"/>
      <c r="R7" s="3179">
        <f>ROUND(IF(项目基本情况!$B$8="出让",SUMPRODUCT(PRODUCT(1+K7:$K$18)),SUMPRODUCT(PRODUCT(1+K7:$K$17))),4)</f>
        <v>1.0783</v>
      </c>
      <c r="S7" s="3179">
        <f>ROUND(IF(项目基本情况!$B$8="出让",SUMPRODUCT(PRODUCT(1+L7:$L$18)),SUMPRODUCT(PRODUCT(1+L7:$L$17))),4)</f>
        <v>1.0447</v>
      </c>
      <c r="T7" s="3179">
        <f>ROUND(IF(项目基本情况!$B$8="出让",SUMPRODUCT(PRODUCT(1+M7:$M$18)),SUMPRODUCT(PRODUCT(1+M7:$M$17))),4)</f>
        <v>1.0282</v>
      </c>
      <c r="U7" s="3179">
        <f>ROUND(IF(项目基本情况!$B$8="出让",SUMPRODUCT(PRODUCT(1+N7:$N$18)),SUMPRODUCT(PRODUCT(1+N7:$N$17))),4)</f>
        <v>1.0841000000000001</v>
      </c>
      <c r="V7" s="3179">
        <f>ROUND(IF(项目基本情况!$B$8="出让",SUMPRODUCT(PRODUCT(1+O7:$O$18)),SUMPRODUCT(PRODUCT(1+O7:$O$17))),4)</f>
        <v>1.0674999999999999</v>
      </c>
      <c r="W7" s="3179">
        <f t="shared" ref="W7" si="16">T7</f>
        <v>1.0282</v>
      </c>
      <c r="X7" s="3177"/>
      <c r="Y7" s="3180"/>
      <c r="Z7" s="3180"/>
      <c r="AA7" s="3180"/>
      <c r="AB7" s="3180"/>
      <c r="AC7" s="3180"/>
      <c r="AD7" s="3180"/>
    </row>
    <row r="8" spans="1:30" s="3191" customFormat="1" ht="12.75">
      <c r="A8" s="3182" t="s">
        <v>3374</v>
      </c>
      <c r="B8" s="3183">
        <v>2023</v>
      </c>
      <c r="C8" s="3184">
        <v>3</v>
      </c>
      <c r="D8" s="3185">
        <v>0.25</v>
      </c>
      <c r="E8" s="3185">
        <v>0.5</v>
      </c>
      <c r="F8" s="3185">
        <v>0.31</v>
      </c>
      <c r="G8" s="3185">
        <v>0.21</v>
      </c>
      <c r="H8" s="3186">
        <v>0.43</v>
      </c>
      <c r="I8" s="3187">
        <f t="shared" si="4"/>
        <v>0.31</v>
      </c>
      <c r="J8" s="3188"/>
      <c r="K8" s="3189">
        <f t="shared" ref="K8:K10" si="17">D8/100</f>
        <v>2.5000000000000001E-3</v>
      </c>
      <c r="L8" s="3190">
        <f t="shared" ref="L8:L10" si="18">E8/100</f>
        <v>5.0000000000000001E-3</v>
      </c>
      <c r="M8" s="3190">
        <f t="shared" ref="M8:M10" si="19">F8/100</f>
        <v>3.0999999999999999E-3</v>
      </c>
      <c r="N8" s="3190">
        <f t="shared" ref="N8:N10" si="20">G8/100</f>
        <v>2.0999999999999999E-3</v>
      </c>
      <c r="O8" s="3190">
        <f t="shared" ref="O8:O10" si="21">H8/100</f>
        <v>4.3E-3</v>
      </c>
      <c r="P8" s="3190">
        <f t="shared" ref="P8:P10" si="22">M8</f>
        <v>3.0999999999999999E-3</v>
      </c>
      <c r="Q8" s="3188"/>
      <c r="R8" s="3188">
        <f>ROUND(IF(项目基本情况!$B$8="出让",SUMPRODUCT(PRODUCT(1+K8:$K$18)),SUMPRODUCT(PRODUCT(1+K8:$K$17))),4)</f>
        <v>1.0783</v>
      </c>
      <c r="S8" s="3188">
        <f>ROUND(IF(项目基本情况!$B$8="出让",SUMPRODUCT(PRODUCT(1+L8:$L$18)),SUMPRODUCT(PRODUCT(1+L8:$L$17))),4)</f>
        <v>1.0447</v>
      </c>
      <c r="T8" s="3188">
        <f>ROUND(IF(项目基本情况!$B$8="出让",SUMPRODUCT(PRODUCT(1+M8:$M$18)),SUMPRODUCT(PRODUCT(1+M8:$M$17))),4)</f>
        <v>1.0282</v>
      </c>
      <c r="U8" s="3188">
        <f>ROUND(IF(项目基本情况!$B$8="出让",SUMPRODUCT(PRODUCT(1+N8:$N$18)),SUMPRODUCT(PRODUCT(1+N8:$N$17))),4)</f>
        <v>1.0841000000000001</v>
      </c>
      <c r="V8" s="3188">
        <f>ROUND(IF(项目基本情况!$B$8="出让",SUMPRODUCT(PRODUCT(1+O8:$O$18)),SUMPRODUCT(PRODUCT(1+O8:$O$17))),4)</f>
        <v>1.0674999999999999</v>
      </c>
      <c r="W8" s="3188">
        <f t="shared" ref="W8:W9" si="23">T8</f>
        <v>1.0282</v>
      </c>
      <c r="X8" s="3188"/>
      <c r="Y8" s="3190"/>
      <c r="Z8" s="3190"/>
      <c r="AA8" s="3190"/>
      <c r="AB8" s="3190"/>
      <c r="AC8" s="3190"/>
      <c r="AD8" s="3190"/>
    </row>
    <row r="9" spans="1:30" s="3181" customFormat="1" ht="12.75">
      <c r="A9" s="3172" t="s">
        <v>3375</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3370</v>
      </c>
    </row>
    <row r="21" spans="1:30" s="3005" customFormat="1">
      <c r="I21" s="3204" t="s">
        <v>2829</v>
      </c>
    </row>
    <row r="22" spans="1:30" s="3005" customFormat="1"/>
    <row r="23" spans="1:30" s="3205" customFormat="1" ht="12.75">
      <c r="B23" s="3206" t="s">
        <v>3377</v>
      </c>
      <c r="C23" s="3207"/>
      <c r="D23" s="3207"/>
      <c r="E23" s="3207"/>
      <c r="F23" s="3207"/>
      <c r="G23" s="3207"/>
      <c r="H23" s="3207"/>
      <c r="I23" s="3207"/>
      <c r="J23" s="3161"/>
      <c r="K23" s="3207" t="s">
        <v>2830</v>
      </c>
      <c r="L23" s="3207"/>
      <c r="M23" s="3207"/>
      <c r="N23" s="3207"/>
      <c r="O23" s="3207"/>
      <c r="P23" s="3207"/>
      <c r="Q23" s="3161"/>
      <c r="R23" s="3847" t="s">
        <v>2831</v>
      </c>
      <c r="S23" s="3848"/>
      <c r="T23" s="3848"/>
      <c r="U23" s="3848"/>
      <c r="V23" s="3848"/>
      <c r="W23" s="3848"/>
      <c r="X23" s="3161"/>
      <c r="Y23" s="3847" t="s">
        <v>2832</v>
      </c>
      <c r="Z23" s="3848"/>
      <c r="AA23" s="3848"/>
      <c r="AB23" s="3848"/>
      <c r="AC23" s="3848"/>
      <c r="AD23" s="3848"/>
    </row>
    <row r="24" spans="1:30" s="3139" customFormat="1" ht="14.2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2.75">
      <c r="A25" s="3145" t="s">
        <v>2838</v>
      </c>
      <c r="B25" s="3146"/>
      <c r="C25" s="3147"/>
      <c r="D25" s="3147"/>
      <c r="E25" s="3147">
        <f t="shared" ref="E25:G25" si="32">ROUND(AVERAGEIF(E26:E40,"&lt;&gt;0"),2)</f>
        <v>0.42</v>
      </c>
      <c r="F25" s="3147">
        <f t="shared" si="32"/>
        <v>0.3</v>
      </c>
      <c r="G25" s="3147">
        <f t="shared" si="32"/>
        <v>0.73</v>
      </c>
      <c r="H25" s="3147"/>
      <c r="I25" s="3147">
        <f>F25</f>
        <v>0.3</v>
      </c>
      <c r="J25" s="3148"/>
      <c r="K25" s="3149"/>
      <c r="L25" s="3150">
        <f t="shared" ref="L25:N25" si="33">ROUND(AVERAGEIF(L26:L40,"&lt;&gt;0"),4)</f>
        <v>4.1999999999999997E-3</v>
      </c>
      <c r="M25" s="3150">
        <f t="shared" si="33"/>
        <v>3.0000000000000001E-3</v>
      </c>
      <c r="N25" s="3150">
        <f t="shared" si="33"/>
        <v>7.3000000000000001E-3</v>
      </c>
      <c r="O25" s="3150"/>
      <c r="P25" s="3150">
        <f>M25</f>
        <v>3.0000000000000001E-3</v>
      </c>
      <c r="Q25" s="3148"/>
      <c r="R25" s="3151"/>
      <c r="S25" s="3152">
        <f>ROUND(SUMPRODUCT(PRODUCT(1+L26:L40)),4)</f>
        <v>1.0468</v>
      </c>
      <c r="T25" s="3152">
        <f t="shared" ref="T25:U25" si="34">ROUND(SUMPRODUCT(PRODUCT(1+M26:M40)),4)</f>
        <v>1.0337000000000001</v>
      </c>
      <c r="U25" s="3152">
        <f t="shared" si="34"/>
        <v>1.0828</v>
      </c>
      <c r="V25" s="3152"/>
      <c r="W25" s="3151">
        <f>T25</f>
        <v>1.0337000000000001</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2" t="s">
        <v>3380</v>
      </c>
      <c r="B27" s="3173">
        <v>2023</v>
      </c>
      <c r="C27" s="3174">
        <v>4</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1.0431999999999999</v>
      </c>
      <c r="T27" s="3179">
        <f>ROUND(IF(项目基本情况!$B$8="出让",SUMPRODUCT(PRODUCT(1+M27:M$40)),SUMPRODUCT(PRODUCT(1+M27:M$39))),4)</f>
        <v>1.0286999999999999</v>
      </c>
      <c r="U27" s="3179">
        <f>ROUND(IF(项目基本情况!$B$8="出让",SUMPRODUCT(PRODUCT(1+N27:N$40)),SUMPRODUCT(PRODUCT(1+N27:N$39))),4)</f>
        <v>1.0723</v>
      </c>
      <c r="V27" s="3179"/>
      <c r="W27" s="3179">
        <f>T27</f>
        <v>1.0286999999999999</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2" t="s">
        <v>3381</v>
      </c>
      <c r="B28" s="3173">
        <v>2023</v>
      </c>
      <c r="C28" s="3174">
        <v>3</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1.0431999999999999</v>
      </c>
      <c r="T28" s="3179">
        <f>ROUND(IF(项目基本情况!$B$8="出让",SUMPRODUCT(PRODUCT(1+M28:M$40)),SUMPRODUCT(PRODUCT(1+M28:M$39))),4)</f>
        <v>1.0286999999999999</v>
      </c>
      <c r="U28" s="3179">
        <f>ROUND(IF(项目基本情况!$B$8="出让",SUMPRODUCT(PRODUCT(1+N28:N$40)),SUMPRODUCT(PRODUCT(1+N28:N$39))),4)</f>
        <v>1.0723</v>
      </c>
      <c r="V28" s="3179"/>
      <c r="W28" s="3179">
        <f t="shared" ref="W28" si="43">T28</f>
        <v>1.0286999999999999</v>
      </c>
      <c r="X28" s="3177"/>
      <c r="Y28" s="3180"/>
      <c r="Z28" s="3208"/>
      <c r="AA28" s="3210"/>
      <c r="AB28" s="3180"/>
      <c r="AC28" s="3209"/>
      <c r="AD28" s="3180"/>
    </row>
    <row r="29" spans="1:30" s="3181" customFormat="1" ht="12.75">
      <c r="A29" s="2202" t="s">
        <v>3382</v>
      </c>
      <c r="B29" s="3173">
        <v>2023</v>
      </c>
      <c r="C29" s="3174">
        <v>3</v>
      </c>
      <c r="D29" s="3175"/>
      <c r="E29" s="3175">
        <v>0</v>
      </c>
      <c r="F29" s="3175">
        <v>0</v>
      </c>
      <c r="G29" s="3175">
        <v>0</v>
      </c>
      <c r="H29" s="3175"/>
      <c r="I29" s="3176">
        <f t="shared" si="38"/>
        <v>0</v>
      </c>
      <c r="J29" s="3177"/>
      <c r="K29" s="3178"/>
      <c r="L29" s="3168">
        <f t="shared" si="37"/>
        <v>0</v>
      </c>
      <c r="M29" s="3168">
        <f t="shared" si="37"/>
        <v>0</v>
      </c>
      <c r="N29" s="3168">
        <f t="shared" si="37"/>
        <v>0</v>
      </c>
      <c r="O29" s="3168"/>
      <c r="P29" s="3168">
        <f t="shared" ref="P29" si="44">M29</f>
        <v>0</v>
      </c>
      <c r="Q29" s="3177"/>
      <c r="R29" s="3179"/>
      <c r="S29" s="3179">
        <f>ROUND(IF(项目基本情况!$B$8="出让",SUMPRODUCT(PRODUCT(1+L29:L$40)),SUMPRODUCT(PRODUCT(1+L29:L$39))),4)</f>
        <v>1.0431999999999999</v>
      </c>
      <c r="T29" s="3179">
        <f>ROUND(IF(项目基本情况!$B$8="出让",SUMPRODUCT(PRODUCT(1+M29:M$40)),SUMPRODUCT(PRODUCT(1+M29:M$39))),4)</f>
        <v>1.0286999999999999</v>
      </c>
      <c r="U29" s="3179">
        <f>ROUND(IF(项目基本情况!$B$8="出让",SUMPRODUCT(PRODUCT(1+N29:N$40)),SUMPRODUCT(PRODUCT(1+N29:N$39))),4)</f>
        <v>1.0723</v>
      </c>
      <c r="V29" s="3179"/>
      <c r="W29" s="3179">
        <f t="shared" ref="W29" si="45">T29</f>
        <v>1.0286999999999999</v>
      </c>
      <c r="X29" s="3177"/>
      <c r="Y29" s="3180"/>
      <c r="Z29" s="3208"/>
      <c r="AA29" s="3210"/>
      <c r="AB29" s="3180"/>
      <c r="AC29" s="3209"/>
      <c r="AD29" s="3180"/>
    </row>
    <row r="30" spans="1:30" s="3191" customFormat="1" ht="12.75">
      <c r="A30" s="3182" t="s">
        <v>3378</v>
      </c>
      <c r="B30" s="3183">
        <v>2023</v>
      </c>
      <c r="C30" s="3184">
        <v>3</v>
      </c>
      <c r="D30" s="3185"/>
      <c r="E30" s="3185">
        <v>0.35</v>
      </c>
      <c r="F30" s="3185">
        <v>0.17</v>
      </c>
      <c r="G30" s="3185">
        <v>0.52</v>
      </c>
      <c r="H30" s="3186"/>
      <c r="I30" s="3187">
        <f t="shared" si="36"/>
        <v>0.17</v>
      </c>
      <c r="J30" s="3188"/>
      <c r="K30" s="3189"/>
      <c r="L30" s="3190">
        <f t="shared" ref="L30:L32" si="46">E30/100</f>
        <v>3.4999999999999996E-3</v>
      </c>
      <c r="M30" s="3190">
        <f t="shared" ref="M30:M32" si="47">F30/100</f>
        <v>1.7000000000000001E-3</v>
      </c>
      <c r="N30" s="3190">
        <f t="shared" ref="N30:N32" si="48">G30/100</f>
        <v>5.1999999999999998E-3</v>
      </c>
      <c r="O30" s="3190"/>
      <c r="P30" s="3190">
        <f t="shared" ref="P30:P32" si="49">M30</f>
        <v>1.7000000000000001E-3</v>
      </c>
      <c r="Q30" s="3188"/>
      <c r="R30" s="3188"/>
      <c r="S30" s="3188">
        <f>ROUND(IF(项目基本情况!$B$8="出让",SUMPRODUCT(PRODUCT(1+L30:L$40)),SUMPRODUCT(PRODUCT(1+L30:L$39))),4)</f>
        <v>1.0431999999999999</v>
      </c>
      <c r="T30" s="3188">
        <f>ROUND(IF(项目基本情况!$B$8="出让",SUMPRODUCT(PRODUCT(1+M30:M$40)),SUMPRODUCT(PRODUCT(1+M30:M$39))),4)</f>
        <v>1.0286999999999999</v>
      </c>
      <c r="U30" s="3188">
        <f>ROUND(IF(项目基本情况!$B$8="出让",SUMPRODUCT(PRODUCT(1+N30:N$40)),SUMPRODUCT(PRODUCT(1+N30:N$39))),4)</f>
        <v>1.0723</v>
      </c>
      <c r="V30" s="3188"/>
      <c r="W30" s="3188">
        <f t="shared" ref="W30:W32" si="50">T30</f>
        <v>1.0286999999999999</v>
      </c>
      <c r="X30" s="3188"/>
      <c r="Y30" s="3190"/>
      <c r="Z30" s="3211"/>
      <c r="AA30" s="3212"/>
      <c r="AB30" s="3190"/>
      <c r="AC30" s="3213"/>
      <c r="AD30" s="3190"/>
    </row>
    <row r="31" spans="1:30" s="3181" customFormat="1" ht="12.75">
      <c r="A31" s="3172" t="s">
        <v>3379</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54" t="s">
        <v>452</v>
      </c>
      <c r="C1" s="3854"/>
      <c r="D1" s="3854"/>
      <c r="E1" s="3854"/>
      <c r="F1" s="3854"/>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2440</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2317</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2316</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2315</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5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5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5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5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5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5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5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5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5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5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5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5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4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5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5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5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4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5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5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5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5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5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5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5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4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5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5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5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4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5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5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5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4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5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5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5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4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5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5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5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4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5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5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5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4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5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5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5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4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5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5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5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4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5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5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5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4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5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5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5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4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5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5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5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4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5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5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5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45272</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2313</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I1" workbookViewId="0">
      <selection activeCell="B30" sqref="B30"/>
    </sheetView>
  </sheetViews>
  <sheetFormatPr defaultColWidth="9" defaultRowHeight="13.5"/>
  <cols>
    <col min="1" max="1" width="9" style="3469"/>
    <col min="2" max="2" width="21.125" style="3469" customWidth="1"/>
    <col min="3" max="6" width="9" style="3469"/>
    <col min="7" max="7" width="18.625" style="3469" customWidth="1"/>
    <col min="8" max="11" width="9" style="3469"/>
    <col min="12" max="12" width="9.5" style="3469" bestFit="1" customWidth="1"/>
    <col min="13" max="15" width="9" style="3469"/>
    <col min="16" max="16" width="15.5" style="3469" customWidth="1"/>
    <col min="17" max="17" width="9.25" style="3469" customWidth="1"/>
    <col min="18" max="16384" width="9" style="3469"/>
  </cols>
  <sheetData>
    <row r="1" spans="1:23" s="3451" customFormat="1">
      <c r="A1" s="3450" t="s">
        <v>3424</v>
      </c>
      <c r="B1" s="3450" t="s">
        <v>3425</v>
      </c>
      <c r="C1" s="3450" t="s">
        <v>3426</v>
      </c>
      <c r="D1" s="3450" t="s">
        <v>3427</v>
      </c>
      <c r="E1" s="3450" t="s">
        <v>3428</v>
      </c>
      <c r="F1" s="3450" t="s">
        <v>3429</v>
      </c>
      <c r="G1" s="3450" t="s">
        <v>672</v>
      </c>
      <c r="H1" s="3450" t="s">
        <v>3430</v>
      </c>
      <c r="I1" s="3450" t="s">
        <v>3431</v>
      </c>
      <c r="J1" s="3450" t="s">
        <v>3432</v>
      </c>
      <c r="K1" s="3450" t="s">
        <v>3433</v>
      </c>
      <c r="L1" s="3450" t="s">
        <v>3434</v>
      </c>
      <c r="M1" s="3450" t="s">
        <v>3435</v>
      </c>
      <c r="N1" s="3450" t="s">
        <v>3436</v>
      </c>
      <c r="O1" s="3450" t="s">
        <v>3437</v>
      </c>
      <c r="P1" s="3450" t="s">
        <v>3438</v>
      </c>
      <c r="Q1" s="3450" t="s">
        <v>3439</v>
      </c>
      <c r="R1" s="3450" t="s">
        <v>3440</v>
      </c>
      <c r="S1" s="3450" t="s">
        <v>3441</v>
      </c>
      <c r="T1" s="3450" t="s">
        <v>3442</v>
      </c>
      <c r="U1" s="3450" t="s">
        <v>3443</v>
      </c>
      <c r="V1" s="3450" t="s">
        <v>3444</v>
      </c>
      <c r="W1" s="3450" t="s">
        <v>3445</v>
      </c>
    </row>
    <row r="2" spans="1:23" s="3451" customFormat="1">
      <c r="A2" s="3452">
        <v>8</v>
      </c>
      <c r="B2" s="3452" t="s">
        <v>3446</v>
      </c>
      <c r="C2" s="3452" t="s">
        <v>3447</v>
      </c>
      <c r="D2" s="3452" t="s">
        <v>3448</v>
      </c>
      <c r="E2" s="3452" t="s">
        <v>3449</v>
      </c>
      <c r="F2" s="3452" t="s">
        <v>3450</v>
      </c>
      <c r="G2" s="3452" t="s">
        <v>3451</v>
      </c>
      <c r="H2" s="3452"/>
      <c r="I2" s="3452">
        <v>25834.13</v>
      </c>
      <c r="J2" s="3452">
        <v>25834.13</v>
      </c>
      <c r="K2" s="3452"/>
      <c r="L2" s="3452">
        <v>78491</v>
      </c>
      <c r="M2" s="3452">
        <v>30383</v>
      </c>
      <c r="N2" s="3452">
        <v>30383</v>
      </c>
      <c r="O2" s="3452" t="s">
        <v>3452</v>
      </c>
      <c r="P2" s="3453">
        <v>44257</v>
      </c>
      <c r="Q2" s="3452" t="s">
        <v>3453</v>
      </c>
      <c r="R2" s="3452" t="s">
        <v>3454</v>
      </c>
      <c r="S2" s="3452"/>
      <c r="T2" s="3452"/>
      <c r="U2" s="3452"/>
      <c r="V2" s="3454"/>
      <c r="W2" s="3452"/>
    </row>
    <row r="3" spans="1:23" s="3451" customFormat="1">
      <c r="A3" s="3455">
        <v>9</v>
      </c>
      <c r="B3" s="3455" t="s">
        <v>3455</v>
      </c>
      <c r="C3" s="3455" t="s">
        <v>3447</v>
      </c>
      <c r="D3" s="3455" t="s">
        <v>3448</v>
      </c>
      <c r="E3" s="3455" t="s">
        <v>3449</v>
      </c>
      <c r="F3" s="3455" t="s">
        <v>3450</v>
      </c>
      <c r="G3" s="3455" t="s">
        <v>3451</v>
      </c>
      <c r="H3" s="3455"/>
      <c r="I3" s="3455">
        <v>12857.96</v>
      </c>
      <c r="J3" s="3455">
        <v>12857.96</v>
      </c>
      <c r="K3" s="3455"/>
      <c r="L3" s="3455">
        <v>39210</v>
      </c>
      <c r="M3" s="3455">
        <v>30495</v>
      </c>
      <c r="N3" s="3455">
        <v>30495</v>
      </c>
      <c r="O3" s="3455" t="s">
        <v>3452</v>
      </c>
      <c r="P3" s="3456">
        <v>44257</v>
      </c>
      <c r="Q3" s="3455" t="s">
        <v>3453</v>
      </c>
      <c r="R3" s="3455" t="s">
        <v>3454</v>
      </c>
      <c r="S3" s="3455"/>
      <c r="T3" s="3455"/>
      <c r="U3" s="3455"/>
      <c r="V3" s="3457"/>
      <c r="W3" s="3455"/>
    </row>
    <row r="4" spans="1:23" s="3451" customFormat="1">
      <c r="A4" s="3452">
        <v>10</v>
      </c>
      <c r="B4" s="3452" t="s">
        <v>3456</v>
      </c>
      <c r="C4" s="3452" t="s">
        <v>3447</v>
      </c>
      <c r="D4" s="3452" t="s">
        <v>3448</v>
      </c>
      <c r="E4" s="3452" t="s">
        <v>3449</v>
      </c>
      <c r="F4" s="3452" t="s">
        <v>3450</v>
      </c>
      <c r="G4" s="3452" t="s">
        <v>3451</v>
      </c>
      <c r="H4" s="3452"/>
      <c r="I4" s="3452">
        <v>12955.85</v>
      </c>
      <c r="J4" s="3452">
        <v>12955.85</v>
      </c>
      <c r="K4" s="3452"/>
      <c r="L4" s="3452">
        <v>38868</v>
      </c>
      <c r="M4" s="3452">
        <v>30000</v>
      </c>
      <c r="N4" s="3452">
        <v>30000</v>
      </c>
      <c r="O4" s="3452" t="s">
        <v>3452</v>
      </c>
      <c r="P4" s="3453">
        <v>44161</v>
      </c>
      <c r="Q4" s="3452" t="s">
        <v>3453</v>
      </c>
      <c r="R4" s="3452" t="s">
        <v>3454</v>
      </c>
      <c r="S4" s="3452"/>
      <c r="T4" s="3452"/>
      <c r="U4" s="3452"/>
      <c r="V4" s="3454"/>
      <c r="W4" s="3452"/>
    </row>
    <row r="5" spans="1:23" s="3462" customFormat="1">
      <c r="A5" s="3458">
        <v>15</v>
      </c>
      <c r="B5" s="3458" t="s">
        <v>3457</v>
      </c>
      <c r="C5" s="3458" t="s">
        <v>3458</v>
      </c>
      <c r="D5" s="3458" t="s">
        <v>3448</v>
      </c>
      <c r="E5" s="3458" t="s">
        <v>3449</v>
      </c>
      <c r="F5" s="3458" t="s">
        <v>3450</v>
      </c>
      <c r="G5" s="3459" t="s">
        <v>3459</v>
      </c>
      <c r="H5" s="3458"/>
      <c r="I5" s="3458">
        <v>66987.539999999994</v>
      </c>
      <c r="J5" s="3458">
        <v>66987.539999999994</v>
      </c>
      <c r="K5" s="3458"/>
      <c r="L5" s="3458">
        <v>267950</v>
      </c>
      <c r="M5" s="3458">
        <v>40000</v>
      </c>
      <c r="N5" s="3459">
        <v>40000</v>
      </c>
      <c r="O5" s="3458" t="s">
        <v>43</v>
      </c>
      <c r="P5" s="3460">
        <v>44161</v>
      </c>
      <c r="Q5" s="3458" t="s">
        <v>3460</v>
      </c>
      <c r="R5" s="3458" t="s">
        <v>3461</v>
      </c>
      <c r="S5" s="3458"/>
      <c r="T5" s="3458"/>
      <c r="U5" s="3458"/>
      <c r="V5" s="3461"/>
      <c r="W5" s="3458"/>
    </row>
    <row r="6" spans="1:23" s="3451" customFormat="1">
      <c r="A6" s="3455">
        <v>17</v>
      </c>
      <c r="B6" s="3455" t="s">
        <v>3462</v>
      </c>
      <c r="C6" s="3455" t="s">
        <v>3447</v>
      </c>
      <c r="D6" s="3455" t="s">
        <v>3448</v>
      </c>
      <c r="E6" s="3455" t="s">
        <v>3449</v>
      </c>
      <c r="F6" s="3455" t="s">
        <v>3450</v>
      </c>
      <c r="G6" s="3463" t="s">
        <v>3451</v>
      </c>
      <c r="H6" s="3455"/>
      <c r="I6" s="3455">
        <v>30280.83</v>
      </c>
      <c r="J6" s="3455">
        <v>30280.83</v>
      </c>
      <c r="K6" s="3455"/>
      <c r="L6" s="3455">
        <v>91206</v>
      </c>
      <c r="M6" s="3455">
        <v>30120</v>
      </c>
      <c r="N6" s="3463">
        <v>30120</v>
      </c>
      <c r="O6" s="3455" t="s">
        <v>3452</v>
      </c>
      <c r="P6" s="3464">
        <v>44267</v>
      </c>
      <c r="Q6" s="3455" t="s">
        <v>3453</v>
      </c>
      <c r="R6" s="3455" t="s">
        <v>3454</v>
      </c>
      <c r="S6" s="3455"/>
      <c r="T6" s="3455"/>
      <c r="U6" s="3455"/>
      <c r="V6" s="3457"/>
      <c r="W6" s="3455"/>
    </row>
    <row r="7" spans="1:23" s="3468" customFormat="1">
      <c r="A7" s="3465">
        <v>24</v>
      </c>
      <c r="B7" s="3465" t="s">
        <v>3463</v>
      </c>
      <c r="C7" s="3465" t="s">
        <v>3464</v>
      </c>
      <c r="D7" s="3465" t="s">
        <v>3448</v>
      </c>
      <c r="E7" s="3465" t="s">
        <v>3465</v>
      </c>
      <c r="F7" s="3465" t="s">
        <v>3466</v>
      </c>
      <c r="G7" s="3465" t="s">
        <v>3467</v>
      </c>
      <c r="H7" s="3465">
        <v>4154.62</v>
      </c>
      <c r="I7" s="3465">
        <v>2784.8</v>
      </c>
      <c r="J7" s="3465">
        <v>2784.8</v>
      </c>
      <c r="K7" s="3465"/>
      <c r="L7" s="3465">
        <v>10175</v>
      </c>
      <c r="M7" s="3465">
        <v>36538</v>
      </c>
      <c r="N7" s="3465">
        <f>M7</f>
        <v>36538</v>
      </c>
      <c r="O7" s="3465" t="s">
        <v>3468</v>
      </c>
      <c r="P7" s="3466">
        <v>44302</v>
      </c>
      <c r="Q7" s="3465" t="s">
        <v>3469</v>
      </c>
      <c r="R7" s="3465" t="s">
        <v>3470</v>
      </c>
      <c r="S7" s="3465">
        <v>8664</v>
      </c>
      <c r="T7" s="3465">
        <v>31110</v>
      </c>
      <c r="U7" s="3465"/>
      <c r="V7" s="3467">
        <v>1.17</v>
      </c>
      <c r="W7" s="3465" t="s">
        <v>3471</v>
      </c>
    </row>
    <row r="8" spans="1:23" s="3468" customFormat="1">
      <c r="A8" s="3465">
        <v>51</v>
      </c>
      <c r="B8" s="3465" t="s">
        <v>3472</v>
      </c>
      <c r="C8" s="3465" t="s">
        <v>3473</v>
      </c>
      <c r="D8" s="3465" t="s">
        <v>3474</v>
      </c>
      <c r="E8" s="3465" t="s">
        <v>3475</v>
      </c>
      <c r="F8" s="3465" t="s">
        <v>3476</v>
      </c>
      <c r="G8" s="3465" t="s">
        <v>3477</v>
      </c>
      <c r="H8" s="3465">
        <v>327.82</v>
      </c>
      <c r="I8" s="3465">
        <v>1702.62</v>
      </c>
      <c r="J8" s="3465">
        <v>1702.62</v>
      </c>
      <c r="K8" s="3465"/>
      <c r="L8" s="3465">
        <v>6441.5559999999996</v>
      </c>
      <c r="M8" s="3465">
        <v>37833</v>
      </c>
      <c r="N8" s="3465">
        <v>37833</v>
      </c>
      <c r="O8" s="3465" t="s">
        <v>3478</v>
      </c>
      <c r="P8" s="3466">
        <v>44502</v>
      </c>
      <c r="Q8" s="3465" t="s">
        <v>3479</v>
      </c>
      <c r="R8" s="3465" t="s">
        <v>3480</v>
      </c>
      <c r="S8" s="3465">
        <v>10056.35</v>
      </c>
      <c r="T8" s="3465">
        <v>59064</v>
      </c>
      <c r="U8" s="3465"/>
      <c r="V8" s="3467">
        <v>0.64</v>
      </c>
      <c r="W8" s="3465" t="s">
        <v>3471</v>
      </c>
    </row>
    <row r="9" spans="1:23" s="3451" customFormat="1">
      <c r="A9" s="3455">
        <v>55</v>
      </c>
      <c r="B9" s="3455" t="s">
        <v>3481</v>
      </c>
      <c r="C9" s="3455" t="s">
        <v>3482</v>
      </c>
      <c r="D9" s="3455" t="s">
        <v>3448</v>
      </c>
      <c r="E9" s="3455" t="s">
        <v>3483</v>
      </c>
      <c r="F9" s="3455" t="s">
        <v>3484</v>
      </c>
      <c r="G9" s="3455" t="s">
        <v>673</v>
      </c>
      <c r="H9" s="3455"/>
      <c r="I9" s="3455">
        <v>377.72</v>
      </c>
      <c r="J9" s="3455">
        <v>377.72</v>
      </c>
      <c r="K9" s="3455"/>
      <c r="L9" s="3455">
        <v>1856.491</v>
      </c>
      <c r="M9" s="3455">
        <v>49150</v>
      </c>
      <c r="N9" s="3455">
        <v>49150</v>
      </c>
      <c r="O9" s="3455" t="s">
        <v>3485</v>
      </c>
      <c r="P9" s="3456">
        <v>44493</v>
      </c>
      <c r="Q9" s="3455" t="s">
        <v>3486</v>
      </c>
      <c r="R9" s="3455" t="s">
        <v>3487</v>
      </c>
      <c r="S9" s="3455">
        <v>1872.13</v>
      </c>
      <c r="T9" s="3455">
        <v>49564</v>
      </c>
      <c r="U9" s="3455"/>
      <c r="V9" s="3457">
        <v>0.99</v>
      </c>
      <c r="W9" s="3455" t="s">
        <v>3471</v>
      </c>
    </row>
    <row r="10" spans="1:23" s="3451" customFormat="1">
      <c r="A10" s="3455">
        <v>57</v>
      </c>
      <c r="B10" s="3455" t="s">
        <v>3488</v>
      </c>
      <c r="C10" s="3455" t="s">
        <v>3489</v>
      </c>
      <c r="D10" s="3455" t="s">
        <v>3448</v>
      </c>
      <c r="E10" s="3455" t="s">
        <v>3483</v>
      </c>
      <c r="F10" s="3455" t="s">
        <v>3490</v>
      </c>
      <c r="G10" s="3455" t="s">
        <v>673</v>
      </c>
      <c r="H10" s="3455">
        <v>428.89</v>
      </c>
      <c r="I10" s="3455">
        <v>1798.66</v>
      </c>
      <c r="J10" s="3455">
        <v>1371.1</v>
      </c>
      <c r="K10" s="3455">
        <v>427.56</v>
      </c>
      <c r="L10" s="3455">
        <v>6671.2269999999999</v>
      </c>
      <c r="M10" s="3455">
        <v>37090</v>
      </c>
      <c r="N10" s="3455">
        <v>48656</v>
      </c>
      <c r="O10" s="3455" t="s">
        <v>3491</v>
      </c>
      <c r="P10" s="3456">
        <v>43709</v>
      </c>
      <c r="Q10" s="3455" t="s">
        <v>3492</v>
      </c>
      <c r="R10" s="3455" t="s">
        <v>3493</v>
      </c>
      <c r="S10" s="3455">
        <v>9530</v>
      </c>
      <c r="T10" s="3455">
        <v>69509</v>
      </c>
      <c r="U10" s="3455"/>
      <c r="V10" s="3457">
        <v>0.7</v>
      </c>
      <c r="W10" s="3455" t="s">
        <v>3471</v>
      </c>
    </row>
    <row r="11" spans="1:23" s="3451" customFormat="1">
      <c r="A11" s="3455">
        <v>78</v>
      </c>
      <c r="B11" s="3455" t="s">
        <v>3494</v>
      </c>
      <c r="C11" s="3455" t="s">
        <v>3495</v>
      </c>
      <c r="D11" s="3455" t="s">
        <v>3448</v>
      </c>
      <c r="E11" s="3455" t="s">
        <v>3465</v>
      </c>
      <c r="F11" s="3455" t="s">
        <v>3496</v>
      </c>
      <c r="G11" s="3455" t="s">
        <v>3497</v>
      </c>
      <c r="H11" s="3455">
        <v>10142.94</v>
      </c>
      <c r="I11" s="3455">
        <v>39145.39</v>
      </c>
      <c r="J11" s="3455">
        <v>33000</v>
      </c>
      <c r="K11" s="3455"/>
      <c r="L11" s="3455">
        <v>250000</v>
      </c>
      <c r="M11" s="3455">
        <v>63864</v>
      </c>
      <c r="N11" s="3455">
        <v>75758</v>
      </c>
      <c r="O11" s="3455" t="s">
        <v>3498</v>
      </c>
      <c r="P11" s="3456" t="s">
        <v>3499</v>
      </c>
      <c r="Q11" s="3455" t="s">
        <v>3500</v>
      </c>
      <c r="R11" s="3455" t="s">
        <v>3501</v>
      </c>
      <c r="S11" s="3455"/>
      <c r="T11" s="3455"/>
      <c r="U11" s="3455" t="s">
        <v>3502</v>
      </c>
      <c r="V11" s="3457"/>
      <c r="W11" s="3455"/>
    </row>
    <row r="12" spans="1:23" s="3451" customFormat="1">
      <c r="A12" s="3455">
        <v>100</v>
      </c>
      <c r="B12" s="3455" t="s">
        <v>3503</v>
      </c>
      <c r="C12" s="3455" t="s">
        <v>3504</v>
      </c>
      <c r="D12" s="3455" t="s">
        <v>3448</v>
      </c>
      <c r="E12" s="3455" t="s">
        <v>3465</v>
      </c>
      <c r="F12" s="3455" t="s">
        <v>3505</v>
      </c>
      <c r="G12" s="3455" t="s">
        <v>21</v>
      </c>
      <c r="H12" s="3455">
        <v>2699.92</v>
      </c>
      <c r="I12" s="3455">
        <v>11428.07</v>
      </c>
      <c r="J12" s="3455">
        <v>6959.3</v>
      </c>
      <c r="K12" s="3455">
        <v>4468.7700000000004</v>
      </c>
      <c r="L12" s="3455">
        <v>36600</v>
      </c>
      <c r="M12" s="3455">
        <v>32026</v>
      </c>
      <c r="N12" s="3455">
        <v>52591</v>
      </c>
      <c r="O12" s="3455" t="s">
        <v>43</v>
      </c>
      <c r="P12" s="3456">
        <v>44256</v>
      </c>
      <c r="Q12" s="3455" t="s">
        <v>3506</v>
      </c>
      <c r="R12" s="3455"/>
      <c r="S12" s="3455"/>
      <c r="T12" s="3455">
        <v>0</v>
      </c>
      <c r="U12" s="3455"/>
      <c r="V12" s="3457" t="e">
        <v>#DIV/0!</v>
      </c>
      <c r="W12" s="3455"/>
    </row>
    <row r="16" spans="1:23">
      <c r="A16" s="3469" t="s">
        <v>3424</v>
      </c>
      <c r="B16" s="3469" t="s">
        <v>3425</v>
      </c>
      <c r="C16" s="3469" t="s">
        <v>3426</v>
      </c>
      <c r="D16" s="3469" t="s">
        <v>3427</v>
      </c>
      <c r="E16" s="3469" t="s">
        <v>3428</v>
      </c>
      <c r="F16" s="3469" t="s">
        <v>3429</v>
      </c>
      <c r="G16" s="3469" t="s">
        <v>672</v>
      </c>
      <c r="H16" s="3469" t="s">
        <v>3430</v>
      </c>
      <c r="I16" s="3469" t="s">
        <v>3431</v>
      </c>
      <c r="J16" s="3469" t="s">
        <v>3432</v>
      </c>
      <c r="K16" s="3469" t="s">
        <v>3433</v>
      </c>
      <c r="L16" s="3469" t="s">
        <v>3434</v>
      </c>
      <c r="M16" s="3469" t="s">
        <v>3435</v>
      </c>
      <c r="N16" s="3469" t="s">
        <v>3436</v>
      </c>
      <c r="O16" s="3469" t="s">
        <v>3437</v>
      </c>
      <c r="P16" s="3469" t="s">
        <v>3438</v>
      </c>
      <c r="Q16" s="3469" t="s">
        <v>3439</v>
      </c>
      <c r="R16" s="3469" t="s">
        <v>3440</v>
      </c>
      <c r="S16" s="3469" t="s">
        <v>3441</v>
      </c>
      <c r="T16" s="3469" t="s">
        <v>3442</v>
      </c>
      <c r="U16" s="3469" t="s">
        <v>3443</v>
      </c>
      <c r="V16" s="3469" t="s">
        <v>3444</v>
      </c>
      <c r="W16" s="3469" t="s">
        <v>3445</v>
      </c>
    </row>
    <row r="17" spans="1:22">
      <c r="A17" s="3469">
        <v>8</v>
      </c>
      <c r="B17" s="3469" t="s">
        <v>3446</v>
      </c>
      <c r="C17" s="3469" t="s">
        <v>3447</v>
      </c>
      <c r="D17" s="3469" t="s">
        <v>3448</v>
      </c>
      <c r="E17" s="3469" t="s">
        <v>3449</v>
      </c>
      <c r="F17" s="3469" t="s">
        <v>3450</v>
      </c>
      <c r="G17" s="3469" t="s">
        <v>3451</v>
      </c>
      <c r="I17" s="3469">
        <v>25834.13</v>
      </c>
      <c r="J17" s="3469">
        <v>25834.13</v>
      </c>
      <c r="L17" s="3469">
        <v>78491</v>
      </c>
      <c r="M17" s="3469">
        <v>30383</v>
      </c>
      <c r="N17" s="3469">
        <v>30383</v>
      </c>
      <c r="O17" s="3469" t="s">
        <v>3452</v>
      </c>
      <c r="P17" s="3470">
        <v>44257</v>
      </c>
      <c r="Q17" s="3469" t="s">
        <v>3453</v>
      </c>
      <c r="R17" s="3469" t="s">
        <v>3454</v>
      </c>
    </row>
    <row r="18" spans="1:22">
      <c r="A18" s="3469">
        <v>9</v>
      </c>
      <c r="B18" s="3469" t="s">
        <v>3455</v>
      </c>
      <c r="C18" s="3469" t="s">
        <v>3447</v>
      </c>
      <c r="D18" s="3469" t="s">
        <v>3448</v>
      </c>
      <c r="E18" s="3469" t="s">
        <v>3449</v>
      </c>
      <c r="F18" s="3469" t="s">
        <v>3450</v>
      </c>
      <c r="G18" s="3469" t="s">
        <v>3451</v>
      </c>
      <c r="I18" s="3469">
        <v>12857.96</v>
      </c>
      <c r="J18" s="3469">
        <v>12857.96</v>
      </c>
      <c r="L18" s="3469">
        <v>39210</v>
      </c>
      <c r="M18" s="3469">
        <v>30495</v>
      </c>
      <c r="N18" s="3469">
        <v>30495</v>
      </c>
      <c r="O18" s="3469" t="s">
        <v>3452</v>
      </c>
      <c r="P18" s="3470">
        <v>44257</v>
      </c>
      <c r="Q18" s="3469" t="s">
        <v>3453</v>
      </c>
      <c r="R18" s="3469" t="s">
        <v>3454</v>
      </c>
    </row>
    <row r="19" spans="1:22">
      <c r="A19" s="3469">
        <v>10</v>
      </c>
      <c r="B19" s="3469" t="s">
        <v>3456</v>
      </c>
      <c r="C19" s="3469" t="s">
        <v>3447</v>
      </c>
      <c r="D19" s="3469" t="s">
        <v>3448</v>
      </c>
      <c r="E19" s="3469" t="s">
        <v>3449</v>
      </c>
      <c r="F19" s="3469" t="s">
        <v>3450</v>
      </c>
      <c r="G19" s="3469" t="s">
        <v>3451</v>
      </c>
      <c r="I19" s="3469">
        <v>12955.85</v>
      </c>
      <c r="J19" s="3469">
        <v>12955.85</v>
      </c>
      <c r="L19" s="3469">
        <v>38868</v>
      </c>
      <c r="M19" s="3469">
        <v>30000</v>
      </c>
      <c r="N19" s="3469">
        <v>30000</v>
      </c>
      <c r="O19" s="3469" t="s">
        <v>3452</v>
      </c>
      <c r="P19" s="3470">
        <v>44161</v>
      </c>
      <c r="Q19" s="3469" t="s">
        <v>3453</v>
      </c>
      <c r="R19" s="3469" t="s">
        <v>3454</v>
      </c>
    </row>
    <row r="20" spans="1:22">
      <c r="A20" s="3469">
        <v>15</v>
      </c>
      <c r="B20" s="3471" t="s">
        <v>3517</v>
      </c>
      <c r="C20" s="3469" t="s">
        <v>3458</v>
      </c>
      <c r="D20" s="3469" t="s">
        <v>3448</v>
      </c>
      <c r="E20" s="3469" t="s">
        <v>3449</v>
      </c>
      <c r="F20" s="3469" t="s">
        <v>3450</v>
      </c>
      <c r="G20" s="3469" t="s">
        <v>3459</v>
      </c>
      <c r="I20" s="3469">
        <v>66987.539999999994</v>
      </c>
      <c r="J20" s="3469">
        <v>66987.539999999994</v>
      </c>
      <c r="L20" s="3469">
        <v>267950</v>
      </c>
      <c r="M20" s="3469">
        <v>40000</v>
      </c>
      <c r="N20" s="3469">
        <v>40000</v>
      </c>
      <c r="O20" s="3469" t="s">
        <v>43</v>
      </c>
      <c r="P20" s="3470">
        <v>44161</v>
      </c>
      <c r="Q20" s="3469" t="s">
        <v>3460</v>
      </c>
      <c r="R20" s="3469" t="s">
        <v>3461</v>
      </c>
    </row>
    <row r="21" spans="1:22" s="3472" customFormat="1">
      <c r="A21" s="3472">
        <v>67</v>
      </c>
      <c r="B21" s="3472" t="s">
        <v>3507</v>
      </c>
      <c r="C21" s="3472" t="s">
        <v>3508</v>
      </c>
      <c r="D21" s="3472" t="s">
        <v>3474</v>
      </c>
      <c r="E21" s="3472" t="s">
        <v>3509</v>
      </c>
      <c r="F21" s="3472" t="s">
        <v>3510</v>
      </c>
      <c r="G21" s="3472" t="s">
        <v>3511</v>
      </c>
      <c r="I21" s="3472">
        <v>11235.4</v>
      </c>
      <c r="J21" s="3472">
        <v>11235.4</v>
      </c>
      <c r="L21" s="3472">
        <v>42694.52</v>
      </c>
      <c r="M21" s="3472">
        <v>38000</v>
      </c>
      <c r="N21" s="3472">
        <v>38000</v>
      </c>
      <c r="O21" s="3472" t="s">
        <v>3512</v>
      </c>
      <c r="P21" s="3473">
        <v>44531</v>
      </c>
      <c r="Q21" s="3472" t="s">
        <v>3513</v>
      </c>
      <c r="R21" s="3472" t="s">
        <v>3514</v>
      </c>
      <c r="T21" s="3472">
        <v>0</v>
      </c>
      <c r="V21" s="3472" t="e">
        <v>#DIV/0!</v>
      </c>
    </row>
    <row r="22" spans="1:22" s="3472" customFormat="1">
      <c r="A22" s="3472">
        <v>93</v>
      </c>
      <c r="B22" s="3474" t="s">
        <v>3515</v>
      </c>
      <c r="C22" s="3472" t="s">
        <v>3508</v>
      </c>
      <c r="D22" s="3472" t="s">
        <v>3474</v>
      </c>
      <c r="E22" s="3472" t="s">
        <v>3509</v>
      </c>
      <c r="F22" s="3472" t="s">
        <v>3510</v>
      </c>
      <c r="G22" s="3472" t="s">
        <v>3511</v>
      </c>
      <c r="I22" s="3472">
        <v>11235.4</v>
      </c>
      <c r="J22" s="3472">
        <v>11235.4</v>
      </c>
      <c r="L22" s="3472">
        <v>43033</v>
      </c>
      <c r="M22" s="3472">
        <v>38301</v>
      </c>
      <c r="N22" s="3472">
        <v>38301</v>
      </c>
      <c r="O22" s="3472" t="s">
        <v>3516</v>
      </c>
      <c r="P22" s="3473">
        <v>44531</v>
      </c>
      <c r="Q22" s="3472" t="s">
        <v>3513</v>
      </c>
      <c r="R22" s="3472" t="s">
        <v>3514</v>
      </c>
      <c r="T22" s="3472">
        <v>0</v>
      </c>
      <c r="V22" s="3472" t="e">
        <v>#DIV/0!</v>
      </c>
    </row>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1"/>
  <sheetViews>
    <sheetView workbookViewId="0">
      <selection activeCell="B7" sqref="B7"/>
    </sheetView>
  </sheetViews>
  <sheetFormatPr defaultColWidth="9" defaultRowHeight="12"/>
  <cols>
    <col min="1" max="5" width="9" style="3447"/>
    <col min="6" max="6" width="20" style="3447" bestFit="1" customWidth="1"/>
    <col min="7" max="8" width="9" style="3447"/>
    <col min="9" max="9" width="14.125" style="3447" bestFit="1" customWidth="1"/>
    <col min="10" max="10" width="16.125" style="3447" bestFit="1" customWidth="1"/>
    <col min="11" max="11" width="13" style="3447" customWidth="1"/>
    <col min="12" max="14" width="9" style="3447"/>
    <col min="15" max="15" width="12.75" style="3447" bestFit="1" customWidth="1"/>
    <col min="16" max="16384" width="9" style="3447"/>
  </cols>
  <sheetData>
    <row r="1" spans="1:17" ht="24">
      <c r="A1" s="3862" t="s">
        <v>3632</v>
      </c>
      <c r="B1" s="3863"/>
      <c r="C1" s="3860" t="s">
        <v>3633</v>
      </c>
      <c r="D1" s="3487" t="s">
        <v>3543</v>
      </c>
      <c r="E1" s="3488" t="s">
        <v>3634</v>
      </c>
      <c r="F1" s="3489" t="s">
        <v>3635</v>
      </c>
      <c r="G1" s="3864" t="s">
        <v>3636</v>
      </c>
      <c r="H1" s="3865"/>
      <c r="I1" s="3864" t="s">
        <v>3637</v>
      </c>
      <c r="J1" s="3865"/>
      <c r="K1" s="3860" t="s">
        <v>3638</v>
      </c>
      <c r="L1" s="3489" t="s">
        <v>3639</v>
      </c>
      <c r="M1" s="3860" t="s">
        <v>3640</v>
      </c>
    </row>
    <row r="2" spans="1:17" ht="24">
      <c r="A2" s="3489" t="s">
        <v>3641</v>
      </c>
      <c r="B2" s="3489" t="s">
        <v>3642</v>
      </c>
      <c r="C2" s="3861"/>
      <c r="D2" s="3489" t="s">
        <v>3643</v>
      </c>
      <c r="E2" s="3489" t="s">
        <v>3643</v>
      </c>
      <c r="F2" s="3489" t="s">
        <v>3644</v>
      </c>
      <c r="G2" s="3490" t="s">
        <v>3645</v>
      </c>
      <c r="H2" s="3490" t="s">
        <v>3646</v>
      </c>
      <c r="I2" s="3490" t="s">
        <v>3645</v>
      </c>
      <c r="J2" s="3490" t="s">
        <v>3646</v>
      </c>
      <c r="K2" s="3861"/>
      <c r="L2" s="3489" t="s">
        <v>3647</v>
      </c>
      <c r="M2" s="3861"/>
      <c r="N2" s="3494">
        <v>2023</v>
      </c>
      <c r="O2" s="3494" t="s">
        <v>3661</v>
      </c>
    </row>
    <row r="3" spans="1:17" ht="96">
      <c r="A3" s="3491" t="s">
        <v>3648</v>
      </c>
      <c r="B3" s="3491" t="s">
        <v>3704</v>
      </c>
      <c r="C3" s="3489" t="s">
        <v>3650</v>
      </c>
      <c r="D3" s="3491">
        <v>41675.65</v>
      </c>
      <c r="E3" s="3491">
        <v>41675.65</v>
      </c>
      <c r="F3" s="3491" t="s">
        <v>3705</v>
      </c>
      <c r="G3" s="3492">
        <f>H3/(1+5%)</f>
        <v>4.666666666666667</v>
      </c>
      <c r="H3" s="3493">
        <v>4.9000000000000004</v>
      </c>
      <c r="I3" s="3492">
        <f>J3/(1+5%)</f>
        <v>70015097.142857134</v>
      </c>
      <c r="J3" s="3492">
        <v>73515852</v>
      </c>
      <c r="K3" s="3489" t="s">
        <v>3651</v>
      </c>
      <c r="L3" s="3491">
        <v>1</v>
      </c>
      <c r="M3" s="3491" t="s">
        <v>3407</v>
      </c>
      <c r="N3" s="3494">
        <v>6.52</v>
      </c>
      <c r="O3" s="3494">
        <f>N3*E3*365</f>
        <v>99179711.870000005</v>
      </c>
    </row>
    <row r="4" spans="1:17" ht="48">
      <c r="A4" s="3491" t="s">
        <v>3648</v>
      </c>
      <c r="B4" s="3491" t="s">
        <v>3649</v>
      </c>
      <c r="C4" s="3489" t="s">
        <v>3652</v>
      </c>
      <c r="D4" s="3491">
        <v>1238.82</v>
      </c>
      <c r="E4" s="3491">
        <v>1238.82</v>
      </c>
      <c r="F4" s="3491" t="s">
        <v>3653</v>
      </c>
      <c r="G4" s="3492">
        <f>5.93/(1+5%)+1/(1+6%)</f>
        <v>6.5910152740341417</v>
      </c>
      <c r="H4" s="3493">
        <v>6.93</v>
      </c>
      <c r="I4" s="3492">
        <v>2939429.4</v>
      </c>
      <c r="J4" s="3492">
        <v>3090612</v>
      </c>
      <c r="K4" s="3489" t="s">
        <v>3654</v>
      </c>
      <c r="L4" s="3491">
        <v>1</v>
      </c>
      <c r="M4" s="3491" t="s">
        <v>3390</v>
      </c>
      <c r="N4" s="3494">
        <f>H4*1.1</f>
        <v>7.6230000000000002</v>
      </c>
      <c r="O4" s="3494">
        <f t="shared" ref="O4:O7" si="0">N4*E4*365</f>
        <v>3446886.5738999997</v>
      </c>
    </row>
    <row r="5" spans="1:17" ht="48">
      <c r="A5" s="3491" t="s">
        <v>3648</v>
      </c>
      <c r="B5" s="3491" t="s">
        <v>3649</v>
      </c>
      <c r="C5" s="3489" t="s">
        <v>3652</v>
      </c>
      <c r="D5" s="3491">
        <v>867.89</v>
      </c>
      <c r="E5" s="3491">
        <v>867.89</v>
      </c>
      <c r="F5" s="3491" t="s">
        <v>3655</v>
      </c>
      <c r="G5" s="3492">
        <f>5.93/(1+5%)+1/(1+6%)</f>
        <v>6.5910152740341417</v>
      </c>
      <c r="H5" s="3493">
        <v>6.93</v>
      </c>
      <c r="I5" s="3492">
        <v>2059299.4</v>
      </c>
      <c r="J5" s="3492">
        <v>2165220</v>
      </c>
      <c r="K5" s="3489" t="s">
        <v>3654</v>
      </c>
      <c r="L5" s="3491">
        <v>1</v>
      </c>
      <c r="M5" s="3491" t="s">
        <v>3390</v>
      </c>
      <c r="N5" s="3494"/>
      <c r="O5" s="3494"/>
    </row>
    <row r="6" spans="1:17" ht="48">
      <c r="A6" s="3491" t="s">
        <v>3648</v>
      </c>
      <c r="B6" s="3491" t="s">
        <v>3649</v>
      </c>
      <c r="C6" s="3489" t="s">
        <v>3652</v>
      </c>
      <c r="D6" s="3491">
        <v>867.89</v>
      </c>
      <c r="E6" s="3491">
        <v>867.89</v>
      </c>
      <c r="F6" s="3491" t="s">
        <v>3656</v>
      </c>
      <c r="G6" s="3492">
        <f>H6/(1+5%)</f>
        <v>6.2095238095238088</v>
      </c>
      <c r="H6" s="3493">
        <v>6.52</v>
      </c>
      <c r="I6" s="3492">
        <f>J6/(1+5%)</f>
        <v>1967052</v>
      </c>
      <c r="J6" s="3492">
        <v>2065404.6</v>
      </c>
      <c r="K6" s="3489" t="s">
        <v>3654</v>
      </c>
      <c r="L6" s="3491">
        <v>1</v>
      </c>
      <c r="M6" s="3491" t="s">
        <v>3407</v>
      </c>
      <c r="N6" s="3495">
        <f>H6</f>
        <v>6.52</v>
      </c>
      <c r="O6" s="3494">
        <f t="shared" si="0"/>
        <v>2065404.622</v>
      </c>
    </row>
    <row r="7" spans="1:17" ht="48">
      <c r="A7" s="3491" t="s">
        <v>3657</v>
      </c>
      <c r="B7" s="3491" t="s">
        <v>3706</v>
      </c>
      <c r="C7" s="3489" t="s">
        <v>3658</v>
      </c>
      <c r="D7" s="3491">
        <v>840.4</v>
      </c>
      <c r="E7" s="3491">
        <v>840.4</v>
      </c>
      <c r="F7" s="3491" t="s">
        <v>3659</v>
      </c>
      <c r="G7" s="3492">
        <f>9.5/(1+5%)+1/(1+6%)</f>
        <v>9.991015274034142</v>
      </c>
      <c r="H7" s="3493">
        <v>10.5</v>
      </c>
      <c r="I7" s="3492">
        <f>10*787.3*365+5*53.1*365</f>
        <v>2970552.5</v>
      </c>
      <c r="J7" s="3492">
        <f>10.5*787.3*365+5.25*53.1*365</f>
        <v>3119080.125</v>
      </c>
      <c r="K7" s="3489" t="s">
        <v>3660</v>
      </c>
      <c r="L7" s="3491">
        <v>1</v>
      </c>
      <c r="M7" s="3491" t="s">
        <v>3390</v>
      </c>
      <c r="N7" s="3495">
        <f>H7</f>
        <v>10.5</v>
      </c>
      <c r="O7" s="3494">
        <f t="shared" si="0"/>
        <v>3220832.9999999995</v>
      </c>
    </row>
    <row r="8" spans="1:17">
      <c r="D8" s="3447">
        <f>SUM(D6:D7)+D4+D3</f>
        <v>44622.76</v>
      </c>
      <c r="J8" s="3496">
        <f>SUM(J3:J7)/10000</f>
        <v>8395.6168724999989</v>
      </c>
      <c r="N8" s="3494"/>
      <c r="O8" s="3495">
        <f>SUM(O3:O7)/10000</f>
        <v>10791.283606589999</v>
      </c>
      <c r="Q8" s="3447">
        <f>D8/'数据-汇总表'!E3</f>
        <v>0.79884824021681811</v>
      </c>
    </row>
    <row r="10" spans="1:17">
      <c r="K10" s="3494"/>
      <c r="L10" s="3494" t="s">
        <v>654</v>
      </c>
    </row>
    <row r="11" spans="1:17">
      <c r="K11" s="3494" t="s">
        <v>3662</v>
      </c>
      <c r="L11" s="3494">
        <v>6.8</v>
      </c>
    </row>
    <row r="12" spans="1:17">
      <c r="K12" s="3494" t="s">
        <v>3663</v>
      </c>
      <c r="L12" s="3494">
        <v>7.2</v>
      </c>
    </row>
    <row r="13" spans="1:17">
      <c r="K13" s="3494" t="s">
        <v>3664</v>
      </c>
      <c r="L13" s="3494">
        <v>5.8</v>
      </c>
    </row>
    <row r="14" spans="1:17">
      <c r="K14" s="3494" t="s">
        <v>3665</v>
      </c>
      <c r="L14" s="3494" t="s">
        <v>3667</v>
      </c>
    </row>
    <row r="15" spans="1:17">
      <c r="K15" s="3494" t="s">
        <v>3666</v>
      </c>
      <c r="L15" s="3494" t="s">
        <v>3668</v>
      </c>
    </row>
    <row r="16" spans="1:17">
      <c r="K16" s="3494" t="s">
        <v>3669</v>
      </c>
      <c r="L16" s="3494" t="s">
        <v>3670</v>
      </c>
    </row>
    <row r="17" spans="10:12">
      <c r="K17" s="3494" t="s">
        <v>3671</v>
      </c>
      <c r="L17" s="3494" t="s">
        <v>3672</v>
      </c>
    </row>
    <row r="18" spans="10:12">
      <c r="K18" s="3494" t="s">
        <v>3673</v>
      </c>
      <c r="L18" s="3494">
        <v>6</v>
      </c>
    </row>
    <row r="19" spans="10:12">
      <c r="K19" s="3494" t="s">
        <v>3674</v>
      </c>
      <c r="L19" s="3494">
        <v>6.5</v>
      </c>
    </row>
    <row r="20" spans="10:12">
      <c r="K20" s="3494" t="s">
        <v>3675</v>
      </c>
      <c r="L20" s="3494">
        <v>7.5</v>
      </c>
    </row>
    <row r="21" spans="10:12">
      <c r="K21" s="3494" t="s">
        <v>3676</v>
      </c>
      <c r="L21" s="3494" t="s">
        <v>3677</v>
      </c>
    </row>
    <row r="22" spans="10:12">
      <c r="K22" s="3494" t="s">
        <v>3678</v>
      </c>
      <c r="L22" s="3494">
        <v>6.2</v>
      </c>
    </row>
    <row r="23" spans="10:12">
      <c r="K23" s="3494" t="s">
        <v>3679</v>
      </c>
      <c r="L23" s="3494">
        <v>7</v>
      </c>
    </row>
    <row r="24" spans="10:12">
      <c r="K24" s="3494" t="s">
        <v>3680</v>
      </c>
      <c r="L24" s="3494">
        <v>7</v>
      </c>
    </row>
    <row r="25" spans="10:12">
      <c r="K25" s="3494" t="s">
        <v>3681</v>
      </c>
      <c r="L25" s="3494" t="s">
        <v>3682</v>
      </c>
    </row>
    <row r="26" spans="10:12">
      <c r="K26" s="3494" t="s">
        <v>3691</v>
      </c>
      <c r="L26" s="3494">
        <v>10</v>
      </c>
    </row>
    <row r="27" spans="10:12">
      <c r="L27" s="3494"/>
    </row>
    <row r="28" spans="10:12">
      <c r="J28" s="3497" t="s">
        <v>3684</v>
      </c>
      <c r="K28" s="3447" t="s">
        <v>3683</v>
      </c>
      <c r="L28" s="3494" t="s">
        <v>3685</v>
      </c>
    </row>
    <row r="29" spans="10:12">
      <c r="K29" s="3447" t="s">
        <v>3686</v>
      </c>
      <c r="L29" s="3494" t="s">
        <v>3687</v>
      </c>
    </row>
    <row r="30" spans="10:12">
      <c r="K30" s="3447" t="s">
        <v>3688</v>
      </c>
      <c r="L30" s="3494">
        <v>5</v>
      </c>
    </row>
    <row r="31" spans="10:12">
      <c r="K31" s="3447" t="s">
        <v>3689</v>
      </c>
      <c r="L31" s="3494" t="s">
        <v>3690</v>
      </c>
    </row>
  </sheetData>
  <mergeCells count="6">
    <mergeCell ref="M1:M2"/>
    <mergeCell ref="A1:B1"/>
    <mergeCell ref="C1:C2"/>
    <mergeCell ref="G1:H1"/>
    <mergeCell ref="I1:J1"/>
    <mergeCell ref="K1:K2"/>
  </mergeCells>
  <phoneticPr fontId="134" type="noConversion"/>
  <pageMargins left="0.7" right="0.7" top="0.75" bottom="0.75" header="0.3" footer="0.3"/>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3"/>
      <c r="B3" s="3533"/>
      <c r="C3" s="3533"/>
      <c r="D3" s="851" t="s">
        <v>925</v>
      </c>
      <c r="E3" s="851" t="s">
        <v>931</v>
      </c>
      <c r="F3" s="851" t="s">
        <v>925</v>
      </c>
      <c r="G3" s="851" t="s">
        <v>926</v>
      </c>
      <c r="H3" s="851" t="s">
        <v>925</v>
      </c>
      <c r="I3" s="851" t="s">
        <v>926</v>
      </c>
    </row>
    <row r="4" spans="1:9" ht="30">
      <c r="A4" s="1502" t="str">
        <f>项目基本情况!S2</f>
        <v>北京市朝阳区望京东路4号院1号楼房地产</v>
      </c>
      <c r="B4" s="851">
        <f>项目基本情况!C17</f>
        <v>55858.869999999981</v>
      </c>
      <c r="C4" s="851">
        <f>项目基本情况!C18</f>
        <v>0</v>
      </c>
      <c r="D4" s="851">
        <f>结果表!D118</f>
        <v>0</v>
      </c>
      <c r="E4" s="851">
        <f>结果表!E118</f>
        <v>0</v>
      </c>
      <c r="F4" s="851">
        <f>结果表!F118</f>
        <v>0</v>
      </c>
      <c r="G4" s="851">
        <f>结果表!G118</f>
        <v>0</v>
      </c>
      <c r="H4" s="851">
        <f ca="1">结果表!H118</f>
        <v>183644</v>
      </c>
      <c r="I4" s="851">
        <f ca="1">结果表!I118</f>
        <v>32876</v>
      </c>
    </row>
    <row r="5" spans="1:9" ht="30" customHeight="1">
      <c r="A5" s="3533" t="s">
        <v>927</v>
      </c>
      <c r="B5" s="3533"/>
      <c r="C5" s="3533"/>
      <c r="D5" s="3533" t="str">
        <f>结果表!D119</f>
        <v>零元整</v>
      </c>
      <c r="E5" s="3533"/>
      <c r="F5" s="3533" t="str">
        <f>结果表!F119</f>
        <v>零元整</v>
      </c>
      <c r="G5" s="3533"/>
      <c r="H5" s="3533" t="str">
        <f ca="1">结果表!H119</f>
        <v>壹拾捌亿叁仟陆佰肆拾肆万元整</v>
      </c>
      <c r="I5" s="3533"/>
    </row>
    <row r="6" spans="1:9" ht="15.75">
      <c r="A6" s="3532" t="str">
        <f>结果表!A120</f>
        <v>估价师知悉的法定优先受偿款</v>
      </c>
      <c r="B6" s="3532"/>
      <c r="C6" s="3532"/>
      <c r="D6" s="3532">
        <f>结果表!D120</f>
        <v>0</v>
      </c>
      <c r="E6" s="3532"/>
      <c r="F6" s="3532"/>
      <c r="G6" s="3532"/>
      <c r="H6" s="3532"/>
      <c r="I6" s="3532"/>
    </row>
    <row r="7" spans="1:9" ht="15">
      <c r="A7" s="3533" t="s">
        <v>927</v>
      </c>
      <c r="B7" s="3533"/>
      <c r="C7" s="3533"/>
      <c r="D7" s="3534" t="str">
        <f>结果表!D121</f>
        <v>零元整</v>
      </c>
      <c r="E7" s="3535"/>
      <c r="F7" s="3535"/>
      <c r="G7" s="3535"/>
      <c r="H7" s="3535"/>
      <c r="I7" s="3536"/>
    </row>
    <row r="8" spans="1:9" ht="15.75">
      <c r="A8" s="3532" t="str">
        <f>结果表!A122</f>
        <v>房地产抵押价值</v>
      </c>
      <c r="B8" s="3532"/>
      <c r="C8" s="3532"/>
      <c r="D8" s="3532">
        <f ca="1">结果表!D122</f>
        <v>183644</v>
      </c>
      <c r="E8" s="3532"/>
      <c r="F8" s="3532"/>
      <c r="G8" s="3532"/>
      <c r="H8" s="3532"/>
      <c r="I8" s="3532"/>
    </row>
    <row r="9" spans="1:9" ht="15">
      <c r="A9" s="3533" t="s">
        <v>927</v>
      </c>
      <c r="B9" s="3533"/>
      <c r="C9" s="3533"/>
      <c r="D9" s="3533" t="str">
        <f ca="1">结果表!D123</f>
        <v>壹拾捌亿叁仟陆佰肆拾肆万元整</v>
      </c>
      <c r="E9" s="3533"/>
      <c r="F9" s="3533"/>
      <c r="G9" s="3533"/>
      <c r="H9" s="3533"/>
      <c r="I9" s="3533"/>
    </row>
    <row r="10" spans="1:9" ht="15.75">
      <c r="A10" s="3532" t="str">
        <f>结果表!A124</f>
        <v/>
      </c>
      <c r="B10" s="3532"/>
      <c r="C10" s="3532"/>
      <c r="D10" s="3532" t="str">
        <f>结果表!D124</f>
        <v>——</v>
      </c>
      <c r="E10" s="3532"/>
      <c r="F10" s="3532"/>
      <c r="G10" s="3532"/>
      <c r="H10" s="3532"/>
      <c r="I10" s="3532"/>
    </row>
    <row r="11" spans="1:9" ht="15">
      <c r="A11" s="3533" t="s">
        <v>927</v>
      </c>
      <c r="B11" s="3533"/>
      <c r="C11" s="3533"/>
      <c r="D11" s="3533" t="e">
        <f>结果表!D125</f>
        <v>#VALUE!</v>
      </c>
      <c r="E11" s="3533"/>
      <c r="F11" s="3533"/>
      <c r="G11" s="3533"/>
      <c r="H11" s="3533"/>
      <c r="I11" s="3533"/>
    </row>
    <row r="12" spans="1:9" ht="15.75">
      <c r="A12" s="3532" t="str">
        <f>结果表!A126</f>
        <v/>
      </c>
      <c r="B12" s="3532"/>
      <c r="C12" s="3532"/>
      <c r="D12" s="3532" t="str">
        <f>结果表!D126</f>
        <v>——</v>
      </c>
      <c r="E12" s="3532"/>
      <c r="F12" s="3532"/>
      <c r="G12" s="3532"/>
      <c r="H12" s="3532"/>
      <c r="I12" s="3532"/>
    </row>
    <row r="13" spans="1:9" ht="15.75" thickBot="1">
      <c r="A13" s="3530" t="s">
        <v>927</v>
      </c>
      <c r="B13" s="3530"/>
      <c r="C13" s="3530"/>
      <c r="D13" s="3530" t="e">
        <f>结果表!D127</f>
        <v>#VALUE!</v>
      </c>
      <c r="E13" s="3530"/>
      <c r="F13" s="3530"/>
      <c r="G13" s="3530"/>
      <c r="H13" s="3530"/>
      <c r="I13" s="3530"/>
    </row>
    <row r="14" spans="1:9" ht="15" thickTop="1">
      <c r="A14" s="3531" t="s">
        <v>932</v>
      </c>
      <c r="B14" s="3531"/>
      <c r="C14" s="3531"/>
      <c r="D14" s="3531"/>
      <c r="E14" s="3531"/>
      <c r="F14" s="3531"/>
      <c r="G14" s="3531"/>
      <c r="H14" s="3531"/>
      <c r="I14" s="353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5" t="s">
        <v>949</v>
      </c>
      <c r="B1" s="3545"/>
      <c r="C1" s="3545"/>
      <c r="D1" s="3545"/>
    </row>
    <row r="2" spans="1:4" ht="18">
      <c r="A2" s="3546" t="s">
        <v>933</v>
      </c>
      <c r="B2" s="3546"/>
      <c r="C2" s="3546"/>
      <c r="D2" s="3546"/>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546" t="s">
        <v>939</v>
      </c>
      <c r="B6" s="3546"/>
      <c r="C6" s="3546"/>
      <c r="D6" s="3546"/>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47" t="s">
        <v>942</v>
      </c>
      <c r="B11" s="3539"/>
      <c r="C11" s="3539"/>
      <c r="D11" s="3539"/>
    </row>
    <row r="12" spans="1:4" ht="15.75">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39" t="str">
        <f>IF(项目基本情况!B8="抵押","4.本次评估估价师所知悉的法定优先受偿款情况说明如下：","——")</f>
        <v>4.本次评估估价师所知悉的法定优先受偿款情况说明如下：</v>
      </c>
      <c r="B14" s="3544"/>
      <c r="C14" s="3544"/>
      <c r="D14" s="3544"/>
    </row>
    <row r="15" spans="1:4" ht="42" customHeight="1">
      <c r="A15" s="35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9"/>
      <c r="C15" s="3539"/>
      <c r="D15" s="3539"/>
    </row>
    <row r="16" spans="1:4" ht="30" customHeight="1">
      <c r="A16" s="3541" t="s">
        <v>943</v>
      </c>
      <c r="B16" s="3541"/>
      <c r="C16" s="3541"/>
      <c r="D16" s="3541"/>
    </row>
    <row r="17" spans="1:4" ht="144" customHeight="1">
      <c r="A17" s="3541" t="s">
        <v>944</v>
      </c>
      <c r="B17" s="3541"/>
      <c r="C17" s="3541"/>
      <c r="D17" s="3541"/>
    </row>
    <row r="18" spans="1:4" ht="15.75" customHeight="1">
      <c r="A18" s="3539" t="str">
        <f>IF(项目基本情况!B8="抵押",结果表!K120,"——")</f>
        <v>故，本次评估不存在估价师知悉的法定优先受偿款</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9"/>
      <c r="C20" s="3539"/>
      <c r="D20" s="3539"/>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2"/>
      <c r="C21" s="3542"/>
      <c r="D21" s="3542"/>
    </row>
    <row r="22" spans="1:4" ht="18.75" customHeight="1">
      <c r="A22" s="3543" t="s">
        <v>945</v>
      </c>
      <c r="B22" s="3543"/>
      <c r="C22" s="3543"/>
      <c r="D22" s="354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40">
        <v>42551</v>
      </c>
      <c r="D31" s="35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53" t="s">
        <v>956</v>
      </c>
      <c r="B15" s="3548" t="s">
        <v>109</v>
      </c>
      <c r="C15" s="3549"/>
    </row>
    <row r="16" spans="1:7" ht="13.5">
      <c r="A16" s="3554"/>
      <c r="B16" s="3548" t="s">
        <v>42</v>
      </c>
      <c r="C16" s="3549"/>
    </row>
    <row r="17" spans="1:3" ht="13.5">
      <c r="A17" s="3554"/>
      <c r="B17" s="3551" t="s">
        <v>957</v>
      </c>
      <c r="C17" s="1529" t="s">
        <v>956</v>
      </c>
    </row>
    <row r="18" spans="1:3" ht="13.5">
      <c r="A18" s="3554"/>
      <c r="B18" s="3551"/>
      <c r="C18" s="1529" t="s">
        <v>958</v>
      </c>
    </row>
    <row r="19" spans="1:3" ht="13.5">
      <c r="A19" s="3554"/>
      <c r="B19" s="3551"/>
      <c r="C19" s="1529" t="s">
        <v>959</v>
      </c>
    </row>
    <row r="20" spans="1:3" ht="13.5">
      <c r="A20" s="3555"/>
      <c r="B20" s="3550" t="s">
        <v>960</v>
      </c>
      <c r="C20" s="3549"/>
    </row>
    <row r="21" spans="1:3" ht="13.5">
      <c r="A21" s="1530" t="s">
        <v>961</v>
      </c>
      <c r="B21" s="1531"/>
      <c r="C21" s="1532"/>
    </row>
    <row r="22" spans="1:3" ht="13.5">
      <c r="A22" s="3552" t="s">
        <v>962</v>
      </c>
      <c r="B22" s="3550" t="s">
        <v>963</v>
      </c>
      <c r="C22" s="3549"/>
    </row>
    <row r="23" spans="1:3" ht="13.5">
      <c r="A23" s="3552"/>
      <c r="B23" s="3550" t="s">
        <v>964</v>
      </c>
      <c r="C23" s="3549"/>
    </row>
    <row r="24" spans="1:3" ht="13.5">
      <c r="A24" s="3552"/>
      <c r="B24" s="3550" t="s">
        <v>965</v>
      </c>
      <c r="C24" s="3549"/>
    </row>
    <row r="25" spans="1:3" ht="13.5">
      <c r="A25" s="3552"/>
      <c r="B25" s="3551" t="s">
        <v>966</v>
      </c>
      <c r="C25" s="1529" t="s">
        <v>967</v>
      </c>
    </row>
    <row r="26" spans="1:3" ht="13.5">
      <c r="A26" s="3552"/>
      <c r="B26" s="3551"/>
      <c r="C26" s="1529" t="s">
        <v>968</v>
      </c>
    </row>
    <row r="27" spans="1:3" ht="13.5">
      <c r="A27" s="3552"/>
      <c r="B27" s="3551"/>
      <c r="C27" s="1529" t="s">
        <v>969</v>
      </c>
    </row>
    <row r="28" spans="1:3" ht="13.5">
      <c r="A28" s="3552"/>
      <c r="B28" s="3551"/>
      <c r="C28" s="1529" t="s">
        <v>970</v>
      </c>
    </row>
    <row r="29" spans="1:3" ht="13.5">
      <c r="A29" s="3552"/>
      <c r="B29" s="3551"/>
      <c r="C29" s="1529" t="s">
        <v>971</v>
      </c>
    </row>
    <row r="30" spans="1:3" ht="13.5">
      <c r="A30" s="3552"/>
      <c r="B30" s="3551"/>
      <c r="C30" s="1529" t="s">
        <v>972</v>
      </c>
    </row>
    <row r="31" spans="1:3" ht="13.5">
      <c r="A31" s="3552"/>
      <c r="B31" s="3551"/>
      <c r="C31" s="1529" t="s">
        <v>973</v>
      </c>
    </row>
    <row r="32" spans="1:3" ht="13.5">
      <c r="A32" s="3552"/>
      <c r="B32" s="3551"/>
      <c r="C32" s="1529" t="s">
        <v>974</v>
      </c>
    </row>
    <row r="33" spans="1:3" ht="13.5">
      <c r="A33" s="3552"/>
      <c r="B33" s="355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45399</v>
      </c>
      <c r="C2" s="2337" t="s">
        <v>2140</v>
      </c>
      <c r="D2" s="2337"/>
      <c r="E2" s="2337"/>
      <c r="F2" s="2333"/>
      <c r="G2" s="2333"/>
      <c r="H2" s="2333"/>
    </row>
    <row r="3" spans="1:8" ht="24" customHeight="1">
      <c r="A3" s="2338" t="s">
        <v>2141</v>
      </c>
      <c r="B3" s="2339" t="s">
        <v>2142</v>
      </c>
      <c r="C3" s="2339" t="s">
        <v>2143</v>
      </c>
      <c r="D3" s="2340" t="s">
        <v>2144</v>
      </c>
      <c r="E3" s="2341" t="s">
        <v>2145</v>
      </c>
      <c r="F3" s="1301" t="s">
        <v>2146</v>
      </c>
      <c r="G3" s="2339" t="s">
        <v>2143</v>
      </c>
      <c r="H3" s="2340" t="s">
        <v>2147</v>
      </c>
    </row>
    <row r="4" spans="1:8" ht="24" customHeight="1">
      <c r="A4" s="1301" t="s">
        <v>2148</v>
      </c>
      <c r="B4" s="1301">
        <f ca="1">IF(C4&lt;B2,"已过期",1119970066)</f>
        <v>1119970066</v>
      </c>
      <c r="C4" s="2342">
        <v>45937</v>
      </c>
      <c r="D4" s="2343" t="str">
        <f ca="1">A4&amp;"（注册号："&amp;B4&amp;"）"</f>
        <v>梁津（注册号：1119970066）</v>
      </c>
      <c r="E4" s="2344" t="s">
        <v>2148</v>
      </c>
      <c r="F4" s="1301">
        <f ca="1">IF(G4&lt;B2,"已过期",96010014)</f>
        <v>96010014</v>
      </c>
      <c r="G4" s="2345">
        <v>47118</v>
      </c>
      <c r="H4" s="2346" t="str">
        <f ca="1">E4&amp;"（注册号："&amp;F4&amp;"）"</f>
        <v>梁津（注册号：96010014）</v>
      </c>
    </row>
    <row r="5" spans="1:8" ht="24" customHeight="1">
      <c r="A5" s="1301" t="s">
        <v>2149</v>
      </c>
      <c r="B5" s="1301">
        <f ca="1">IF(C5&lt;B2,"已过期",1119970111)</f>
        <v>1119970111</v>
      </c>
      <c r="C5" s="2342">
        <v>45937</v>
      </c>
      <c r="D5" s="2343" t="str">
        <f t="shared" ref="D5:D15" ca="1" si="0">A5&amp;"（注册号："&amp;B5&amp;"）"</f>
        <v>叶凌（注册号：1119970111）</v>
      </c>
      <c r="E5" s="2344" t="s">
        <v>2149</v>
      </c>
      <c r="F5" s="1301">
        <f ca="1">IF(G5&lt;B2,"已过期",94010078)</f>
        <v>94010078</v>
      </c>
      <c r="G5" s="2345">
        <v>46387</v>
      </c>
      <c r="H5" s="2346" t="str">
        <f t="shared" ref="H5:H16" ca="1" si="1">E5&amp;"（注册号："&amp;F5&amp;"）"</f>
        <v>叶凌（注册号：94010078）</v>
      </c>
    </row>
    <row r="6" spans="1:8" ht="24" customHeight="1">
      <c r="A6" s="1301" t="s">
        <v>2150</v>
      </c>
      <c r="B6" s="1301">
        <f ca="1">IF(C6&lt;B2,"已过期",1120050019)</f>
        <v>1120050019</v>
      </c>
      <c r="C6" s="2342">
        <v>45410</v>
      </c>
      <c r="D6" s="2343" t="str">
        <f t="shared" ca="1" si="0"/>
        <v>王鹏（注册号：1120050019）</v>
      </c>
      <c r="E6" s="2344" t="s">
        <v>2150</v>
      </c>
      <c r="F6" s="1301">
        <f ca="1">IF(G6&lt;B2,"已过期",2002110030)</f>
        <v>2002110030</v>
      </c>
      <c r="G6" s="2345">
        <v>46387</v>
      </c>
      <c r="H6" s="2346" t="str">
        <f t="shared" ca="1" si="1"/>
        <v>王鹏（注册号：2002110030）</v>
      </c>
    </row>
    <row r="7" spans="1:8" ht="24" customHeight="1">
      <c r="A7" s="1301" t="s">
        <v>2151</v>
      </c>
      <c r="B7" s="1301">
        <f ca="1">IF(C7&lt;B2,"已过期",1120000080)</f>
        <v>1120000080</v>
      </c>
      <c r="C7" s="2342">
        <v>45937</v>
      </c>
      <c r="D7" s="2343" t="str">
        <f t="shared" ca="1" si="0"/>
        <v>欧红伟（注册号：1120000080）</v>
      </c>
      <c r="E7" s="2344" t="s">
        <v>2151</v>
      </c>
      <c r="F7" s="1301">
        <f ca="1">IF(G7&lt;B2,"已过期",2000110082)</f>
        <v>2000110082</v>
      </c>
      <c r="G7" s="2345">
        <v>46387</v>
      </c>
      <c r="H7" s="2346" t="str">
        <f t="shared" ca="1" si="1"/>
        <v>欧红伟（注册号：2000110082）</v>
      </c>
    </row>
    <row r="8" spans="1:8" ht="24" customHeight="1">
      <c r="A8" s="1301" t="s">
        <v>2152</v>
      </c>
      <c r="B8" s="1301">
        <f ca="1">IF(C8&lt;B2,"已过期",1419970001)</f>
        <v>1419970001</v>
      </c>
      <c r="C8" s="2342">
        <v>45937</v>
      </c>
      <c r="D8" s="2343" t="str">
        <f t="shared" ca="1" si="0"/>
        <v>吴薇（注册号：1419970001）</v>
      </c>
      <c r="E8" s="2344" t="s">
        <v>2152</v>
      </c>
      <c r="F8" s="1301">
        <f ca="1">IF(G8&lt;B2,"已过期",2002110125)</f>
        <v>2002110125</v>
      </c>
      <c r="G8" s="2345">
        <v>47118</v>
      </c>
      <c r="H8" s="2346" t="str">
        <f t="shared" ca="1" si="1"/>
        <v>吴薇（注册号：2002110125）</v>
      </c>
    </row>
    <row r="9" spans="1:8" ht="24" customHeight="1">
      <c r="A9" s="1301" t="s">
        <v>2153</v>
      </c>
      <c r="B9" s="1301">
        <f ca="1">IF(C9&lt;B2,"已过期",1120060040)</f>
        <v>1120060040</v>
      </c>
      <c r="C9" s="2347">
        <v>45592</v>
      </c>
      <c r="D9" s="2343" t="str">
        <f t="shared" ca="1" si="0"/>
        <v>陈颖（注册号：1120060040）</v>
      </c>
      <c r="E9" s="2344" t="s">
        <v>2153</v>
      </c>
      <c r="F9" s="1301">
        <f ca="1">IF(G9&lt;B2,"已过期",2004110096)</f>
        <v>2004110096</v>
      </c>
      <c r="G9" s="2345">
        <v>47118</v>
      </c>
      <c r="H9" s="2346" t="str">
        <f t="shared" ca="1" si="1"/>
        <v>陈颖（注册号：2004110096）</v>
      </c>
    </row>
    <row r="10" spans="1:8" ht="24" customHeight="1">
      <c r="A10" s="1301" t="s">
        <v>2154</v>
      </c>
      <c r="B10" s="1301">
        <f ca="1">IF(C10&lt;B2,"已过期",1120100036)</f>
        <v>1120100036</v>
      </c>
      <c r="C10" s="2347">
        <v>45752</v>
      </c>
      <c r="D10" s="2343" t="str">
        <f t="shared" ca="1" si="0"/>
        <v>崔锴（注册号：1120100036）</v>
      </c>
      <c r="E10" s="2344" t="s">
        <v>2154</v>
      </c>
      <c r="F10" s="1301">
        <f ca="1">IF(G10&lt;B2,"已过期",2010110070)</f>
        <v>2010110070</v>
      </c>
      <c r="G10" s="2345">
        <v>47907</v>
      </c>
      <c r="H10" s="2346" t="str">
        <f t="shared" ca="1" si="1"/>
        <v>崔锴（注册号：2010110070）</v>
      </c>
    </row>
    <row r="11" spans="1:8" ht="24" customHeight="1">
      <c r="A11" s="1301" t="s">
        <v>2155</v>
      </c>
      <c r="B11" s="1301">
        <f ca="1">IF(C11&lt;B2,"已过期",1120070131)</f>
        <v>1120070131</v>
      </c>
      <c r="C11" s="2342">
        <v>45937</v>
      </c>
      <c r="D11" s="2343" t="str">
        <f t="shared" ca="1" si="0"/>
        <v>郑燚（注册号：1120070131）</v>
      </c>
      <c r="E11" s="2344" t="s">
        <v>2155</v>
      </c>
      <c r="F11" s="1301">
        <f ca="1">IF(G11&lt;B2,"已过期",2014110011)</f>
        <v>2014110011</v>
      </c>
      <c r="G11" s="2345">
        <v>49302</v>
      </c>
      <c r="H11" s="2346" t="str">
        <f t="shared" ca="1" si="1"/>
        <v>郑燚（注册号：2014110011）</v>
      </c>
    </row>
    <row r="12" spans="1:8" ht="24" customHeight="1">
      <c r="A12" s="1301" t="s">
        <v>2156</v>
      </c>
      <c r="B12" s="1301">
        <f ca="1">IF(C12&lt;B2,"已过期",1120040230)</f>
        <v>1120040230</v>
      </c>
      <c r="C12" s="2347">
        <v>45937</v>
      </c>
      <c r="D12" s="2343" t="str">
        <f t="shared" ca="1" si="0"/>
        <v>苏海（注册号：1120040230）</v>
      </c>
      <c r="E12" s="2344" t="s">
        <v>2156</v>
      </c>
      <c r="F12" s="1301">
        <f ca="1">IF(G12&lt;B2,"已过期",98030020)</f>
        <v>98030020</v>
      </c>
      <c r="G12" s="2345">
        <v>47118</v>
      </c>
      <c r="H12" s="2346" t="str">
        <f t="shared" ca="1" si="1"/>
        <v>苏海（注册号：98030020）</v>
      </c>
    </row>
    <row r="13" spans="1:8" ht="24" customHeight="1">
      <c r="A13" s="1301" t="s">
        <v>2157</v>
      </c>
      <c r="B13" s="1301" t="str">
        <f ca="1">IF(C13&lt;B2,"已过期",1120020033)</f>
        <v>已过期</v>
      </c>
      <c r="C13" s="2342">
        <v>45375</v>
      </c>
      <c r="D13" s="2343" t="str">
        <f t="shared" ca="1" si="0"/>
        <v>刘敬东（注册号：已过期）</v>
      </c>
      <c r="E13" s="2344" t="s">
        <v>2157</v>
      </c>
      <c r="F13" s="1301">
        <f ca="1">IF(G13&lt;B2,"已过期",2000110137)</f>
        <v>2000110137</v>
      </c>
      <c r="G13" s="2345">
        <v>46387</v>
      </c>
      <c r="H13" s="2346" t="str">
        <f t="shared" ca="1" si="1"/>
        <v>刘敬东（注册号：2000110137）</v>
      </c>
    </row>
    <row r="14" spans="1:8" ht="24" customHeight="1">
      <c r="A14" s="1301" t="s">
        <v>2158</v>
      </c>
      <c r="B14" s="1301" t="str">
        <f ca="1">IF(C14&lt;B2,"已过期",1119980106)</f>
        <v>已过期</v>
      </c>
      <c r="C14" s="2347">
        <v>44969</v>
      </c>
      <c r="D14" s="2343" t="str">
        <f t="shared" ca="1" si="0"/>
        <v>刘俊财（注册号：已过期）</v>
      </c>
      <c r="E14" s="2344" t="s">
        <v>2158</v>
      </c>
      <c r="F14" s="1301">
        <f ca="1">IF(G14&lt;B2,"已过期",96010063)</f>
        <v>96010063</v>
      </c>
      <c r="G14" s="2345">
        <v>47483</v>
      </c>
      <c r="H14" s="2346" t="str">
        <f t="shared" ca="1" si="1"/>
        <v>刘俊财（注册号：96010063）</v>
      </c>
    </row>
    <row r="15" spans="1:8" ht="24" customHeight="1">
      <c r="A15" s="1301" t="s">
        <v>2441</v>
      </c>
      <c r="B15" s="1301">
        <v>1120210056</v>
      </c>
      <c r="C15" s="2347">
        <v>45410</v>
      </c>
      <c r="D15" s="2343" t="str">
        <f t="shared" si="0"/>
        <v>宁小鳗（注册号：1120210056）</v>
      </c>
      <c r="E15" s="2344" t="s">
        <v>2159</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56" t="s">
        <v>2160</v>
      </c>
      <c r="B17" s="3556"/>
      <c r="C17" s="3556"/>
      <c r="D17" s="3556"/>
      <c r="E17" s="3556"/>
      <c r="F17" s="3556"/>
      <c r="G17" s="3556"/>
      <c r="H17" s="3556"/>
    </row>
    <row r="18" spans="1:8" ht="24" customHeight="1">
      <c r="A18" s="3557" t="s">
        <v>2161</v>
      </c>
      <c r="B18" s="3557"/>
      <c r="C18" s="3557"/>
      <c r="D18" s="2340"/>
      <c r="E18" s="3558" t="s">
        <v>2162</v>
      </c>
      <c r="F18" s="3557"/>
      <c r="G18" s="3557"/>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2442</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2023-12-13T02:52:30Z</cp:lastPrinted>
  <dcterms:created xsi:type="dcterms:W3CDTF">2015-07-13T07:17:23Z</dcterms:created>
  <dcterms:modified xsi:type="dcterms:W3CDTF">2024-04-17T01:16:29Z</dcterms:modified>
</cp:coreProperties>
</file>