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30" i="9" l="1"/>
  <c r="B30" i="9"/>
  <c r="D27" i="9"/>
  <c r="B27" i="9"/>
  <c r="C33" i="21" l="1"/>
  <c r="F6" i="15"/>
  <c r="C6" i="15" s="1"/>
  <c r="F8" i="15"/>
  <c r="B5" i="1"/>
  <c r="F7" i="15"/>
  <c r="F9"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M20" i="43" s="1"/>
  <c r="C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Q25" i="40"/>
  <c r="Z25" i="40"/>
  <c r="D94" i="40"/>
  <c r="E94" i="40"/>
  <c r="F94" i="40"/>
  <c r="H25" i="40"/>
  <c r="U25" i="40"/>
  <c r="F25" i="40"/>
  <c r="AA25" i="40"/>
  <c r="C25" i="40"/>
  <c r="Q27" i="39"/>
  <c r="Z27" i="39"/>
  <c r="D101" i="39"/>
  <c r="E101" i="39"/>
  <c r="F101"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c r="J8" i="21"/>
  <c r="AC8" i="21"/>
  <c r="J9" i="21"/>
  <c r="W9" i="21"/>
  <c r="H8" i="21"/>
  <c r="U8" i="21"/>
  <c r="H9" i="21"/>
  <c r="AB9" i="21"/>
  <c r="H10" i="21"/>
  <c r="AB10" i="21" s="1"/>
  <c r="H36" i="21"/>
  <c r="U36" i="21" s="1"/>
  <c r="F35" i="21"/>
  <c r="AA35" i="21"/>
  <c r="J33" i="21"/>
  <c r="W33" i="21" s="1"/>
  <c r="H33" i="21"/>
  <c r="AB33" i="21" s="1"/>
  <c r="F33" i="21"/>
  <c r="AA33" i="21" s="1"/>
  <c r="J10" i="21"/>
  <c r="AC10" i="21" s="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s="1"/>
  <c r="H34" i="21"/>
  <c r="AB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A15" i="21"/>
  <c r="AB39" i="21"/>
  <c r="W40" i="21"/>
  <c r="AC37" i="21"/>
  <c r="U27" i="21"/>
  <c r="AB23" i="21"/>
  <c r="U19" i="21"/>
  <c r="U43" i="21"/>
  <c r="AB44" i="21"/>
  <c r="U30" i="21"/>
  <c r="S17" i="21"/>
  <c r="AA43"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8" i="12" s="1"/>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s="1"/>
  <c r="C7" i="33"/>
  <c r="C58" i="33"/>
  <c r="C7" i="37"/>
  <c r="C52" i="37"/>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s="1"/>
  <c r="C20" i="43" s="1"/>
  <c r="D115" i="43"/>
  <c r="E115" i="43"/>
  <c r="F115" i="43"/>
  <c r="G115" i="43"/>
  <c r="H115" i="43"/>
  <c r="B117" i="43"/>
  <c r="C117" i="43"/>
  <c r="M109" i="43"/>
  <c r="I107" i="43"/>
  <c r="N106" i="43"/>
  <c r="J105" i="43"/>
  <c r="F104" i="43"/>
  <c r="G37" i="47"/>
  <c r="C23" i="43"/>
  <c r="F36" i="43"/>
  <c r="C17" i="43"/>
  <c r="F35" i="43"/>
  <c r="F37" i="43"/>
  <c r="F39" i="43"/>
  <c r="G17" i="43"/>
  <c r="C7" i="34"/>
  <c r="C59" i="34" s="1"/>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T5" i="43" s="1"/>
  <c r="V5" i="43"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F34" i="11"/>
  <c r="E19" i="1"/>
  <c r="D20" i="1"/>
  <c r="D18" i="1"/>
  <c r="F50" i="11"/>
  <c r="F19" i="1"/>
  <c r="F18" i="1"/>
  <c r="C11" i="12" s="1"/>
  <c r="D19" i="1"/>
  <c r="K87" i="43"/>
  <c r="J87" i="43"/>
  <c r="D87" i="43"/>
  <c r="C16" i="43"/>
  <c r="C7" i="43"/>
  <c r="P25" i="43"/>
  <c r="P23" i="43"/>
  <c r="P21" i="43"/>
  <c r="B71" i="39" s="1"/>
  <c r="P24" i="43"/>
  <c r="B66" i="40" s="1"/>
  <c r="P22" i="43"/>
  <c r="D46" i="36"/>
  <c r="E46" i="36"/>
  <c r="F46" i="36" s="1"/>
  <c r="K106" i="9"/>
  <c r="O19" i="43"/>
  <c r="D58" i="33"/>
  <c r="E58" i="33"/>
  <c r="D65" i="40"/>
  <c r="E63" i="40"/>
  <c r="E65" i="40" s="1"/>
  <c r="L49" i="15"/>
  <c r="L59" i="15" s="1"/>
  <c r="Q71" i="15" s="1"/>
  <c r="C5" i="43"/>
  <c r="C50" i="15"/>
  <c r="C115" i="43"/>
  <c r="D113" i="43"/>
  <c r="J22" i="43"/>
  <c r="C21"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34" i="11"/>
  <c r="C38" i="11" s="1"/>
  <c r="E81" i="43"/>
  <c r="F63" i="40"/>
  <c r="B79" i="43"/>
  <c r="C61" i="15"/>
  <c r="D14" i="62"/>
  <c r="E14" i="62"/>
  <c r="D109" i="57"/>
  <c r="I111" i="57"/>
  <c r="D128" i="57"/>
  <c r="G14" i="62"/>
  <c r="F41" i="15"/>
  <c r="F70" i="15" s="1"/>
  <c r="D46" i="57"/>
  <c r="M49" i="57"/>
  <c r="D130" i="57"/>
  <c r="H14" i="62"/>
  <c r="G63" i="40"/>
  <c r="G65" i="40" s="1"/>
  <c r="F65" i="40"/>
  <c r="Q58" i="15"/>
  <c r="D53" i="57"/>
  <c r="C79" i="57"/>
  <c r="C74" i="57"/>
  <c r="C80" i="57" s="1"/>
  <c r="C82" i="57" s="1"/>
  <c r="D54" i="57"/>
  <c r="D49" i="57"/>
  <c r="M53" i="57" s="1"/>
  <c r="C86" i="57"/>
  <c r="C73" i="57"/>
  <c r="C94" i="57"/>
  <c r="D115" i="57"/>
  <c r="D116" i="57"/>
  <c r="I112" i="57"/>
  <c r="D129" i="57"/>
  <c r="D117" i="57"/>
  <c r="D118" i="57"/>
  <c r="I114" i="57"/>
  <c r="D131" i="57"/>
  <c r="F14" i="62"/>
  <c r="D56" i="57"/>
  <c r="M54" i="57"/>
  <c r="C65" i="57"/>
  <c r="L69" i="57"/>
  <c r="M69" i="57"/>
  <c r="L68" i="57"/>
  <c r="M68" i="57"/>
  <c r="L67" i="57"/>
  <c r="M67" i="57"/>
  <c r="L66" i="57"/>
  <c r="M66" i="57"/>
  <c r="L65" i="57"/>
  <c r="M65" i="57"/>
  <c r="L64" i="57"/>
  <c r="M64" i="57"/>
  <c r="G39" i="43"/>
  <c r="I39" i="43" s="1"/>
  <c r="D133" i="57"/>
  <c r="C81" i="57"/>
  <c r="E81" i="57" s="1"/>
  <c r="E82" i="57" s="1"/>
  <c r="C64" i="57"/>
  <c r="C68" i="57"/>
  <c r="C69" i="57" s="1"/>
  <c r="D55" i="57"/>
  <c r="M70" i="57"/>
  <c r="N70" i="57"/>
  <c r="M57" i="57"/>
  <c r="J60" i="15"/>
  <c r="J61" i="15"/>
  <c r="Q46" i="15" s="1"/>
  <c r="J19" i="15"/>
  <c r="C33" i="15"/>
  <c r="D119" i="57"/>
  <c r="D120" i="57" s="1"/>
  <c r="I116" i="57" s="1"/>
  <c r="I115" i="57"/>
  <c r="D132" i="57" s="1"/>
  <c r="I14" i="62" s="1"/>
  <c r="B8" i="62" s="1"/>
  <c r="C62" i="15"/>
  <c r="L47" i="15"/>
  <c r="L61" i="15"/>
  <c r="Q64" i="15" s="1"/>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19" i="57"/>
  <c r="E2" i="37"/>
  <c r="F6" i="61"/>
  <c r="E2" i="35"/>
  <c r="D6" i="61"/>
  <c r="C20" i="57"/>
  <c r="E2" i="11"/>
  <c r="E2" i="33"/>
  <c r="F5" i="61"/>
  <c r="D5" i="61"/>
  <c r="E2" i="36"/>
  <c r="E2" i="34"/>
  <c r="D3" i="61"/>
  <c r="F3" i="61"/>
  <c r="D20" i="57"/>
  <c r="F7" i="61"/>
  <c r="C19" i="57"/>
  <c r="D7" i="61"/>
  <c r="D4" i="61"/>
  <c r="H23" i="31"/>
  <c r="F4" i="61"/>
  <c r="C15" i="12" l="1"/>
  <c r="C13" i="12"/>
  <c r="C35" i="11"/>
  <c r="H26" i="21"/>
  <c r="J26" i="21"/>
  <c r="W26" i="21" s="1"/>
  <c r="F89" i="21"/>
  <c r="G89" i="21" s="1"/>
  <c r="H89" i="21" s="1"/>
  <c r="I89" i="21" s="1"/>
  <c r="J89" i="21" s="1"/>
  <c r="K89" i="21" s="1"/>
  <c r="L89" i="21" s="1"/>
  <c r="M89" i="21" s="1"/>
  <c r="F26" i="21"/>
  <c r="S44" i="21"/>
  <c r="W44" i="21"/>
  <c r="W39" i="21"/>
  <c r="AA36" i="21"/>
  <c r="AB36" i="21"/>
  <c r="W34" i="21"/>
  <c r="U34" i="21"/>
  <c r="AC26" i="21"/>
  <c r="C29" i="39"/>
  <c r="B55" i="43"/>
  <c r="C29" i="43"/>
  <c r="C37" i="43"/>
  <c r="T14" i="43"/>
  <c r="V14" i="43" s="1"/>
  <c r="T9" i="43"/>
  <c r="V9" i="43" s="1"/>
  <c r="T6" i="43"/>
  <c r="V6" i="43" s="1"/>
  <c r="T7" i="43"/>
  <c r="V7" i="43" s="1"/>
  <c r="T10" i="43"/>
  <c r="V10" i="43" s="1"/>
  <c r="T2" i="43"/>
  <c r="V2" i="43" s="1"/>
  <c r="T3" i="43"/>
  <c r="V3" i="43" s="1"/>
  <c r="T16" i="43"/>
  <c r="V16" i="43" s="1"/>
  <c r="C38" i="43"/>
  <c r="C39" i="43"/>
  <c r="E39" i="43" s="1"/>
  <c r="T12" i="43"/>
  <c r="V12" i="43" s="1"/>
  <c r="T11" i="43"/>
  <c r="V11" i="43" s="1"/>
  <c r="T4" i="43"/>
  <c r="V4" i="43" s="1"/>
  <c r="T15" i="43"/>
  <c r="V15" i="43" s="1"/>
  <c r="T8" i="43"/>
  <c r="V8" i="43" s="1"/>
  <c r="T13" i="43"/>
  <c r="V13" i="43" s="1"/>
  <c r="L57" i="15"/>
  <c r="B14" i="1"/>
  <c r="Q55" i="15"/>
  <c r="C36" i="11"/>
  <c r="Q50" i="15"/>
  <c r="K1" i="61"/>
  <c r="J58" i="15"/>
  <c r="J56" i="15" s="1"/>
  <c r="J59" i="15" s="1"/>
  <c r="Q48" i="15" s="1"/>
  <c r="Q59" i="15"/>
  <c r="C23" i="12"/>
  <c r="C31" i="12"/>
  <c r="C7" i="62"/>
  <c r="C6" i="62"/>
  <c r="C87" i="57"/>
  <c r="C96" i="57" s="1"/>
  <c r="C97" i="57" s="1"/>
  <c r="E97" i="57" s="1"/>
  <c r="E98" i="57" s="1"/>
  <c r="C12" i="12"/>
  <c r="C16" i="12" s="1"/>
  <c r="C21" i="12" s="1"/>
  <c r="C22" i="12" s="1"/>
  <c r="D22" i="50"/>
  <c r="B35" i="60" s="1"/>
  <c r="H63" i="40"/>
  <c r="F58" i="33"/>
  <c r="H7" i="36"/>
  <c r="G46" i="36"/>
  <c r="H46" i="36" s="1"/>
  <c r="I46" i="36" s="1"/>
  <c r="J46" i="36" s="1"/>
  <c r="K46" i="36" s="1"/>
  <c r="L46" i="36" s="1"/>
  <c r="M46" i="36" s="1"/>
  <c r="N46" i="36" s="1"/>
  <c r="O46" i="36" s="1"/>
  <c r="F7" i="36"/>
  <c r="E52" i="37"/>
  <c r="F52" i="37" s="1"/>
  <c r="G52" i="37" s="1"/>
  <c r="H52" i="37" s="1"/>
  <c r="I52" i="37" s="1"/>
  <c r="J52" i="37" s="1"/>
  <c r="K52" i="37" s="1"/>
  <c r="L52" i="37" s="1"/>
  <c r="M52" i="37" s="1"/>
  <c r="N52" i="37" s="1"/>
  <c r="O52" i="37" s="1"/>
  <c r="J7" i="37"/>
  <c r="H7" i="37"/>
  <c r="F7" i="37"/>
  <c r="D58" i="21"/>
  <c r="D59" i="34"/>
  <c r="E59" i="34" s="1"/>
  <c r="F59" i="34" s="1"/>
  <c r="G59" i="34" s="1"/>
  <c r="H59" i="34" s="1"/>
  <c r="I59" i="34" s="1"/>
  <c r="J59" i="34" s="1"/>
  <c r="K59" i="34" s="1"/>
  <c r="L59" i="34" s="1"/>
  <c r="M59" i="34" s="1"/>
  <c r="N59" i="34" s="1"/>
  <c r="O59" i="34" s="1"/>
  <c r="F7" i="34"/>
  <c r="J7" i="34"/>
  <c r="H7" i="34"/>
  <c r="D68" i="39"/>
  <c r="C70" i="39"/>
  <c r="E48" i="35"/>
  <c r="F48" i="35" s="1"/>
  <c r="G48" i="35" s="1"/>
  <c r="H48" i="35" s="1"/>
  <c r="I48" i="35" s="1"/>
  <c r="J48" i="35" s="1"/>
  <c r="K48" i="35" s="1"/>
  <c r="L48" i="35" s="1"/>
  <c r="M48" i="35" s="1"/>
  <c r="N48" i="35" s="1"/>
  <c r="O48" i="35" s="1"/>
  <c r="H7" i="35"/>
  <c r="J7" i="35"/>
  <c r="F7" i="35"/>
  <c r="C35" i="43"/>
  <c r="C34" i="43"/>
  <c r="C36" i="43"/>
  <c r="C33" i="43"/>
  <c r="J7" i="36"/>
  <c r="S28" i="21"/>
  <c r="AC28" i="21"/>
  <c r="U28" i="21"/>
  <c r="B16" i="48"/>
  <c r="D16" i="48" s="1"/>
  <c r="F7" i="48"/>
  <c r="H7" i="48" s="1"/>
  <c r="B11" i="48"/>
  <c r="D11" i="48" s="1"/>
  <c r="B22" i="48"/>
  <c r="D22" i="48" s="1"/>
  <c r="U42" i="21"/>
  <c r="S42" i="21"/>
  <c r="F21" i="48"/>
  <c r="H21" i="48" s="1"/>
  <c r="B13" i="48"/>
  <c r="D13" i="48" s="1"/>
  <c r="B5" i="48"/>
  <c r="D5" i="48" s="1"/>
  <c r="F8" i="48"/>
  <c r="H8" i="48" s="1"/>
  <c r="C33" i="11"/>
  <c r="C39" i="11" s="1"/>
  <c r="C46" i="11" s="1"/>
  <c r="C45" i="11" s="1"/>
  <c r="C15" i="15"/>
  <c r="C16" i="15"/>
  <c r="C18" i="15"/>
  <c r="D8" i="62"/>
  <c r="C8" i="62"/>
  <c r="C98" i="57"/>
  <c r="D59" i="57" s="1"/>
  <c r="D57" i="57" s="1"/>
  <c r="M55" i="57" s="1"/>
  <c r="N58" i="57" s="1"/>
  <c r="F32" i="21"/>
  <c r="I101" i="21"/>
  <c r="J101" i="21" s="1"/>
  <c r="K101" i="21" s="1"/>
  <c r="L101" i="21" s="1"/>
  <c r="M101" i="21" s="1"/>
  <c r="H32" i="21"/>
  <c r="AC32" i="21"/>
  <c r="S33" i="21"/>
  <c r="U33" i="21"/>
  <c r="B6" i="48"/>
  <c r="D6" i="48" s="1"/>
  <c r="B14" i="48"/>
  <c r="D14" i="48" s="1"/>
  <c r="F4" i="48"/>
  <c r="H4" i="48" s="1"/>
  <c r="B10" i="48"/>
  <c r="E3" i="4" s="1"/>
  <c r="B5" i="55" s="1"/>
  <c r="B55" i="60" s="1"/>
  <c r="F6" i="48"/>
  <c r="H6" i="48" s="1"/>
  <c r="B4" i="48"/>
  <c r="D4" i="48" s="1"/>
  <c r="F22" i="48"/>
  <c r="H22" i="48" s="1"/>
  <c r="F16" i="48"/>
  <c r="H16" i="48" s="1"/>
  <c r="F10" i="48"/>
  <c r="H10" i="48" s="1"/>
  <c r="AA39" i="21"/>
  <c r="S21" i="21"/>
  <c r="W21" i="21"/>
  <c r="W10" i="21"/>
  <c r="U10" i="21"/>
  <c r="S10" i="21"/>
  <c r="D103" i="57"/>
  <c r="C103" i="57"/>
  <c r="G20" i="57"/>
  <c r="D22" i="57"/>
  <c r="G19" i="57"/>
  <c r="C102" i="57"/>
  <c r="D102" i="57"/>
  <c r="E20" i="43"/>
  <c r="I1" i="61"/>
  <c r="B30" i="1" s="1"/>
  <c r="F5" i="48"/>
  <c r="H5" i="48" s="1"/>
  <c r="B8" i="48"/>
  <c r="D8" i="48" s="1"/>
  <c r="B7" i="48"/>
  <c r="D7" i="48" s="1"/>
  <c r="B9" i="48"/>
  <c r="D9" i="48" s="1"/>
  <c r="F11" i="48"/>
  <c r="H11" i="48" s="1"/>
  <c r="F9" i="48"/>
  <c r="H9" i="48" s="1"/>
  <c r="G1" i="61"/>
  <c r="S26" i="21" l="1"/>
  <c r="AA26" i="21"/>
  <c r="AB26" i="21"/>
  <c r="U26" i="21"/>
  <c r="E37" i="43"/>
  <c r="G37" i="43"/>
  <c r="I37" i="43" s="1"/>
  <c r="E38" i="43"/>
  <c r="G38" i="43"/>
  <c r="I38" i="43" s="1"/>
  <c r="E29" i="43"/>
  <c r="C30" i="43"/>
  <c r="E30" i="43" s="1"/>
  <c r="C30" i="12"/>
  <c r="C28" i="12" s="1"/>
  <c r="H10" i="39"/>
  <c r="H10" i="40"/>
  <c r="F10" i="39"/>
  <c r="J10" i="39"/>
  <c r="F10" i="40"/>
  <c r="J10" i="40"/>
  <c r="D10" i="48"/>
  <c r="E27" i="1"/>
  <c r="F24" i="15" s="1"/>
  <c r="C19" i="15"/>
  <c r="S7" i="35"/>
  <c r="AA7" i="35"/>
  <c r="R38" i="35" s="1"/>
  <c r="W7" i="36"/>
  <c r="AC7" i="36"/>
  <c r="V36" i="36" s="1"/>
  <c r="I36" i="36" s="1"/>
  <c r="G36" i="43"/>
  <c r="I36" i="43" s="1"/>
  <c r="E36" i="43"/>
  <c r="E35" i="43"/>
  <c r="G35" i="43"/>
  <c r="I35" i="43" s="1"/>
  <c r="AC7" i="35"/>
  <c r="V38" i="35" s="1"/>
  <c r="I38" i="35" s="1"/>
  <c r="W7" i="35"/>
  <c r="D70" i="39"/>
  <c r="E68" i="39"/>
  <c r="AC7" i="34"/>
  <c r="V49" i="34" s="1"/>
  <c r="I49" i="34" s="1"/>
  <c r="W7" i="34"/>
  <c r="E58" i="21"/>
  <c r="AB7" i="37"/>
  <c r="T42" i="37" s="1"/>
  <c r="G42" i="37" s="1"/>
  <c r="U7" i="37"/>
  <c r="G58" i="33"/>
  <c r="E33" i="43"/>
  <c r="C26" i="43" s="1"/>
  <c r="B2" i="43" s="1"/>
  <c r="B3" i="43" s="1"/>
  <c r="G33" i="43"/>
  <c r="I33" i="43" s="1"/>
  <c r="C27" i="43" s="1"/>
  <c r="G34" i="43"/>
  <c r="I34" i="43" s="1"/>
  <c r="E34" i="43"/>
  <c r="AB7" i="35"/>
  <c r="T38" i="35" s="1"/>
  <c r="G38" i="35" s="1"/>
  <c r="U7" i="35"/>
  <c r="AB7" i="34"/>
  <c r="T49" i="34" s="1"/>
  <c r="G49" i="34" s="1"/>
  <c r="U7" i="34"/>
  <c r="AA7" i="34"/>
  <c r="R49" i="34" s="1"/>
  <c r="S7" i="34"/>
  <c r="S7" i="37"/>
  <c r="AA7" i="37"/>
  <c r="R42" i="37" s="1"/>
  <c r="W7" i="37"/>
  <c r="AC7" i="37"/>
  <c r="V42" i="37" s="1"/>
  <c r="I42" i="37" s="1"/>
  <c r="AA7" i="36"/>
  <c r="R36" i="36" s="1"/>
  <c r="S7" i="36"/>
  <c r="AB7" i="36"/>
  <c r="T36" i="36" s="1"/>
  <c r="G36" i="36" s="1"/>
  <c r="U7" i="36"/>
  <c r="I63" i="40"/>
  <c r="H65" i="40"/>
  <c r="P58" i="57"/>
  <c r="N60" i="57"/>
  <c r="N59" i="57"/>
  <c r="C20" i="15"/>
  <c r="C26" i="15" s="1"/>
  <c r="AB32" i="21"/>
  <c r="U32" i="21"/>
  <c r="C3" i="4"/>
  <c r="B4" i="55" s="1"/>
  <c r="B53" i="60" s="1"/>
  <c r="S32" i="21"/>
  <c r="AA32" i="21"/>
  <c r="C104" i="57"/>
  <c r="C105" i="57"/>
  <c r="F11" i="15"/>
  <c r="M11" i="15"/>
  <c r="J10" i="15" s="1"/>
  <c r="J5" i="15" s="1"/>
  <c r="P17" i="43"/>
  <c r="O17" i="43"/>
  <c r="N17" i="43"/>
  <c r="M17" i="43"/>
  <c r="W10" i="40" l="1"/>
  <c r="AC10" i="40"/>
  <c r="W10" i="39"/>
  <c r="AC10" i="39"/>
  <c r="U10" i="40"/>
  <c r="AB10" i="40"/>
  <c r="F22" i="11"/>
  <c r="C26" i="11" s="1"/>
  <c r="D22" i="11" s="1"/>
  <c r="S10" i="40"/>
  <c r="AA10" i="40"/>
  <c r="S10" i="39"/>
  <c r="AA10" i="39"/>
  <c r="AB10" i="39"/>
  <c r="U10" i="39"/>
  <c r="F25" i="12"/>
  <c r="C27" i="12" s="1"/>
  <c r="C25" i="12" s="1"/>
  <c r="I65" i="40"/>
  <c r="J63" i="40"/>
  <c r="G41" i="36"/>
  <c r="H41" i="36" s="1"/>
  <c r="G40" i="36"/>
  <c r="H40" i="36" s="1"/>
  <c r="E36" i="36"/>
  <c r="R37" i="36"/>
  <c r="E49" i="34"/>
  <c r="R50" i="34"/>
  <c r="G54" i="34"/>
  <c r="H54" i="34" s="1"/>
  <c r="G53" i="34"/>
  <c r="H53" i="34" s="1"/>
  <c r="I46" i="37"/>
  <c r="J46" i="37" s="1"/>
  <c r="I47" i="37"/>
  <c r="J47" i="37" s="1"/>
  <c r="E42" i="37"/>
  <c r="R43" i="37"/>
  <c r="G42" i="35"/>
  <c r="H42" i="35" s="1"/>
  <c r="G43" i="35"/>
  <c r="H43" i="35" s="1"/>
  <c r="H58" i="33"/>
  <c r="G46" i="37"/>
  <c r="H46" i="37" s="1"/>
  <c r="G47" i="37"/>
  <c r="H47" i="37" s="1"/>
  <c r="E70" i="39"/>
  <c r="F68" i="39"/>
  <c r="I40" i="36"/>
  <c r="J40" i="36" s="1"/>
  <c r="I41" i="36"/>
  <c r="J41" i="36" s="1"/>
  <c r="R39" i="35"/>
  <c r="E38" i="35"/>
  <c r="F58" i="21"/>
  <c r="I53" i="34"/>
  <c r="J53" i="34" s="1"/>
  <c r="I54" i="34"/>
  <c r="J54" i="34" s="1"/>
  <c r="I42" i="35"/>
  <c r="J42" i="35" s="1"/>
  <c r="I43" i="35"/>
  <c r="J43" i="35" s="1"/>
  <c r="B18" i="49"/>
  <c r="B4" i="60" s="1"/>
  <c r="N62" i="57"/>
  <c r="N61" i="57"/>
  <c r="C10" i="15"/>
  <c r="C5" i="15" s="1"/>
  <c r="C54" i="15"/>
  <c r="C49" i="15" s="1"/>
  <c r="C26" i="12"/>
  <c r="D25" i="12" s="1"/>
  <c r="C23" i="15"/>
  <c r="C24" i="15"/>
  <c r="J24" i="15"/>
  <c r="J26" i="15"/>
  <c r="J29" i="15" s="1"/>
  <c r="J17" i="15"/>
  <c r="C44" i="11" l="1"/>
  <c r="D41" i="11" s="1"/>
  <c r="C42" i="11"/>
  <c r="C43" i="11"/>
  <c r="C23" i="11"/>
  <c r="C24" i="11"/>
  <c r="C25" i="11"/>
  <c r="C38" i="35"/>
  <c r="C39" i="35"/>
  <c r="C43" i="37"/>
  <c r="B2" i="37" s="1"/>
  <c r="B3" i="37" s="1"/>
  <c r="C42" i="37"/>
  <c r="E53" i="34"/>
  <c r="F53" i="34" s="1"/>
  <c r="E54" i="34"/>
  <c r="F54" i="34" s="1"/>
  <c r="E41" i="36"/>
  <c r="F41" i="36" s="1"/>
  <c r="E40" i="36"/>
  <c r="F40" i="36" s="1"/>
  <c r="G58" i="21"/>
  <c r="E43" i="35"/>
  <c r="F43" i="35" s="1"/>
  <c r="E42" i="35"/>
  <c r="F42" i="35" s="1"/>
  <c r="G68" i="39"/>
  <c r="F70" i="39"/>
  <c r="I58" i="33"/>
  <c r="E46" i="37"/>
  <c r="F46" i="37" s="1"/>
  <c r="E47" i="37"/>
  <c r="F47" i="37" s="1"/>
  <c r="C50" i="34"/>
  <c r="B2" i="34" s="1"/>
  <c r="B3" i="34" s="1"/>
  <c r="C49" i="34"/>
  <c r="C37" i="36"/>
  <c r="B2" i="36" s="1"/>
  <c r="B3" i="36" s="1"/>
  <c r="C36" i="36"/>
  <c r="K63" i="40"/>
  <c r="J65" i="40"/>
  <c r="C29" i="15"/>
  <c r="C36" i="15" s="1"/>
  <c r="C32" i="12"/>
  <c r="C60" i="15"/>
  <c r="C67" i="15"/>
  <c r="C38" i="15"/>
  <c r="C31" i="15"/>
  <c r="C22" i="11" l="1"/>
  <c r="C31" i="11" s="1"/>
  <c r="C41" i="11"/>
  <c r="C49" i="11" s="1"/>
  <c r="C51" i="11" s="1"/>
  <c r="L63" i="40"/>
  <c r="K65" i="40"/>
  <c r="J58" i="33"/>
  <c r="K58" i="33" s="1"/>
  <c r="L58" i="33" s="1"/>
  <c r="M58" i="33" s="1"/>
  <c r="N58" i="33" s="1"/>
  <c r="O58" i="33" s="1"/>
  <c r="H7" i="33"/>
  <c r="J7" i="33"/>
  <c r="G70" i="39"/>
  <c r="H68" i="39"/>
  <c r="F7" i="33"/>
  <c r="H58" i="21"/>
  <c r="B3" i="35"/>
  <c r="B2" i="35"/>
  <c r="C58" i="15"/>
  <c r="C65" i="15" s="1"/>
  <c r="Q47" i="15"/>
  <c r="C13" i="15"/>
  <c r="C37" i="15" s="1"/>
  <c r="C30" i="15" s="1"/>
  <c r="C39" i="15" s="1"/>
  <c r="J14" i="15"/>
  <c r="J22" i="15" s="1"/>
  <c r="B2" i="12"/>
  <c r="B3" i="12"/>
  <c r="C52" i="11" l="1"/>
  <c r="B3" i="11" s="1"/>
  <c r="AA7" i="33"/>
  <c r="R48" i="33" s="1"/>
  <c r="S7" i="33"/>
  <c r="I68" i="39"/>
  <c r="H70" i="39"/>
  <c r="W7" i="33"/>
  <c r="AC7" i="33"/>
  <c r="V48" i="33" s="1"/>
  <c r="I48" i="33" s="1"/>
  <c r="M63" i="40"/>
  <c r="L65" i="40"/>
  <c r="I58" i="21"/>
  <c r="J58" i="21" s="1"/>
  <c r="K58" i="21" s="1"/>
  <c r="L58" i="21" s="1"/>
  <c r="M58" i="21" s="1"/>
  <c r="N58" i="21" s="1"/>
  <c r="O58" i="21" s="1"/>
  <c r="J7" i="21"/>
  <c r="F7" i="21"/>
  <c r="U7" i="33"/>
  <c r="AB7" i="33"/>
  <c r="T48" i="33" s="1"/>
  <c r="G48" i="33" s="1"/>
  <c r="Q68" i="15"/>
  <c r="J34" i="15"/>
  <c r="J38" i="15" s="1"/>
  <c r="J39" i="15" s="1"/>
  <c r="C57" i="15"/>
  <c r="C66" i="15" s="1"/>
  <c r="C59" i="15" s="1"/>
  <c r="C68" i="15" s="1"/>
  <c r="C69" i="15" s="1"/>
  <c r="C72" i="15" s="1"/>
  <c r="J13" i="15"/>
  <c r="J23" i="15" s="1"/>
  <c r="J16" i="15" s="1"/>
  <c r="J25" i="15" s="1"/>
  <c r="C40" i="15"/>
  <c r="Q67" i="15"/>
  <c r="C56" i="11" l="1"/>
  <c r="C57" i="11" s="1"/>
  <c r="B2" i="11"/>
  <c r="G52" i="33"/>
  <c r="H52" i="33" s="1"/>
  <c r="G53" i="33"/>
  <c r="H53" i="33" s="1"/>
  <c r="W7" i="21"/>
  <c r="AC7" i="21"/>
  <c r="V48" i="21" s="1"/>
  <c r="I48" i="21" s="1"/>
  <c r="AA7" i="21"/>
  <c r="R48" i="21" s="1"/>
  <c r="S7" i="21"/>
  <c r="N63" i="40"/>
  <c r="M65" i="40"/>
  <c r="I70" i="39"/>
  <c r="J68" i="39"/>
  <c r="E48" i="33"/>
  <c r="R49" i="33"/>
  <c r="I52" i="33"/>
  <c r="J52" i="33" s="1"/>
  <c r="I53" i="33"/>
  <c r="J53" i="33" s="1"/>
  <c r="H7" i="21"/>
  <c r="Q66" i="15"/>
  <c r="B3" i="15"/>
  <c r="L52" i="15"/>
  <c r="B2" i="15"/>
  <c r="Q45" i="15"/>
  <c r="Q51" i="15" s="1"/>
  <c r="Q54" i="15"/>
  <c r="Q60" i="15" s="1"/>
  <c r="C43" i="15"/>
  <c r="Q63" i="15"/>
  <c r="Q73" i="15" s="1"/>
  <c r="J41" i="15"/>
  <c r="C47" i="15"/>
  <c r="D19" i="9"/>
  <c r="D20" i="9"/>
  <c r="E2" i="21"/>
  <c r="AB7" i="21" l="1"/>
  <c r="T48" i="21" s="1"/>
  <c r="G48" i="21" s="1"/>
  <c r="U7" i="21"/>
  <c r="C48" i="33"/>
  <c r="C49" i="33"/>
  <c r="B2" i="33" s="1"/>
  <c r="B3" i="33" s="1"/>
  <c r="K68" i="39"/>
  <c r="J70" i="39"/>
  <c r="I52" i="21"/>
  <c r="J52" i="21" s="1"/>
  <c r="E52" i="33"/>
  <c r="F52" i="33" s="1"/>
  <c r="E53" i="33"/>
  <c r="F53" i="33" s="1"/>
  <c r="O63" i="40"/>
  <c r="O65" i="40" s="1"/>
  <c r="N65" i="40"/>
  <c r="E48" i="21"/>
  <c r="R49" i="21"/>
  <c r="D101" i="9"/>
  <c r="D102" i="9"/>
  <c r="L58" i="15"/>
  <c r="Q65" i="15"/>
  <c r="J42" i="15"/>
  <c r="D35" i="9"/>
  <c r="D34" i="9" s="1"/>
  <c r="C48" i="21" l="1"/>
  <c r="C49" i="21"/>
  <c r="H7" i="40"/>
  <c r="J7" i="40"/>
  <c r="F7" i="40"/>
  <c r="E53" i="21"/>
  <c r="F53" i="21" s="1"/>
  <c r="E52" i="21"/>
  <c r="F52" i="21" s="1"/>
  <c r="I53" i="21"/>
  <c r="J53" i="21" s="1"/>
  <c r="L68" i="39"/>
  <c r="K70" i="39"/>
  <c r="G52" i="21"/>
  <c r="H52" i="21" s="1"/>
  <c r="G53" i="21"/>
  <c r="H53" i="21" s="1"/>
  <c r="AA7" i="40" l="1"/>
  <c r="R42" i="40" s="1"/>
  <c r="S7" i="40"/>
  <c r="AC7" i="40"/>
  <c r="V42" i="40" s="1"/>
  <c r="I42" i="40" s="1"/>
  <c r="W7" i="40"/>
  <c r="B3" i="21"/>
  <c r="B2" i="21"/>
  <c r="M68" i="39"/>
  <c r="L70" i="39"/>
  <c r="AB7" i="40"/>
  <c r="T42" i="40" s="1"/>
  <c r="G42" i="40" s="1"/>
  <c r="U7" i="40"/>
  <c r="C20" i="9"/>
  <c r="C19" i="9"/>
  <c r="C101" i="9" l="1"/>
  <c r="G19" i="9"/>
  <c r="D22" i="9"/>
  <c r="C102" i="9"/>
  <c r="G20" i="9"/>
  <c r="G47" i="40"/>
  <c r="H47" i="40" s="1"/>
  <c r="G46" i="40"/>
  <c r="H46" i="40" s="1"/>
  <c r="N68" i="39"/>
  <c r="M70" i="39"/>
  <c r="I46" i="40"/>
  <c r="J46" i="40" s="1"/>
  <c r="R43" i="40"/>
  <c r="E42" i="40"/>
  <c r="O68" i="39" l="1"/>
  <c r="O70" i="39" s="1"/>
  <c r="N70" i="39"/>
  <c r="C42" i="40"/>
  <c r="C43" i="40"/>
  <c r="E46" i="40"/>
  <c r="F46" i="40" s="1"/>
  <c r="E47" i="40"/>
  <c r="F47" i="40" s="1"/>
  <c r="I47" i="40"/>
  <c r="J47" i="40" s="1"/>
  <c r="C32" i="9"/>
  <c r="J27" i="9" s="1"/>
  <c r="D15" i="62" s="1"/>
  <c r="F15" i="62" l="1"/>
  <c r="B5" i="62"/>
  <c r="E15" i="62"/>
  <c r="B53" i="40"/>
  <c r="F53" i="40" s="1"/>
  <c r="B52" i="40"/>
  <c r="F52" i="40" s="1"/>
  <c r="B58" i="40"/>
  <c r="F58" i="40" s="1"/>
  <c r="B59" i="40"/>
  <c r="F59" i="40" s="1"/>
  <c r="B57" i="40"/>
  <c r="F57" i="40" s="1"/>
  <c r="B60" i="40"/>
  <c r="F60" i="40" s="1"/>
  <c r="B56" i="40"/>
  <c r="F56" i="40" s="1"/>
  <c r="B54" i="40"/>
  <c r="F54" i="40" s="1"/>
  <c r="B51" i="40"/>
  <c r="F51" i="40" s="1"/>
  <c r="F61" i="40" s="1"/>
  <c r="B2" i="40" s="1"/>
  <c r="B3" i="40" s="1"/>
  <c r="B55" i="40"/>
  <c r="F55" i="40" s="1"/>
  <c r="C35" i="9"/>
  <c r="G121" i="9" s="1"/>
  <c r="I121" i="9"/>
  <c r="H7" i="39"/>
  <c r="F7" i="39"/>
  <c r="J7" i="39"/>
  <c r="C34" i="9" l="1"/>
  <c r="E121" i="9" s="1"/>
  <c r="D121" i="9" s="1"/>
  <c r="AA7" i="39"/>
  <c r="R47" i="39" s="1"/>
  <c r="S7" i="39"/>
  <c r="F121" i="9"/>
  <c r="G4" i="52"/>
  <c r="B41" i="60" s="1"/>
  <c r="D5" i="62"/>
  <c r="C5" i="62"/>
  <c r="W7" i="39"/>
  <c r="AC7" i="39"/>
  <c r="V47" i="39" s="1"/>
  <c r="I47" i="39" s="1"/>
  <c r="AB7" i="39"/>
  <c r="T47" i="39" s="1"/>
  <c r="G47" i="39" s="1"/>
  <c r="U7" i="39"/>
  <c r="C104" i="9"/>
  <c r="D107" i="9"/>
  <c r="I103" i="9"/>
  <c r="H121" i="9"/>
  <c r="I4" i="52"/>
  <c r="E4" i="52" l="1"/>
  <c r="B38" i="60" s="1"/>
  <c r="I102" i="9"/>
  <c r="H4" i="52"/>
  <c r="D106" i="9"/>
  <c r="D112" i="9" s="1"/>
  <c r="H122" i="9"/>
  <c r="H5" i="52" s="1"/>
  <c r="C103" i="9"/>
  <c r="I51" i="39"/>
  <c r="J51" i="39" s="1"/>
  <c r="D9" i="50"/>
  <c r="B21" i="60" s="1"/>
  <c r="D30" i="50"/>
  <c r="G51" i="39"/>
  <c r="H51" i="39" s="1"/>
  <c r="G52" i="39"/>
  <c r="H52" i="39" s="1"/>
  <c r="F4" i="52"/>
  <c r="B40" i="60" s="1"/>
  <c r="F122" i="9"/>
  <c r="F5" i="52" s="1"/>
  <c r="B42" i="60" s="1"/>
  <c r="D4" i="52"/>
  <c r="B37" i="60" s="1"/>
  <c r="D122" i="9"/>
  <c r="D5" i="52" s="1"/>
  <c r="B39" i="60" s="1"/>
  <c r="R48" i="39"/>
  <c r="E47" i="39"/>
  <c r="E51" i="39" l="1"/>
  <c r="F51" i="39" s="1"/>
  <c r="E52" i="39"/>
  <c r="F52" i="39" s="1"/>
  <c r="C47" i="39"/>
  <c r="C48" i="39"/>
  <c r="I52" i="39"/>
  <c r="J52" i="39" s="1"/>
  <c r="D113" i="9"/>
  <c r="D117" i="9"/>
  <c r="D7" i="50"/>
  <c r="D28" i="50"/>
  <c r="D29" i="50" s="1"/>
  <c r="M48" i="9"/>
  <c r="I110" i="9"/>
  <c r="D45" i="9"/>
  <c r="D125" i="9" l="1"/>
  <c r="D8" i="52" s="1"/>
  <c r="D15" i="50"/>
  <c r="D36" i="50"/>
  <c r="D37" i="50" s="1"/>
  <c r="C85" i="9"/>
  <c r="C72" i="9"/>
  <c r="C78" i="9"/>
  <c r="C73" i="9" s="1"/>
  <c r="D59" i="9"/>
  <c r="M55" i="9" s="1"/>
  <c r="D55" i="9"/>
  <c r="M53" i="9" s="1"/>
  <c r="D53" i="9"/>
  <c r="D48" i="9" s="1"/>
  <c r="M52" i="9" s="1"/>
  <c r="C64" i="9"/>
  <c r="C63" i="9" s="1"/>
  <c r="C67" i="9" s="1"/>
  <c r="C68" i="9" s="1"/>
  <c r="D54" i="9" s="1"/>
  <c r="C93" i="9"/>
  <c r="C86" i="9" s="1"/>
  <c r="D52" i="9"/>
  <c r="D8" i="50"/>
  <c r="B22" i="60" s="1"/>
  <c r="B19" i="60"/>
  <c r="D38" i="50"/>
  <c r="B62" i="60" s="1"/>
  <c r="I111" i="9"/>
  <c r="B59" i="39"/>
  <c r="F59" i="39" s="1"/>
  <c r="B61" i="39"/>
  <c r="F61" i="39" s="1"/>
  <c r="B63" i="39"/>
  <c r="F63" i="39" s="1"/>
  <c r="B57" i="39"/>
  <c r="F57" i="39" s="1"/>
  <c r="B65" i="39"/>
  <c r="F65" i="39" s="1"/>
  <c r="B62" i="39"/>
  <c r="F62" i="39" s="1"/>
  <c r="B64" i="39"/>
  <c r="F64" i="39" s="1"/>
  <c r="B60" i="39"/>
  <c r="F60" i="39" s="1"/>
  <c r="B56" i="39"/>
  <c r="F56" i="39" s="1"/>
  <c r="F66" i="39" s="1"/>
  <c r="B2" i="39" s="1"/>
  <c r="B3" i="39" s="1"/>
  <c r="B58" i="39"/>
  <c r="F58" i="39" s="1"/>
  <c r="I115" i="9"/>
  <c r="D23" i="50" s="1"/>
  <c r="B34" i="60" s="1"/>
  <c r="D44" i="50"/>
  <c r="C79" i="9" l="1"/>
  <c r="D126" i="9"/>
  <c r="D9" i="52" s="1"/>
  <c r="D17" i="50"/>
  <c r="C95" i="9"/>
  <c r="D16" i="50"/>
  <c r="B30" i="60" s="1"/>
  <c r="B29" i="60"/>
  <c r="C80" i="9" l="1"/>
  <c r="E80" i="9" s="1"/>
  <c r="E81" i="9" s="1"/>
  <c r="C96" i="9"/>
  <c r="E96" i="9" s="1"/>
  <c r="E97" i="9" s="1"/>
  <c r="C81" i="9" l="1"/>
  <c r="C97" i="9"/>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<sst xmlns="http://schemas.openxmlformats.org/spreadsheetml/2006/main" count="6885" uniqueCount="2910">
  <si>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</si>
  <si>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</si>
  <si>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</si>
  <si>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</si>
  <si>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</si>
  <si>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</si>
  <si>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</si>
  <si>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</si>
  <si>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</si>
  <si>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</si>
  <si>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</si>
  <si>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</si>
  <si>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</si>
  <si>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</si>
  <si>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</si>
  <si>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</si>
  <si>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</si>
  <si>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</si>
  <si>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</si>
  <si>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</si>
  <si>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</si>
  <si>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</si>
  <si>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</si>
  <si>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</si>
  <si>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</si>
  <si>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</si>
  <si>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</si>
  <si>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</si>
  <si>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</si>
  <si>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</si>
  <si>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</si>
  <si>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</si>
  <si>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</si>
  <si>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</si>
  <si>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</si>
  <si>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</si>
  <si>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</si>
  <si>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</si>
  <si>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</si>
  <si>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</si>
  <si>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</si>
  <si>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</si>
  <si>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</si>
  <si>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</si>
  <si>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</si>
  <si>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</si>
  <si>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</si>
  <si>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</si>
  <si>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</si>
  <si>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</si>
  <si>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</si>
  <si>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</si>
  <si>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</si>
  <si>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</si>
  <si>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</si>
  <si>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</si>
  <si>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</si>
  <si>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</si>
  <si>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</si>
  <si>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</si>
  <si>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</si>
  <si>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</si>
  <si>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</si>
  <si>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</si>
  <si>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</si>
  <si>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</si>
  <si>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</si>
  <si>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</si>
  <si>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</si>
  <si>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</si>
  <si>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</si>
  <si>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</si>
  <si>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</si>
  <si>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</si>
  <si>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</si>
  <si>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</si>
  <si>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</si>
  <si>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</si>
  <si>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</si>
  <si>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</si>
  <si>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</si>
  <si>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</si>
  <si>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</si>
  <si>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</si>
  <si>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</si>
  <si>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</si>
  <si>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</si>
  <si>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</si>
  <si>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</si>
  <si>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</si>
  <si>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</si>
  <si>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</si>
  <si>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</si>
  <si>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</si>
  <si>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</si>
  <si>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</si>
  <si>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</si>
  <si>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</si>
  <si>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</si>
  <si>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</si>
  <si>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</si>
  <si>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</si>
  <si>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</si>
  <si>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</si>
  <si>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</si>
  <si>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</si>
  <si>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</si>
  <si>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</si>
  <si>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</si>
  <si>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</si>
  <si>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</si>
  <si>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</si>
  <si>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</si>
  <si>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</si>
  <si>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</si>
  <si>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</si>
  <si>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</si>
  <si>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</si>
  <si>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</si>
  <si>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</si>
  <si>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</si>
  <si>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</si>
  <si>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</si>
  <si>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</si>
  <si>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</si>
  <si>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</si>
  <si>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</si>
  <si>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</si>
  <si>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</si>
  <si>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</si>
  <si>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</si>
  <si>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</si>
  <si>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</si>
  <si>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</si>
  <si>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</si>
  <si>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</si>
  <si>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</si>
  <si>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</si>
  <si>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</si>
  <si>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</si>
  <si>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</si>
  <si>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</si>
  <si>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</si>
  <si>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</si>
  <si>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</si>
  <si>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</si>
  <si>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</si>
  <si>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</si>
  <si>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</si>
  <si>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</si>
  <si>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</si>
  <si>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</si>
  <si>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</si>
  <si>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</si>
  <si>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</si>
  <si>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</si>
  <si>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</si>
  <si>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</si>
  <si>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</si>
  <si>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</si>
  <si>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</si>
  <si>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</si>
  <si>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</si>
  <si>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</si>
  <si>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</si>
  <si>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</si>
  <si>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</si>
  <si>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</si>
  <si>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</si>
  <si>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</si>
  <si>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</si>
  <si>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</si>
  <si>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</si>
  <si>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</si>
  <si>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</si>
  <si>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</si>
  <si>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</si>
  <si>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</si>
  <si>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</si>
  <si>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</si>
  <si>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</si>
  <si>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</si>
  <si>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</si>
  <si>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</si>
  <si>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</si>
  <si>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</si>
  <si>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</si>
  <si>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</si>
  <si>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</si>
  <si>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</si>
  <si>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</si>
  <si>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</si>
  <si>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</si>
  <si>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</si>
  <si>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</si>
  <si>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</si>
  <si>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</si>
  <si>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</si>
  <si>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</si>
  <si>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</si>
  <si>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</si>
  <si>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</si>
  <si>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</si>
  <si>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</si>
  <si>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</si>
  <si>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</si>
  <si>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</si>
  <si>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</si>
  <si>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</si>
  <si>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</si>
  <si>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</si>
  <si>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</si>
  <si>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</si>
  <si>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</si>
  <si>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</si>
  <si>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</si>
  <si>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</si>
  <si>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</si>
  <si>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</si>
  <si>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</si>
  <si>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</si>
  <si>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</si>
  <si>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</si>
  <si>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</si>
  <si>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</si>
  <si>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</si>
  <si>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</si>
  <si>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</si>
  <si>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</si>
  <si>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</si>
  <si>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</si>
  <si>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</si>
  <si>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</si>
  <si>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</si>
  <si>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</si>
  <si>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</si>
  <si>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</si>
  <si>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</si>
  <si>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</si>
  <si>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</si>
  <si>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</si>
  <si>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</si>
  <si>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</si>
  <si>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</si>
  <si>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</si>
  <si>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</si>
  <si>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</si>
  <si>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</si>
  <si>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</si>
  <si>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</si>
  <si>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</si>
  <si>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</si>
  <si>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</si>
  <si>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</si>
  <si>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</si>
  <si>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</si>
  <si>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</si>
  <si>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</si>
  <si>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</si>
  <si>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</si>
  <si>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</si>
  <si>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</si>
  <si>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</si>
  <si>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</si>
  <si>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</si>
  <si>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</si>
  <si>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</si>
  <si>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</si>
  <si>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</si>
  <si>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</si>
  <si>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</si>
  <si>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</si>
  <si>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</si>
  <si>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</si>
  <si>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</si>
  <si>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</si>
  <si>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</si>
  <si>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</si>
  <si>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</si>
  <si>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</si>
  <si>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</si>
  <si>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</si>
  <si>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</si>
  <si>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</si>
  <si>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</si>
  <si>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</si>
  <si>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</si>
  <si>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</si>
  <si>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</si>
  <si>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</si>
  <si>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</si>
  <si>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</si>
  <si>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</si>
  <si>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</si>
  <si>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</si>
  <si>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</si>
  <si>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</si>
  <si>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</si>
  <si>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</si>
  <si>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</si>
  <si>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</si>
  <si>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</si>
  <si>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</si>
  <si>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</si>
  <si>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</si>
  <si>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</si>
  <si>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</si>
  <si>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</si>
  <si>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</si>
  <si>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</si>
  <si>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</si>
  <si>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</si>
  <si>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</si>
  <si>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</si>
  <si>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</si>
  <si>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</si>
  <si>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</si>
  <si>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</si>
  <si>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</si>
  <si>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</si>
  <si>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</si>
  <si>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</si>
  <si>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</si>
  <si>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</si>
  <si>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</si>
  <si>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</si>
  <si>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</si>
  <si>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</si>
  <si>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</si>
  <si>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</si>
  <si>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</si>
  <si>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</si>
  <si>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</si>
  <si>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</si>
  <si>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</si>
  <si>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</si>
  <si>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</si>
  <si>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</si>
  <si>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</si>
  <si>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</si>
  <si>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</si>
  <si>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</si>
  <si>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</si>
  <si>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</si>
  <si>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</si>
  <si>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</si>
  <si>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</si>
  <si>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</si>
  <si>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</si>
  <si>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</si>
  <si>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</si>
  <si>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</si>
  <si>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</si>
  <si>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</si>
  <si>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</si>
  <si>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</si>
  <si>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</si>
  <si>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</si>
  <si>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</si>
  <si>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</si>
  <si>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</si>
  <si>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</si>
  <si>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</si>
  <si>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</si>
  <si>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</si>
  <si>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</si>
  <si>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</si>
  <si>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</si>
  <si>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</si>
  <si>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</si>
  <si>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</si>
  <si>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</si>
  <si>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</si>
  <si>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</si>
  <si>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</si>
  <si>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</si>
  <si>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</si>
  <si>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</si>
  <si>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</si>
  <si>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</si>
  <si>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</si>
  <si>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</si>
  <si>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</si>
  <si>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</si>
  <si>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</si>
  <si>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</si>
  <si>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</si>
  <si>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</si>
  <si>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</si>
  <si>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</si>
  <si>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</si>
  <si>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</si>
  <si>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</si>
  <si>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</si>
  <si>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</si>
  <si>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</si>
  <si>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</si>
  <si>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</si>
  <si>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</si>
  <si>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</si>
  <si>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</si>
  <si>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</si>
  <si>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</si>
  <si>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</si>
  <si>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</si>
  <si>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</si>
  <si>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</si>
  <si>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</si>
  <si>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</si>
  <si>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</si>
  <si>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</si>
  <si>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</si>
  <si>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</si>
  <si>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</si>
  <si>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</si>
  <si>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</si>
  <si>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</si>
  <si>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</si>
  <si>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</si>
  <si>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</si>
  <si>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</si>
  <si>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</si>
  <si>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</si>
  <si>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</si>
  <si>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</si>
  <si>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</si>
  <si>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</si>
  <si>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</si>
  <si>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</si>
  <si>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</si>
  <si>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</si>
  <si>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</si>
  <si>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</si>
  <si>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</si>
  <si>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</si>
  <si>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</si>
  <si>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</si>
  <si>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</si>
  <si>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</si>
  <si>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</si>
  <si>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</si>
  <si>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</si>
  <si>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</si>
  <si>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</si>
  <si>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</si>
  <si>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</si>
  <si>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</si>
  <si>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</si>
  <si>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</si>
  <si>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</si>
  <si>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</si>
  <si>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</si>
  <si>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</si>
  <si>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</si>
  <si>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</si>
  <si>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</si>
  <si>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</si>
  <si>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</si>
  <si>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</si>
  <si>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</si>
  <si>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</si>
  <si>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</si>
  <si>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</si>
  <si>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</si>
  <si>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</si>
  <si>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</si>
  <si>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</si>
  <si>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</si>
  <si>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</si>
  <si>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</si>
  <si>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</si>
  <si>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</si>
  <si>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</si>
  <si>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</si>
  <si>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</si>
  <si>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</si>
  <si>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</si>
  <si>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</si>
  <si>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</si>
  <si>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</si>
  <si>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</si>
  <si>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</si>
  <si>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</si>
  <si>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</si>
  <si>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</si>
  <si>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</si>
  <si>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</si>
  <si>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</si>
  <si>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</si>
  <si>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</si>
  <si>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</si>
  <si>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</si>
  <si>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</si>
  <si>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</si>
  <si>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</si>
  <si>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</si>
  <si>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</si>
  <si>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</si>
  <si>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</si>
  <si>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</si>
  <si>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</si>
  <si>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</si>
  <si>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</si>
  <si>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</si>
  <si>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</si>
  <si>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</si>
  <si>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</si>
  <si>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</si>
  <si>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</si>
  <si>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</si>
  <si>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</si>
  <si>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</si>
  <si>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</si>
  <si>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</si>
  <si>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</si>
  <si>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</si>
  <si>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</si>
  <si>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</si>
  <si>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</si>
  <si>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</si>
  <si>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</si>
  <si>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</si>
  <si>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</si>
  <si>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</si>
  <si>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</si>
  <si>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</si>
  <si>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</si>
  <si>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</si>
  <si>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</si>
  <si>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</si>
  <si>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</si>
  <si>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</si>
  <si>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</si>
  <si>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</si>
  <si>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</si>
  <si>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</si>
  <si>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</si>
  <si>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</si>
  <si>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</si>
  <si>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</si>
  <si>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</si>
  <si>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</si>
  <si>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</si>
  <si>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</si>
  <si>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</si>
  <si>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</si>
  <si>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</si>
  <si>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</si>
  <si>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</si>
  <si>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</si>
  <si>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</si>
  <si>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</si>
  <si>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</si>
  <si>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</si>
  <si>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</si>
  <si>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</si>
  <si>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</si>
  <si>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</si>
  <si>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</si>
  <si>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</si>
  <si>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</si>
  <si>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</si>
  <si>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</si>
  <si>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</si>
  <si>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</si>
  <si>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</si>
  <si>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</si>
  <si>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</si>
  <si>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</si>
  <si>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</si>
  <si>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</si>
  <si>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</si>
  <si>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</si>
  <si>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</si>
  <si>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</si>
  <si>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</si>
  <si>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</si>
  <si>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</si>
  <si>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</si>
  <si>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</si>
  <si>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</si>
  <si>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</si>
  <si>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</si>
  <si>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</si>
  <si>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</si>
  <si>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</si>
  <si>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</si>
  <si>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</si>
  <si>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</si>
  <si>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</si>
  <si>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</si>
  <si>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</si>
  <si>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</si>
  <si>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</si>
  <si>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</si>
  <si>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</si>
  <si>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</si>
  <si>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</si>
  <si>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</si>
  <si>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</si>
  <si>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</si>
  <si>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</si>
  <si>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</si>
  <si>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</si>
  <si>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</si>
  <si>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</si>
  <si>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</si>
  <si>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</si>
  <si>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</si>
  <si>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</si>
  <si>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</si>
  <si>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</si>
  <si>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</si>
  <si>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</si>
  <si>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</si>
  <si>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</si>
  <si>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</si>
  <si>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</si>
  <si>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</si>
  <si>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</si>
  <si>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</si>
  <si>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</si>
  <si>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</si>
  <si>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</si>
  <si>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</si>
  <si>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</si>
  <si>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</si>
  <si>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</si>
  <si>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</si>
  <si>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</si>
  <si>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</si>
  <si>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</si>
  <si>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</si>
  <si>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</si>
  <si>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</si>
  <si>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</si>
  <si>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</si>
  <si>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</si>
  <si>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</si>
  <si>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</si>
  <si>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</si>
  <si>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</si>
  <si>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</si>
  <si>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</si>
  <si>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</si>
  <si>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</si>
  <si>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</si>
  <si>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</si>
  <si>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</si>
  <si>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</si>
  <si>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</si>
  <si>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</si>
  <si>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</si>
  <si>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</si>
  <si>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</si>
  <si>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</si>
  <si>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</si>
  <si>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</si>
  <si>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</si>
  <si>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</si>
  <si>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</si>
  <si>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</si>
  <si>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</si>
  <si>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</si>
  <si>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</si>
  <si>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</si>
  <si>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</si>
  <si>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</si>
  <si>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</si>
  <si>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</si>
  <si>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</si>
  <si>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</si>
  <si>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</si>
  <si>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</si>
  <si>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</si>
  <si>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</si>
  <si>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</si>
  <si>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</si>
  <si>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</si>
  <si>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</si>
  <si>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</si>
  <si>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</si>
  <si>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</si>
  <si>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</si>
  <si>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</si>
  <si>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</si>
  <si>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</si>
  <si>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</si>
  <si>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</si>
  <si>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</si>
  <si>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</si>
  <si>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</si>
  <si>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</si>
  <si>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</si>
  <si>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</si>
  <si>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</si>
  <si>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</si>
  <si>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</si>
  <si>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</si>
  <si>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</si>
  <si>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</si>
  <si>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</si>
  <si>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</si>
  <si>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</si>
  <si>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</si>
  <si>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</si>
  <si>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</si>
  <si>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</si>
  <si>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</si>
  <si>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</si>
  <si>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</si>
  <si>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</si>
  <si>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</si>
  <si>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</si>
  <si>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</si>
  <si>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</si>
  <si>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</si>
  <si>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</si>
  <si>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</si>
  <si>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</si>
  <si>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</si>
  <si>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</si>
  <si>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</si>
  <si>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</si>
  <si>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</si>
  <si>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</si>
  <si>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</si>
  <si>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</si>
  <si>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</si>
  <si>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</si>
  <si>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</si>
  <si>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</si>
  <si>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</si>
  <si>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</si>
  <si>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</si>
  <si>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</si>
  <si>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</si>
  <si>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</si>
  <si>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</si>
  <si>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</si>
  <si>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</si>
  <si>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</si>
  <si>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</si>
  <si>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</si>
  <si>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</si>
  <si>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</si>
  <si>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</si>
  <si>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</si>
  <si>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</si>
  <si>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</si>
  <si>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</si>
  <si>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</si>
  <si>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</si>
  <si>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</si>
  <si>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</si>
  <si>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</si>
  <si>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</si>
  <si>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</si>
  <si>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</si>
  <si>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</si>
  <si>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</si>
  <si>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</si>
  <si>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</si>
  <si>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</si>
  <si>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</si>
  <si>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</si>
  <si>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</si>
  <si>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</si>
  <si>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</si>
  <si>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</si>
  <si>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</si>
  <si>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</si>
  <si>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</si>
  <si>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</si>
  <si>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</si>
  <si>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</si>
  <si>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</si>
  <si>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</si>
  <si>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</si>
  <si>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</si>
  <si>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</si>
  <si>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</si>
  <si>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</si>
  <si>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</si>
  <si>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</si>
  <si>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</si>
  <si>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</si>
  <si>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</si>
  <si>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</si>
  <si>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</si>
  <si>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</si>
  <si>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</si>
  <si>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</si>
  <si>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</si>
  <si>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</si>
  <si>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</si>
  <si>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</si>
  <si>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</si>
  <si>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</si>
  <si>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</si>
  <si>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</si>
  <si>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</si>
  <si>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</si>
  <si>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</si>
  <si>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</si>
  <si>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</si>
  <si>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</si>
  <si>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</si>
  <si>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</si>
  <si>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</si>
  <si>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</si>
  <si>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</si>
  <si>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</si>
  <si>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</si>
  <si>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</si>
  <si>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</si>
  <si>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</si>
  <si>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</si>
  <si>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</si>
  <si>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</si>
  <si>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</si>
  <si>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</si>
  <si>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</si>
  <si>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</si>
  <si>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</si>
  <si>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</si>
  <si>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</si>
  <si>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</si>
  <si>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</si>
  <si>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</si>
  <si>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</si>
  <si>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</si>
  <si>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</si>
  <si>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</si>
  <si>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</si>
  <si>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</si>
  <si>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</si>
  <si>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</si>
  <si>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</si>
  <si>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</si>
  <si>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</si>
  <si>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</si>
  <si>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</si>
  <si>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</si>
  <si>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</si>
  <si>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</si>
  <si>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</si>
  <si>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</si>
  <si>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</si>
  <si>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</si>
  <si>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</si>
  <si>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</si>
  <si>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</si>
  <si>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</si>
  <si>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</si>
  <si>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</si>
  <si>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</si>
  <si>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</si>
  <si>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</si>
  <si>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</si>
  <si>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</si>
  <si>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</si>
  <si>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</si>
  <si>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</si>
  <si>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</si>
  <si>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</si>
  <si>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</si>
  <si>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</si>
  <si>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</si>
  <si>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</si>
  <si>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</si>
  <si>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</si>
  <si>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</si>
  <si>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</si>
  <si>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</si>
  <si>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</si>
  <si>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</si>
  <si>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</si>
  <si>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</si>
  <si>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</si>
  <si>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</si>
  <si>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</si>
  <si>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</si>
  <si>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</si>
  <si>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</si>
  <si>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</si>
  <si>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</si>
  <si>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</si>
  <si>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</si>
  <si>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</si>
  <si>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</si>
  <si>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</si>
  <si>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</si>
  <si>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</si>
  <si>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</si>
  <si>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</si>
  <si>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</si>
  <si>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</si>
  <si>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</si>
  <si>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</si>
  <si>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</si>
  <si>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</si>
  <si>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</si>
  <si>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</si>
  <si>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</si>
  <si>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</si>
  <si>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</si>
  <si>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</si>
  <si>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</si>
  <si>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</si>
  <si>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</si>
  <si>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</si>
  <si>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</si>
  <si>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</si>
  <si>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</si>
  <si>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</si>
  <si>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</si>
  <si>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</si>
  <si>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</si>
  <si>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</si>
  <si>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</si>
  <si>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</si>
  <si>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</si>
  <si>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</si>
  <si>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</si>
  <si>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</si>
  <si>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</si>
  <si>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</si>
  <si>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</si>
  <si>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</si>
  <si>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</si>
  <si>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</si>
  <si>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</si>
  <si>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</si>
  <si>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</si>
  <si>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</si>
  <si>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</si>
  <si>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</si>
  <si>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</si>
  <si>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</si>
  <si>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</si>
  <si>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</si>
  <si>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</si>
  <si>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</si>
  <si>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</si>
  <si>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</si>
  <si>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</si>
  <si>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</si>
  <si>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</si>
  <si>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</si>
  <si>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</si>
  <si>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</si>
  <si>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</si>
  <si>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</si>
  <si>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</si>
  <si>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</si>
  <si>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</si>
  <si>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</si>
  <si>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</si>
  <si>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</si>
  <si>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</si>
  <si>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</si>
  <si>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</si>
  <si>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</si>
  <si>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</si>
  <si>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</si>
  <si>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</si>
  <si>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</si>
  <si>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</si>
  <si>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</si>
  <si>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</si>
  <si>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</si>
  <si>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</si>
  <si>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</si>
  <si>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</si>
  <si>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</si>
  <si>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</si>
  <si>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</si>
  <si>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</si>
  <si>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</si>
  <si>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</si>
  <si>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</si>
  <si>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</si>
  <si>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</si>
  <si>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</si>
  <si>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</si>
  <si>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</si>
  <si>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</si>
  <si>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</si>
  <si>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</si>
  <si>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</si>
  <si>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</si>
  <si>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</si>
  <si>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</si>
  <si>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</si>
  <si>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</si>
  <si>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</si>
  <si>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</si>
  <si>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</si>
  <si>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</si>
  <si>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</si>
  <si>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</si>
  <si>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</si>
  <si>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</si>
  <si>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</si>
  <si>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</si>
  <si>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</si>
  <si>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</si>
  <si>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</si>
  <si>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</si>
  <si>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</si>
  <si>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</si>
  <si>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</si>
  <si>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</si>
  <si>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</si>
  <si>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</si>
  <si>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</si>
  <si>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</si>
  <si>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</si>
  <si>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</si>
  <si>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</si>
  <si>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</si>
  <si>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</si>
  <si>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</si>
  <si>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</si>
  <si>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</si>
  <si>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</si>
  <si>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</si>
  <si>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</si>
  <si>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</si>
  <si>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</si>
  <si>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</si>
  <si>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</si>
  <si>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</si>
  <si>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</si>
  <si>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</si>
  <si>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</si>
  <si>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</si>
  <si>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</si>
  <si>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</si>
  <si>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</si>
  <si>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</si>
  <si>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</si>
  <si>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</si>
  <si>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</si>
  <si>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</si>
  <si>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</si>
  <si>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</si>
  <si>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</si>
  <si>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</si>
  <si>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</si>
  <si>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</si>
  <si>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</si>
  <si>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</si>
  <si>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</si>
  <si>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</si>
  <si>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</si>
  <si>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</si>
  <si>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</si>
  <si>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</si>
  <si>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</si>
  <si>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</si>
  <si>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</si>
  <si>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</si>
  <si>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</si>
  <si>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</si>
  <si>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</si>
  <si>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</si>
  <si>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</si>
  <si>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</si>
  <si>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</si>
  <si>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</si>
  <si>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</si>
  <si>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</si>
  <si>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</si>
  <si>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</si>
  <si>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</si>
  <si>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</si>
  <si>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</si>
  <si>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</si>
  <si>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</si>
  <si>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</si>
  <si>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</si>
  <si>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</si>
  <si>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</si>
  <si>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</si>
  <si>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</si>
  <si>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</si>
  <si>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</si>
  <si>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</si>
  <si>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</si>
  <si>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</si>
  <si>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</si>
  <si>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</si>
  <si>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</si>
  <si>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</si>
  <si>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</si>
  <si>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</si>
  <si>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</si>
  <si>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</si>
  <si>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</si>
  <si>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</si>
  <si>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</si>
  <si>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</si>
  <si>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</si>
  <si>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</si>
  <si>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</si>
  <si>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</si>
  <si>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</si>
  <si>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</si>
  <si>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</si>
  <si>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</si>
  <si>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</si>
  <si>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</si>
  <si>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</si>
  <si>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</si>
  <si>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</si>
  <si>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</si>
  <si>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</si>
  <si>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</si>
  <si>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</si>
  <si>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</si>
  <si>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</si>
  <si>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</si>
  <si>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</si>
  <si>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</si>
  <si>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</si>
  <si>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</si>
  <si>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</si>
  <si>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</si>
  <si>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</si>
  <si>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</si>
  <si>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</si>
  <si>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</si>
  <si>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</si>
  <si>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</si>
  <si>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</si>
  <si>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</si>
  <si>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</si>
  <si>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</si>
  <si>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</si>
  <si>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</si>
  <si>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</si>
  <si>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</si>
  <si>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</si>
  <si>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</si>
  <si>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</si>
  <si>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</si>
  <si>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</si>
  <si>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</si>
  <si>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</si>
  <si>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</si>
  <si>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</si>
  <si>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</si>
  <si>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</si>
  <si>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</si>
  <si>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</si>
  <si>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</si>
  <si>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</si>
  <si>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</si>
  <si>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</si>
  <si>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</si>
  <si>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</si>
  <si>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</si>
  <si>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</si>
  <si>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</si>
  <si>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</si>
  <si>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</si>
  <si>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</si>
  <si>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</si>
  <si>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</si>
  <si>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</si>
  <si>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</si>
  <si>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</si>
  <si>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</si>
  <si>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</si>
  <si>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</si>
  <si>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</si>
  <si>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</si>
  <si>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</si>
  <si>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</si>
  <si>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</si>
  <si>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</si>
  <si>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</si>
  <si>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</si>
  <si>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</si>
  <si>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</si>
  <si>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</si>
  <si>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</si>
  <si>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</si>
  <si>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</si>
  <si>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</si>
  <si>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</si>
  <si>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</si>
  <si>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</si>
  <si>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</si>
  <si>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</si>
  <si>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</si>
  <si>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</si>
  <si>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</si>
  <si>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</si>
  <si>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</si>
  <si>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</si>
  <si>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</si>
  <si>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</si>
  <si>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</si>
  <si>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</si>
  <si>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</si>
  <si>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</si>
  <si>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</si>
  <si>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</si>
  <si>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</si>
  <si>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</si>
  <si>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</si>
  <si>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</si>
  <si>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</si>
  <si>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</si>
  <si>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</si>
  <si>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</si>
  <si>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</si>
  <si>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</si>
  <si>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</si>
  <si>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</si>
  <si>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</si>
  <si>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</si>
  <si>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</si>
  <si>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</si>
  <si>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</si>
  <si>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</si>
  <si>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</si>
  <si>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</si>
  <si>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</si>
  <si>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</si>
  <si>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</si>
  <si>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</si>
  <si>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</si>
  <si>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</si>
  <si>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</si>
  <si>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</si>
  <si>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</si>
  <si>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</si>
  <si>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</si>
  <si>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</si>
  <si>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</si>
  <si>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</si>
  <si>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</si>
  <si>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</si>
  <si>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</si>
  <si>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</si>
  <si>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</si>
  <si>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</si>
  <si>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</si>
  <si>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</si>
  <si>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</si>
  <si>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</si>
  <si>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</si>
  <si>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</si>
  <si>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</si>
  <si>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</si>
  <si>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</si>
  <si>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</si>
  <si>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</si>
  <si>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</si>
  <si>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</si>
  <si>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</si>
  <si>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</si>
  <si>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</si>
  <si>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</si>
  <si>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</si>
  <si>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</si>
  <si>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</si>
  <si>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</si>
  <si>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</si>
  <si>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</si>
  <si>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</si>
  <si>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</si>
  <si>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</si>
  <si>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</si>
  <si>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</si>
  <si>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</si>
  <si>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</si>
  <si>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</si>
  <si>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</si>
  <si>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</si>
  <si>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</si>
  <si>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</si>
  <si>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</si>
  <si>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</si>
  <si>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</si>
  <si>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</si>
  <si>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</si>
  <si>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</si>
  <si>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</si>
  <si>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</si>
  <si>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</si>
  <si>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</si>
  <si>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</si>
  <si>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</si>
  <si>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</si>
  <si>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</si>
  <si>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</si>
  <si>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</si>
  <si>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</si>
  <si>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</si>
  <si>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</si>
  <si>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</si>
  <si>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</si>
  <si>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</si>
  <si>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</si>
  <si>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</si>
  <si>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</si>
  <si>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</si>
  <si>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</si>
  <si>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</si>
  <si>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</si>
  <si>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</si>
  <si>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</si>
  <si>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</si>
  <si>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</si>
  <si>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</si>
  <si>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</si>
  <si>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</si>
  <si>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</si>
  <si>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</si>
  <si>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</si>
  <si>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</si>
  <si>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</si>
  <si>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</si>
  <si>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</si>
  <si>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</si>
  <si>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</si>
  <si>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</si>
  <si>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</si>
  <si>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</si>
  <si>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</si>
  <si>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</si>
  <si>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</si>
  <si>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</si>
  <si>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</si>
  <si>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</si>
  <si>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</si>
  <si>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</si>
  <si>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</si>
  <si>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</si>
  <si>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</si>
  <si>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</si>
  <si>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</si>
  <si>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</si>
  <si>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</si>
  <si>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</si>
  <si>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</si>
  <si>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</si>
  <si>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</si>
  <si>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</si>
  <si>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</si>
  <si>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</si>
  <si>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</si>
  <si>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</si>
  <si>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</si>
  <si>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</si>
  <si>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</si>
  <si>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</si>
  <si>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</si>
  <si>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</si>
  <si>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</si>
  <si>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</si>
  <si>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</si>
  <si>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</si>
  <si>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</si>
  <si>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</si>
  <si>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</si>
  <si>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</si>
  <si>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</si>
  <si>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</si>
  <si>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</si>
  <si>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</si>
  <si>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</si>
  <si>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</si>
  <si>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</si>
  <si>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</si>
  <si>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</si>
  <si>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</si>
  <si>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</si>
  <si>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</si>
  <si>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</si>
  <si>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</si>
  <si>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</si>
  <si>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</si>
  <si>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</si>
  <si>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</si>
  <si>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</si>
  <si>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</si>
  <si>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</si>
  <si>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</si>
  <si>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</si>
  <si>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</si>
  <si>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</si>
  <si>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</si>
  <si>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</si>
  <si>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</si>
  <si>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</si>
  <si>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</si>
  <si>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</si>
  <si>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</si>
  <si>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</si>
  <si>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</si>
  <si>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</si>
  <si>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</si>
  <si>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</si>
  <si>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</si>
  <si>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</si>
  <si>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</si>
  <si>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</si>
  <si>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</si>
  <si>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</si>
  <si>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</si>
  <si>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</si>
  <si>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</si>
  <si>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</si>
  <si>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</si>
  <si>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</si>
  <si>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</si>
  <si>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</si>
  <si>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</si>
  <si>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</si>
  <si>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</si>
  <si>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</si>
  <si>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</si>
  <si>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</si>
  <si>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</si>
  <si>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</si>
  <si>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</si>
  <si>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</si>
  <si>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</si>
  <si>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</si>
  <si>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</si>
  <si>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</si>
  <si>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</si>
  <si>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</si>
  <si>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</si>
  <si>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</si>
  <si>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</si>
  <si>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</si>
  <si>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</si>
  <si>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</si>
  <si>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</si>
  <si>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</si>
  <si>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</si>
  <si>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</si>
  <si>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</si>
  <si>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</si>
  <si>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</si>
  <si>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</si>
  <si>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</si>
  <si>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</si>
  <si>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</si>
  <si>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</si>
  <si>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</si>
  <si>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</si>
  <si>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</si>
  <si>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</si>
  <si>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</si>
  <si>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</si>
  <si>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</si>
  <si>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</si>
  <si>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</si>
  <si>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</si>
  <si>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</si>
  <si>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</si>
  <si>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</si>
  <si>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</si>
  <si>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</si>
  <si>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</si>
  <si>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</si>
  <si>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</si>
  <si>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</si>
  <si>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</si>
  <si>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</si>
  <si>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</si>
  <si>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</si>
  <si>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</si>
  <si>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</si>
  <si>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</si>
  <si>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</si>
  <si>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</si>
  <si>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</si>
  <si>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</si>
  <si>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</si>
  <si>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</si>
  <si>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</si>
  <si>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</si>
  <si>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</si>
  <si>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</si>
  <si>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</si>
  <si>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</si>
  <si>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</si>
  <si>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</si>
  <si>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</si>
  <si>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</si>
  <si>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</si>
  <si>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</si>
  <si>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</si>
  <si>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</si>
  <si>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</si>
  <si>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</si>
  <si>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</si>
  <si>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</si>
  <si>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</si>
  <si>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</si>
  <si>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</si>
  <si>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</si>
  <si>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</si>
  <si>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</si>
  <si>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</si>
  <si>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</si>
  <si>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</si>
  <si>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</si>
  <si>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</si>
  <si>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</si>
  <si>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</si>
  <si>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</si>
  <si>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</si>
  <si>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</si>
  <si>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</si>
  <si>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</si>
  <si>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</si>
  <si>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</si>
  <si>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</si>
  <si>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</si>
  <si>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</si>
  <si>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</si>
  <si>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</si>
  <si>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</si>
  <si>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</si>
  <si>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</si>
  <si>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</si>
  <si>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</si>
  <si>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</si>
  <si>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</si>
  <si>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</si>
  <si>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</si>
  <si>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</si>
  <si>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</si>
  <si>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</si>
  <si>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</si>
  <si>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</si>
  <si>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</si>
  <si>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</si>
  <si>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</si>
  <si>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</si>
  <si>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</si>
  <si>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</si>
  <si>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</si>
  <si>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</si>
  <si>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</si>
  <si>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</si>
  <si>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</si>
  <si>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</si>
  <si>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</si>
  <si>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</si>
  <si>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</si>
  <si>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</si>
  <si>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</si>
  <si>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</si>
  <si>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</si>
  <si>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</si>
  <si>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</si>
  <si>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</si>
  <si>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</si>
  <si>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</si>
  <si>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</si>
  <si>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</si>
  <si>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</si>
  <si>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</si>
  <si>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</si>
  <si>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</si>
  <si>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</si>
  <si>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</si>
  <si>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</si>
  <si>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</si>
  <si>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</si>
  <si>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</si>
  <si>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</si>
  <si>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</si>
  <si>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</si>
  <si>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</si>
  <si>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</si>
  <si>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</si>
  <si>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</si>
  <si>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</si>
  <si>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</si>
  <si>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</si>
  <si>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</si>
  <si>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</si>
  <si>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</si>
  <si>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</si>
  <si>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</si>
  <si>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</si>
  <si>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</si>
  <si>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</si>
  <si>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</si>
  <si>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</si>
  <si>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</si>
  <si>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</si>
  <si>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</si>
  <si>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</si>
  <si>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</si>
  <si>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</si>
  <si>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</si>
  <si>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</si>
  <si>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</si>
  <si>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</si>
  <si>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</si>
  <si>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</si>
  <si>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</si>
  <si>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</si>
  <si>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</si>
  <si>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</si>
  <si>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</si>
  <si>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</si>
  <si>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</si>
  <si>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</si>
  <si>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</si>
  <si>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</si>
  <si>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</si>
  <si>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</si>
  <si>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</si>
  <si>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</si>
  <si>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</si>
  <si>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</si>
  <si>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</si>
  <si>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</si>
  <si>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</si>
  <si>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</si>
  <si>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</si>
  <si>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</si>
  <si>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</si>
  <si>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</si>
  <si>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</si>
  <si>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</si>
  <si>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</si>
  <si>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</si>
  <si>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</si>
  <si>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</si>
  <si>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</si>
  <si>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</si>
  <si>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</si>
  <si>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</si>
  <si>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</si>
  <si>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</si>
  <si>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</si>
  <si>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</si>
  <si>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</si>
  <si>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</si>
  <si>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</si>
  <si>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</si>
  <si>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</si>
  <si>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</si>
  <si>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</si>
  <si>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</si>
  <si>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</si>
  <si>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</si>
  <si>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</si>
  <si>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</si>
  <si>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</si>
  <si>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</si>
  <si>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</si>
  <si>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</si>
  <si>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</si>
  <si>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</si>
  <si>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</si>
  <si>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</si>
  <si>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</si>
  <si>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</si>
  <si>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</si>
  <si>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</si>
  <si>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</si>
  <si>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</si>
  <si>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</si>
  <si>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</si>
  <si>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</si>
  <si>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</si>
  <si>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</si>
  <si>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</si>
  <si>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</si>
  <si>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</si>
  <si>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</si>
  <si>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</si>
  <si>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</si>
  <si>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</si>
  <si>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</si>
  <si>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</si>
  <si>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</si>
  <si>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</si>
  <si>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</si>
  <si>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</si>
  <si>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</si>
  <si>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</si>
  <si>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</si>
  <si>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</si>
  <si>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</si>
  <si>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</si>
  <si>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</si>
  <si>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</si>
  <si>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</si>
  <si>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</si>
  <si>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</si>
  <si>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</si>
  <si>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</si>
  <si>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</si>
  <si>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</si>
  <si>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</si>
  <si>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</si>
  <si>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</si>
  <si>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</si>
  <si>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</si>
  <si>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</si>
  <si>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</si>
  <si>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</si>
  <si>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</si>
  <si>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</si>
  <si>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</si>
  <si>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</si>
  <si>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</si>
  <si>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</si>
  <si>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</si>
  <si>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</si>
  <si>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</si>
  <si>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</si>
  <si>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</si>
  <si>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</si>
  <si>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</si>
  <si>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</si>
  <si>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</si>
  <si>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</si>
  <si>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</si>
  <si>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</si>
  <si>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</si>
  <si>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</si>
  <si>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</si>
  <si>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</si>
  <si>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</si>
  <si>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</si>
  <si>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</si>
  <si>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</si>
  <si>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</si>
  <si>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</si>
  <si>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</si>
  <si>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</si>
  <si>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</si>
  <si>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</si>
  <si>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</si>
  <si>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</si>
  <si>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</si>
  <si>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</si>
  <si>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</si>
  <si>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</si>
  <si>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</si>
  <si>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</si>
  <si>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</si>
  <si>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</si>
  <si>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</si>
  <si>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</si>
  <si>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</si>
  <si>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</si>
  <si>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</si>
  <si>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</si>
  <si>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</si>
  <si>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</si>
  <si>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</si>
  <si>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</si>
  <si>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</si>
  <si>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</si>
  <si>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</si>
  <si>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</si>
  <si>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</si>
  <si>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</si>
  <si>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</si>
  <si>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</si>
  <si>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</si>
  <si>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</si>
  <si>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</si>
  <si>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</si>
  <si>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</si>
  <si>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</si>
  <si>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</si>
  <si>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</si>
  <si>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</si>
  <si>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</si>
  <si>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</si>
  <si>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</si>
  <si>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</si>
  <si>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</si>
  <si>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</si>
  <si>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</si>
  <si>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</si>
  <si>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</si>
  <si>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</si>
  <si>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</si>
  <si>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</si>
  <si>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</si>
  <si>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</si>
  <si>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</si>
  <si>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</si>
  <si>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</si>
  <si>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</si>
  <si>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</si>
  <si>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</si>
  <si>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</si>
  <si>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</si>
  <si>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</si>
  <si>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</si>
  <si>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</si>
  <si>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</si>
  <si>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</si>
  <si>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</si>
  <si>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</si>
  <si>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</si>
  <si>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</si>
  <si>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</si>
  <si>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</si>
  <si>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</si>
  <si>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</si>
  <si>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</si>
  <si>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</si>
  <si>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</si>
  <si>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</si>
  <si>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</si>
  <si>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</si>
  <si>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</si>
  <si>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</si>
  <si>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</si>
  <si>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</si>
  <si>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</si>
  <si>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</si>
  <si>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</si>
  <si>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</si>
  <si>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</si>
  <si>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</si>
  <si>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</si>
  <si>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</si>
  <si>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</si>
  <si>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</si>
  <si>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</si>
  <si>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</si>
  <si>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</si>
  <si>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</si>
  <si>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</si>
  <si>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</si>
  <si>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</si>
  <si>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</si>
  <si>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</si>
  <si>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</si>
  <si>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</si>
  <si>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</si>
  <si>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</si>
  <si>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</si>
  <si>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</si>
  <si>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</si>
  <si>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</si>
  <si>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</si>
  <si>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</si>
  <si>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</si>
  <si>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</si>
  <si>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</si>
  <si>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</si>
  <si>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</si>
  <si>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</si>
  <si>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</si>
  <si>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</si>
  <si>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</si>
  <si>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</si>
  <si>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</si>
  <si>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</si>
  <si>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</si>
  <si>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</si>
  <si>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</si>
  <si>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</si>
  <si>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</si>
  <si>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</si>
  <si>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</si>
  <si>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</si>
  <si>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</si>
  <si>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</si>
  <si>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</si>
  <si>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</si>
  <si>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</si>
  <si>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</si>
  <si>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</si>
  <si>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</si>
  <si>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</si>
  <si>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</si>
  <si>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</si>
  <si>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</si>
  <si>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</si>
  <si>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</si>
  <si>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</si>
  <si>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</si>
  <si>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</si>
  <si>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</si>
  <si>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</si>
  <si>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</si>
  <si>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</si>
  <si>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</si>
  <si>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</si>
  <si>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</si>
  <si>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</si>
  <si>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</si>
  <si>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</si>
  <si>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</si>
  <si>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</si>
  <si>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</si>
  <si>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</si>
  <si>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</si>
  <si>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</si>
  <si>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</si>
  <si>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</si>
  <si>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</si>
  <si>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</si>
  <si>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</si>
  <si>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</si>
  <si>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</si>
  <si>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</si>
  <si>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</si>
  <si>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</si>
  <si>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</si>
  <si>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</si>
  <si>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</si>
  <si>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</si>
  <si>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</si>
  <si>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</si>
  <si>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</si>
  <si>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</si>
  <si>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</si>
  <si>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</si>
  <si>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</si>
  <si>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</si>
  <si>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</si>
  <si>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</si>
  <si>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</si>
  <si>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</si>
  <si>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</si>
  <si>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</si>
  <si>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</si>
  <si>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</si>
  <si>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</si>
  <si>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</si>
  <si>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</si>
  <si>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</si>
  <si>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</si>
  <si>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</si>
  <si>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</si>
  <si>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</si>
  <si>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</si>
  <si>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</si>
  <si>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</si>
  <si>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</si>
  <si>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</si>
  <si>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</si>
  <si>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</si>
  <si>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</si>
  <si>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</si>
  <si>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</si>
  <si>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</si>
  <si>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</si>
  <si>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</si>
  <si>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</si>
  <si>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</si>
  <si>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</si>
  <si>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</si>
  <si>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</si>
  <si>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</si>
  <si>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</si>
  <si>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</si>
  <si>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</si>
  <si>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</si>
  <si>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</si>
  <si>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</si>
  <si>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</si>
  <si>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</si>
  <si>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</si>
  <si>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</si>
  <si>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</si>
  <si>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</si>
  <si>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</si>
  <si>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</si>
  <si>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</si>
  <si>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</si>
  <si>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</si>
  <si>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</si>
  <si>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</si>
  <si>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</si>
  <si>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</si>
  <si>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</si>
  <si>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</si>
  <si>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</si>
  <si>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</si>
  <si>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</si>
  <si>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</si>
  <si>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</si>
  <si>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</si>
  <si>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</si>
  <si>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</si>
  <si>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</si>
  <si>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</si>
  <si>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</si>
  <si>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</si>
  <si>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</si>
  <si>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</si>
  <si>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</si>
  <si>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</si>
  <si>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</si>
  <si>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</si>
  <si>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</si>
  <si>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</si>
  <si>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</si>
  <si>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</si>
  <si>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</si>
  <si>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</si>
  <si>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</si>
  <si>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</si>
  <si>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</si>
  <si>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</si>
  <si>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</si>
  <si>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</si>
  <si>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</si>
  <si>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</si>
  <si>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</si>
  <si>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</si>
  <si>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</si>
  <si>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</si>
  <si>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</si>
  <si>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</si>
  <si>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</si>
  <si>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</si>
  <si>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</si>
  <si>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</si>
  <si>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</si>
  <si>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</si>
  <si>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</si>
  <si>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</si>
  <si>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</si>
  <si>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</si>
  <si>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</si>
  <si>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</si>
  <si>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</si>
  <si>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</si>
  <si>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</si>
  <si>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</si>
  <si>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</si>
  <si>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</si>
  <si>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</si>
  <si>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</si>
  <si>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</si>
  <si>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</si>
  <si>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</si>
  <si>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</si>
  <si>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</si>
  <si>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</si>
  <si>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</si>
  <si>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</si>
  <si>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</si>
  <si>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</si>
  <si>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</si>
  <si>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</si>
  <si>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</si>
  <si>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</si>
  <si>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</si>
  <si>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</si>
  <si>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</si>
  <si>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</si>
  <si>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</si>
  <si>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</si>
  <si>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</si>
  <si>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</si>
  <si>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</si>
  <si>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</si>
  <si>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</si>
  <si>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</si>
  <si>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</si>
  <si>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</si>
  <si>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</si>
  <si>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</si>
  <si>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</si>
  <si>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</si>
  <si>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</si>
  <si>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</si>
  <si>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</si>
  <si>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</si>
  <si>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</si>
  <si>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</si>
  <si>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</si>
  <si>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</si>
  <si>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</si>
  <si>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</si>
  <si>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</si>
  <si>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</si>
  <si>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</si>
  <si>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</si>
  <si>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</si>
  <si>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</si>
  <si>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</si>
  <si>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</si>
  <si>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</si>
  <si>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</si>
  <si>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</si>
  <si>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</si>
  <si>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</si>
  <si>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</si>
  <si>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</si>
  <si>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</si>
  <si>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</si>
  <si>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</si>
  <si>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</si>
  <si>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</si>
  <si>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</si>
  <si>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</si>
  <si>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</si>
  <si>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</si>
  <si>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</si>
  <si>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</si>
  <si>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</si>
  <si>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</si>
  <si>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</si>
  <si>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</si>
  <si>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</si>
  <si>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</si>
  <si>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</si>
  <si>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</si>
  <si>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</si>
  <si>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</si>
  <si>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</si>
  <si>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</si>
  <si>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</si>
  <si>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</si>
  <si>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</si>
  <si>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</si>
  <si>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</si>
  <si>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</si>
  <si>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</si>
  <si>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</si>
  <si>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</si>
  <si>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</si>
  <si>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</si>
  <si>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</si>
  <si>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</si>
  <si>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</si>
  <si>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</si>
  <si>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</si>
  <si>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</si>
  <si>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</si>
  <si>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</si>
  <si>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</si>
  <si>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</si>
  <si>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</si>
  <si>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</si>
  <si>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</si>
  <si>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</si>
  <si>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</si>
  <si>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</si>
  <si>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</si>
  <si>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</si>
  <si>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</si>
  <si>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</si>
  <si>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</si>
  <si>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</si>
  <si>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</si>
  <si>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</si>
  <si>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</si>
  <si>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</si>
  <si>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</si>
  <si>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</si>
  <si>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</si>
  <si>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</si>
  <si>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</si>
  <si>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</si>
  <si>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</si>
  <si>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</si>
  <si>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</si>
  <si>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</si>
  <si>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</si>
  <si>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</si>
  <si>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</si>
  <si>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</si>
  <si>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</si>
  <si>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</si>
  <si>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</si>
  <si>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</si>
  <si>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</si>
  <si>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</si>
  <si>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</si>
  <si>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</si>
  <si>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</si>
  <si>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</si>
  <si>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</si>
  <si>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</si>
  <si>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</si>
  <si>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</si>
  <si>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</si>
  <si>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</si>
  <si>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</si>
  <si>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</si>
  <si>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</si>
  <si>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</si>
  <si>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</si>
  <si>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</si>
  <si>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</si>
  <si>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</si>
  <si>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</si>
  <si>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</si>
  <si>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</si>
  <si>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</si>
  <si>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</si>
  <si>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</si>
  <si>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</si>
  <si>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</si>
  <si>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</si>
  <si>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</si>
  <si>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</si>
  <si>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</si>
  <si>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</si>
  <si>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</si>
  <si>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</si>
  <si>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</si>
  <si>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</si>
  <si>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</si>
  <si>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</si>
  <si>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</si>
  <si>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</si>
  <si>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</si>
  <si>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</si>
  <si>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</si>
  <si>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</si>
  <si>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</si>
  <si>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</si>
  <si>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</si>
  <si>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</si>
  <si>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</si>
  <si>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</si>
  <si>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</si>
  <si>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</si>
  <si>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</si>
  <si>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</si>
  <si>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</si>
  <si>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</si>
  <si>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</si>
  <si>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</si>
  <si>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</si>
  <si>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</si>
  <si>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</si>
  <si>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</si>
  <si>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</si>
  <si>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</si>
  <si>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</si>
  <si>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</si>
  <si>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</si>
  <si>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</si>
  <si>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</si>
  <si>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</si>
  <si>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</si>
  <si>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</si>
  <si>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</si>
  <si>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</si>
  <si>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</si>
  <si>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</si>
  <si>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</si>
  <si>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</si>
  <si>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</si>
  <si>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</si>
  <si>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</si>
  <si>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</si>
  <si>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</si>
  <si>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</si>
  <si>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</si>
  <si>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</si>
  <si>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</si>
  <si>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</si>
  <si>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</si>
  <si>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</si>
  <si>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</si>
  <si>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</si>
  <si>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</si>
  <si>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</si>
  <si>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</si>
  <si>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</si>
  <si>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</si>
  <si>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</si>
  <si>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</si>
  <si>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</si>
  <si>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</si>
  <si>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</si>
  <si>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</si>
  <si>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</si>
  <si>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</si>
  <si>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</si>
  <si>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</si>
  <si>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</si>
  <si>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</si>
  <si>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</si>
  <si>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</si>
  <si>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</si>
  <si>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</si>
  <si>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</si>
  <si>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</si>
  <si>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</si>
  <si>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</si>
  <si>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</si>
  <si>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</si>
  <si>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</si>
  <si>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</si>
  <si>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</si>
  <si>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</si>
  <si>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</si>
  <si>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</si>
  <si>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</si>
  <si>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</si>
  <si>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</si>
  <si>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</si>
  <si>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</si>
  <si>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</si>
  <si>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</si>
  <si>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</si>
  <si>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</si>
  <si>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</si>
  <si>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</si>
  <si>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</si>
  <si>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</si>
  <si>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</si>
  <si>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</si>
  <si>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</si>
  <si>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</si>
  <si>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</si>
  <si>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</si>
  <si>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</si>
  <si>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</si>
  <si>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</si>
  <si>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</si>
  <si>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</si>
  <si>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</si>
  <si>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</si>
  <si>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</si>
  <si>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</si>
  <si>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</si>
  <si>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</si>
  <si>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</si>
  <si>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</si>
  <si>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</si>
  <si>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</si>
  <si>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</si>
  <si>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</si>
  <si>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</si>
  <si>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</si>
  <si>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</si>
  <si>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</si>
  <si>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</si>
  <si>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</si>
  <si>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</si>
  <si>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</si>
  <si>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</si>
  <si>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</si>
  <si>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</si>
  <si>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</si>
  <si>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</si>
  <si>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</si>
  <si>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</si>
  <si>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</si>
  <si>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</si>
  <si>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</si>
  <si>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</si>
  <si>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</si>
  <si>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</si>
  <si>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</si>
  <si>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</si>
  <si>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</si>
  <si>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</si>
  <si>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</si>
  <si>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</si>
  <si>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</si>
  <si>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</si>
  <si>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</si>
  <si>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</si>
  <si>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</si>
  <si>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</si>
  <si>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</si>
  <si>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</si>
  <si>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</si>
  <si>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</si>
  <si>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</si>
  <si>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</si>
  <si>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</si>
  <si>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</si>
  <si>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</si>
  <si>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</si>
  <si>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</si>
  <si>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</si>
  <si>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</si>
  <si>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</si>
  <si>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</si>
  <si>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</si>
  <si>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</si>
  <si>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</si>
  <si>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</si>
  <si>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</si>
  <si>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</si>
  <si>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</si>
  <si>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</si>
  <si>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</si>
  <si>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</si>
  <si>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</si>
  <si>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</si>
  <si>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</si>
  <si>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</si>
  <si>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</si>
  <si>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</si>
  <si>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</si>
  <si>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</si>
  <si>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</si>
  <si>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</si>
  <si>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</si>
  <si>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</si>
  <si>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</si>
  <si>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</si>
  <si>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</si>
  <si>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</si>
  <si>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</si>
  <si>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</si>
  <si>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</si>
  <si>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</si>
  <si>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</si>
  <si>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</si>
  <si>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</si>
  <si>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</si>
  <si>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</si>
  <si>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</si>
  <si>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</si>
  <si>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</si>
  <si>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</si>
  <si>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</si>
  <si>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</si>
  <si>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</si>
  <si>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</si>
  <si>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</si>
  <si>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</si>
  <si>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</si>
  <si>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</si>
  <si>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</si>
  <si>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</si>
  <si>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</si>
  <si>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</si>
  <si>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</si>
  <si>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</si>
  <si>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</si>
  <si>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</si>
  <si>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</si>
  <si>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</si>
  <si>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</si>
  <si>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</si>
  <si>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</si>
  <si>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</si>
  <si>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</si>
  <si>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</si>
  <si>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</si>
  <si>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</si>
  <si>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</si>
  <si>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</si>
  <si>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</si>
  <si>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</si>
  <si>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</si>
  <si>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</si>
  <si>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</si>
  <si>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</si>
  <si>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</si>
  <si>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</si>
  <si>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</si>
  <si>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</si>
  <si>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</si>
  <si>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</si>
  <si>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</si>
  <si>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</si>
  <si>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</si>
  <si>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</si>
  <si>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</si>
  <si>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</si>
  <si>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</si>
  <si>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</si>
  <si>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</si>
  <si>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</si>
  <si>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</si>
  <si>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</si>
  <si>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</si>
  <si>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</si>
  <si>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</si>
  <si>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</si>
  <si>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</si>
  <si>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</si>
  <si>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</si>
  <si>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</si>
  <si>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</si>
  <si>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</si>
  <si>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</si>
  <si>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</si>
  <si>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</si>
  <si>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</si>
  <si>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</si>
  <si>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</si>
  <si>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</si>
  <si>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</si>
  <si>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</si>
  <si>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</si>
  <si>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</si>
  <si>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</si>
  <si>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</si>
  <si>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</si>
  <si>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</si>
  <si>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</si>
  <si>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</si>
  <si>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</si>
  <si>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</si>
  <si>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</si>
  <si>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</si>
  <si>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</si>
  <si>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</si>
  <si>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</si>
  <si>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</si>
  <si>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</si>
  <si>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</si>
  <si>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</si>
  <si>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</si>
  <si>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</si>
  <si>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</si>
  <si>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</si>
  <si>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</si>
  <si>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</si>
  <si>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</si>
  <si>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</si>
  <si>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</si>
  <si>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</si>
  <si>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</si>
  <si>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</si>
  <si>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</si>
  <si>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</si>
  <si>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</si>
  <si>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</si>
  <si>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</si>
  <si>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</si>
  <si>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</si>
  <si>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</si>
  <si>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</si>
  <si>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</si>
  <si>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</si>
  <si>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</si>
  <si>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</si>
  <si>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</si>
  <si>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</si>
  <si>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</si>
  <si>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</si>
  <si>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</si>
  <si>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</si>
  <si>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</si>
  <si>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</si>
  <si>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</si>
  <si>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</si>
  <si>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</si>
  <si>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</si>
  <si>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</si>
  <si>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</si>
  <si>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</si>
  <si>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</si>
  <si>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</si>
  <si>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</si>
  <si>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</si>
  <si>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</si>
  <si>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</si>
  <si>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</si>
  <si>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</si>
  <si>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</si>
  <si>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</si>
  <si>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</si>
  <si>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</si>
  <si>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</si>
  <si>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</si>
  <si>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</si>
  <si>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</si>
  <si>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</si>
  <si>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</si>
  <si>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</si>
  <si>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</si>
  <si>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</si>
  <si>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</si>
  <si>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</si>
  <si>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</si>
  <si>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</si>
  <si>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</si>
  <si>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</si>
  <si>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</si>
  <si>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</si>
  <si>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</si>
  <si>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</si>
  <si>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</si>
  <si>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</si>
  <si>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</si>
  <si>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</si>
  <si>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</si>
  <si>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</si>
  <si>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</si>
  <si>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</si>
  <si>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</si>
  <si>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</si>
  <si>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</si>
  <si>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</si>
  <si>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</si>
  <si>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</si>
  <si>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</si>
  <si>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</si>
  <si>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</si>
  <si>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</si>
  <si>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</si>
  <si>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</si>
  <si>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</si>
  <si>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</si>
  <si>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</si>
  <si>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</si>
  <si>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</si>
  <si>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</si>
  <si>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</si>
  <si>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</si>
  <si>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</si>
  <si>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</si>
  <si>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</si>
  <si>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</si>
  <si>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</si>
  <si>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</si>
  <si>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</si>
  <si>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</si>
  <si>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</si>
  <si>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</si>
  <si>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</si>
  <si>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</si>
  <si>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</si>
  <si>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</si>
  <si>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</si>
  <si>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</si>
  <si>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</si>
  <si>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</si>
  <si>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</si>
  <si>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</si>
  <si>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</si>
  <si>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</si>
  <si>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</si>
  <si>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</si>
  <si>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</si>
  <si>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</si>
  <si>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</si>
  <si>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</si>
  <si>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</si>
  <si>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</si>
  <si>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</si>
  <si>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</si>
  <si>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</si>
  <si>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</si>
  <si>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</si>
  <si>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</si>
  <si>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</si>
  <si>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</si>
  <si>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</si>
  <si>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</si>
  <si>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</si>
  <si>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</si>
  <si>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</si>
  <si>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</si>
  <si>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</si>
  <si>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</si>
  <si>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</si>
  <si>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</si>
  <si>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</si>
  <si>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</si>
  <si>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</si>
  <si>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</si>
  <si>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</si>
  <si>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</si>
  <si>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</si>
  <si>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</si>
  <si>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</si>
  <si>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</si>
  <si>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</si>
  <si>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</si>
  <si>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</si>
  <si>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</si>
  <si>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</si>
  <si>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</si>
  <si>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</si>
  <si>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</si>
  <si>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</si>
  <si>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</si>
  <si>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</si>
  <si>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</si>
  <si>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</si>
  <si>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</si>
  <si>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</si>
  <si>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</si>
  <si>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</si>
  <si>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</si>
  <si>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</si>
  <si>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</si>
  <si>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</si>
  <si>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</si>
  <si>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</si>
  <si>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</si>
  <si>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</si>
  <si>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</si>
  <si>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</si>
  <si>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</si>
  <si>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</si>
  <si>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</si>
  <si>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</si>
  <si>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</si>
  <si>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</si>
  <si>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</si>
  <si>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</si>
  <si>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</si>
  <si>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</si>
  <si>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</si>
  <si>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</si>
  <si>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</si>
  <si>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</si>
  <si>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</si>
  <si>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</si>
  <si>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</si>
  <si>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</si>
  <si>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</si>
  <si>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</si>
  <si>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</si>
  <si>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</si>
  <si>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</si>
  <si>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</si>
  <si>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</si>
  <si>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</si>
  <si>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</si>
  <si>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</si>
  <si>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</si>
  <si>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</si>
  <si>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</si>
  <si>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</si>
  <si>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</si>
  <si>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</si>
  <si>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</si>
  <si>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</si>
  <si>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</si>
  <si>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</si>
  <si>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</si>
  <si>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</si>
  <si>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</si>
  <si>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</si>
  <si>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</si>
  <si>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</si>
  <si>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</si>
  <si>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</si>
  <si>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</si>
  <si>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</si>
  <si>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</si>
  <si>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</si>
  <si>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</si>
  <si>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</si>
  <si>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</si>
  <si>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</si>
  <si>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</si>
  <si>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</si>
  <si>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</si>
  <si>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</si>
  <si>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</si>
  <si>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</si>
  <si>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</si>
  <si>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</si>
  <si>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</si>
  <si>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</si>
  <si>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</si>
  <si>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</si>
  <si>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</si>
  <si>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</si>
  <si>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</si>
  <si>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</si>
  <si>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</si>
  <si>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</si>
  <si>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</si>
  <si>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</si>
  <si>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</si>
  <si>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</si>
  <si>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</si>
  <si>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</si>
  <si>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</si>
  <si>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</si>
  <si>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</si>
  <si>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</si>
  <si>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</si>
  <si>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</si>
  <si>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</si>
  <si>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</si>
  <si>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</si>
  <si>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</si>
  <si>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</si>
  <si>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</si>
  <si>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</si>
  <si>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</si>
  <si>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</si>
  <si>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</si>
  <si>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</si>
  <si>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</si>
  <si>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</si>
  <si>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</si>
  <si>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</si>
  <si>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</si>
  <si>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</si>
  <si>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</si>
  <si>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</si>
  <si>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</si>
  <si>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</si>
  <si>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</si>
  <si>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</si>
  <si>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</si>
  <si>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</si>
  <si>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</si>
  <si>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</si>
  <si>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</si>
  <si>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</si>
  <si>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</si>
  <si>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</si>
  <si>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</si>
  <si>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</si>
  <si>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</si>
  <si>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</si>
  <si>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</si>
  <si>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</si>
  <si>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</si>
  <si>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</si>
  <si>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</si>
  <si>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</si>
  <si>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</si>
  <si>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</si>
  <si>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</si>
  <si>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</si>
  <si>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</si>
  <si>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</si>
  <si>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</si>
  <si>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</si>
  <si>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</si>
  <si>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</si>
  <si>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</si>
  <si>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</si>
  <si>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</si>
  <si>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</si>
  <si>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</si>
  <si>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</si>
  <si>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</si>
  <si>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</si>
  <si>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</si>
  <si>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</si>
  <si>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</si>
  <si>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</si>
  <si>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</si>
  <si>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</si>
  <si>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</si>
  <si>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</si>
  <si>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</si>
  <si>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</si>
  <si>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</si>
  <si>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</si>
  <si>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</si>
  <si>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</si>
  <si>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</si>
  <si>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</si>
  <si>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</si>
  <si>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</si>
  <si>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</si>
  <si>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</si>
  <si>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</si>
  <si>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</si>
  <si>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</si>
  <si>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</si>
  <si>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</si>
  <si>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</si>
  <si>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</si>
  <si>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</si>
  <si>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</si>
  <si>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</si>
  <si>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</si>
  <si>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叶凌</t>
  </si>
  <si>
    <t>估价对象所在区域基础设施水平——六通</t>
  </si>
  <si>
    <t>次</t>
    <phoneticPr fontId="20" type="noConversion"/>
  </si>
  <si>
    <t>北京市丰台区南顶村43号楼2层2-203号</t>
    <phoneticPr fontId="4" type="noConversion"/>
  </si>
  <si>
    <t>北京市丰台区南顶村</t>
    <phoneticPr fontId="4" type="noConversion"/>
  </si>
  <si>
    <t>40-50（含）</t>
  </si>
  <si>
    <t>估价对象周边有光彩家园、城市时尚家园、裕隆园、高庄小区等居住小区，小区规模和社区发展完善程度较好，综合评价居住社区成熟度较好</t>
  </si>
  <si>
    <t>估价对象周边有光彩家园、城市时尚家园、裕隆园、高庄小区等居住小区，小区规模和社区发展完善程度较好，综合评价居住社区成熟度较好</t>
    <phoneticPr fontId="4" type="noConversion"/>
  </si>
  <si>
    <t>估价对象紧邻城市次干道——石榴庄路，周边地铁10号线（石榴庄）、有71、511、夜2、专4路公交线路等，综合评价交通便捷度较好</t>
  </si>
  <si>
    <t>估价对象所在区域基础设施水平——七通</t>
    <phoneticPr fontId="4" type="noConversion"/>
  </si>
  <si>
    <t>自然环境石榴园公园等；人文环境：中国国家博物馆文物科技保护中心、大红门国际会展中心等，综合评价环境状况较好</t>
  </si>
  <si>
    <t>城市次干道——石榴庄路</t>
    <phoneticPr fontId="4" type="noConversion"/>
  </si>
  <si>
    <t>南</t>
  </si>
  <si>
    <r>
      <t>2/6</t>
    </r>
    <r>
      <rPr>
        <sz val="11"/>
        <rFont val="宋体"/>
        <family val="3"/>
        <charset val="134"/>
      </rPr>
      <t>（低楼层）</t>
    </r>
    <phoneticPr fontId="4" type="noConversion"/>
  </si>
  <si>
    <t>低楼层/6</t>
  </si>
  <si>
    <t>中楼层/6</t>
    <phoneticPr fontId="4" type="noConversion"/>
  </si>
  <si>
    <t>混合</t>
  </si>
  <si>
    <t>简装</t>
  </si>
  <si>
    <r>
      <t>2/6</t>
    </r>
    <r>
      <rPr>
        <sz val="11"/>
        <color indexed="8"/>
        <rFont val="宋体"/>
        <family val="3"/>
        <charset val="134"/>
      </rPr>
      <t>（低楼层）</t>
    </r>
    <phoneticPr fontId="4" type="noConversion"/>
  </si>
  <si>
    <t>中楼层/6</t>
    <phoneticPr fontId="4" type="noConversion"/>
  </si>
  <si>
    <t>中楼层/6</t>
    <phoneticPr fontId="4" type="noConversion"/>
  </si>
  <si>
    <t>低楼层/6</t>
    <phoneticPr fontId="4" type="noConversion"/>
  </si>
  <si>
    <t>成本价</t>
  </si>
  <si>
    <t>估价对象紧邻城市次干道——石榴庄路，周边地铁10号线（石榴庄）、有71、511、夜2、专4路公交线路等，综合评价交通便捷度较好</t>
    <phoneticPr fontId="4" type="noConversion"/>
  </si>
  <si>
    <t>自然环境石榴园公园等；人文环境：中国国家博物馆文物科技保护中心、大红门国际会展中心等，综合评价环境状况较好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</si>
</sst>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475248</xdr:colOff>
      <xdr:row>9</xdr:row>
      <xdr:rowOff>161712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19048" cy="1704762"/>
        </a:xfrm>
        <a:prstGeom prst="rect">
          <a:avLst/>
        </a:prstGeom>
      </xdr:spPr>
    </xdr:pic>
    <xdr:clientData/>
  </xdr:twoCellAnchor>
  <xdr:twoCellAnchor editAs="oneCell">
    <xdr:from>
      <xdr:col>0</xdr:col>
      <xdr:colOff>0</xdr:colOff>
      <xdr:row>10</xdr:row>
      <xdr:rowOff>0</xdr:rowOff>
    </xdr:from>
    <xdr:to>
      <xdr:col>9</xdr:col>
      <xdr:colOff>515045</xdr:colOff>
      <xdr:row>30</xdr:row>
      <xdr:rowOff>47625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6687245" cy="3476625"/>
        </a:xfrm>
        <a:prstGeom prst="rect">
          <a:avLst/>
        </a:prstGeom>
      </xdr:spPr>
    </xdr:pic>
    <xdr:clientData/>
  </xdr:twoCellAnchor>
  <xdr:twoCellAnchor editAs="oneCell">
    <xdr:from>
      <xdr:col>10</xdr:col>
      <xdr:colOff>0</xdr:colOff>
      <xdr:row>10</xdr:row>
      <xdr:rowOff>0</xdr:rowOff>
    </xdr:from>
    <xdr:to>
      <xdr:col>18</xdr:col>
      <xdr:colOff>218362</xdr:colOff>
      <xdr:row>30</xdr:row>
      <xdr:rowOff>151953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1714500"/>
          <a:ext cx="5704762" cy="3580953"/>
        </a:xfrm>
        <a:prstGeom prst="rect">
          <a:avLst/>
        </a:prstGeom>
      </xdr:spPr>
    </xdr:pic>
    <xdr:clientData/>
  </xdr:twoCellAnchor>
  <xdr:twoCellAnchor editAs="oneCell">
    <xdr:from>
      <xdr:col>0</xdr:col>
      <xdr:colOff>0</xdr:colOff>
      <xdr:row>31</xdr:row>
      <xdr:rowOff>0</xdr:rowOff>
    </xdr:from>
    <xdr:to>
      <xdr:col>11</xdr:col>
      <xdr:colOff>589534</xdr:colOff>
      <xdr:row>40</xdr:row>
      <xdr:rowOff>18855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133334" cy="1561905"/>
        </a:xfrm>
        <a:prstGeom prst="rect">
          <a:avLst/>
        </a:prstGeom>
      </xdr:spPr>
    </xdr:pic>
    <xdr:clientData/>
  </xdr:twoCellAnchor>
  <xdr:twoCellAnchor editAs="oneCell">
    <xdr:from>
      <xdr:col>0</xdr:col>
      <xdr:colOff>0</xdr:colOff>
      <xdr:row>40</xdr:row>
      <xdr:rowOff>0</xdr:rowOff>
    </xdr:from>
    <xdr:to>
      <xdr:col>10</xdr:col>
      <xdr:colOff>276225</xdr:colOff>
      <xdr:row>61</xdr:row>
      <xdr:rowOff>44632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858000"/>
          <a:ext cx="7134225" cy="3645082"/>
        </a:xfrm>
        <a:prstGeom prst="rect">
          <a:avLst/>
        </a:prstGeom>
      </xdr:spPr>
    </xdr:pic>
    <xdr:clientData/>
  </xdr:twoCellAnchor>
  <xdr:twoCellAnchor editAs="oneCell">
    <xdr:from>
      <xdr:col>11</xdr:col>
      <xdr:colOff>0</xdr:colOff>
      <xdr:row>40</xdr:row>
      <xdr:rowOff>0</xdr:rowOff>
    </xdr:from>
    <xdr:to>
      <xdr:col>19</xdr:col>
      <xdr:colOff>218362</xdr:colOff>
      <xdr:row>61</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7543800" y="6858000"/>
          <a:ext cx="5704762" cy="3704762"/>
        </a:xfrm>
        <a:prstGeom prst="rect">
          <a:avLst/>
        </a:prstGeom>
      </xdr:spPr>
    </xdr:pic>
    <xdr:clientData/>
  </xdr:twoCellAnchor>
  <xdr:twoCellAnchor editAs="oneCell">
    <xdr:from>
      <xdr:col>0</xdr:col>
      <xdr:colOff>0</xdr:colOff>
      <xdr:row>62</xdr:row>
      <xdr:rowOff>0</xdr:rowOff>
    </xdr:from>
    <xdr:to>
      <xdr:col>11</xdr:col>
      <xdr:colOff>522867</xdr:colOff>
      <xdr:row>71</xdr:row>
      <xdr:rowOff>114093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0629900"/>
          <a:ext cx="8066667" cy="1657143"/>
        </a:xfrm>
        <a:prstGeom prst="rect">
          <a:avLst/>
        </a:prstGeom>
      </xdr:spPr>
    </xdr:pic>
    <xdr:clientData/>
  </xdr:twoCellAnchor>
  <xdr:twoCellAnchor editAs="oneCell">
    <xdr:from>
      <xdr:col>0</xdr:col>
      <xdr:colOff>0</xdr:colOff>
      <xdr:row>72</xdr:row>
      <xdr:rowOff>1</xdr:rowOff>
    </xdr:from>
    <xdr:to>
      <xdr:col>9</xdr:col>
      <xdr:colOff>47625</xdr:colOff>
      <xdr:row>91</xdr:row>
      <xdr:rowOff>28511</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2344401"/>
          <a:ext cx="6219825" cy="3286060"/>
        </a:xfrm>
        <a:prstGeom prst="rect">
          <a:avLst/>
        </a:prstGeom>
      </xdr:spPr>
    </xdr:pic>
    <xdr:clientData/>
  </xdr:twoCellAnchor>
  <xdr:twoCellAnchor editAs="oneCell">
    <xdr:from>
      <xdr:col>9</xdr:col>
      <xdr:colOff>104775</xdr:colOff>
      <xdr:row>72</xdr:row>
      <xdr:rowOff>57150</xdr:rowOff>
    </xdr:from>
    <xdr:to>
      <xdr:col>17</xdr:col>
      <xdr:colOff>389804</xdr:colOff>
      <xdr:row>92</xdr:row>
      <xdr:rowOff>123388</xdr:rowOff>
    </xdr:to>
    <xdr:pic>
      <xdr:nvPicPr>
        <xdr:cNvPr id="10" name="图片 9"/>
        <xdr:cNvPicPr>
          <a:picLocks noChangeAspect="1"/>
        </xdr:cNvPicPr>
      </xdr:nvPicPr>
      <xdr:blipFill>
        <a:blip xmlns:r="http://schemas.openxmlformats.org/officeDocument/2006/relationships" r:embed="rId9"/>
        <a:stretch>
          <a:fillRect/>
        </a:stretch>
      </xdr:blipFill>
      <xdr:spPr>
        <a:xfrm>
          <a:off x="6276975" y="12401550"/>
          <a:ext cx="5771429" cy="3495238"/>
        </a:xfrm>
        <a:prstGeom prst="rect">
          <a:avLst/>
        </a:prstGeom>
      </xdr:spPr>
    </xdr:pic>
    <xdr:clientData/>
  </xdr:twoCellAnchor>
  <xdr:twoCellAnchor editAs="oneCell">
    <xdr:from>
      <xdr:col>0</xdr:col>
      <xdr:colOff>0</xdr:colOff>
      <xdr:row>95</xdr:row>
      <xdr:rowOff>0</xdr:rowOff>
    </xdr:from>
    <xdr:to>
      <xdr:col>12</xdr:col>
      <xdr:colOff>389448</xdr:colOff>
      <xdr:row>111</xdr:row>
      <xdr:rowOff>104419</xdr:rowOff>
    </xdr:to>
    <xdr:pic>
      <xdr:nvPicPr>
        <xdr:cNvPr id="29" name="图片 28"/>
        <xdr:cNvPicPr>
          <a:picLocks noChangeAspect="1"/>
        </xdr:cNvPicPr>
      </xdr:nvPicPr>
      <xdr:blipFill>
        <a:blip xmlns:r="http://schemas.openxmlformats.org/officeDocument/2006/relationships" r:embed="rId10"/>
        <a:stretch>
          <a:fillRect/>
        </a:stretch>
      </xdr:blipFill>
      <xdr:spPr>
        <a:xfrm>
          <a:off x="0" y="16287750"/>
          <a:ext cx="8619048" cy="2847619"/>
        </a:xfrm>
        <a:prstGeom prst="rect">
          <a:avLst/>
        </a:prstGeom>
      </xdr:spPr>
    </xdr:pic>
    <xdr:clientData/>
  </xdr:twoCellAnchor>
  <xdr:twoCellAnchor editAs="oneCell">
    <xdr:from>
      <xdr:col>0</xdr:col>
      <xdr:colOff>0</xdr:colOff>
      <xdr:row>113</xdr:row>
      <xdr:rowOff>0</xdr:rowOff>
    </xdr:from>
    <xdr:to>
      <xdr:col>12</xdr:col>
      <xdr:colOff>132305</xdr:colOff>
      <xdr:row>131</xdr:row>
      <xdr:rowOff>104376</xdr:rowOff>
    </xdr:to>
    <xdr:pic>
      <xdr:nvPicPr>
        <xdr:cNvPr id="30" name="图片 29"/>
        <xdr:cNvPicPr>
          <a:picLocks noChangeAspect="1"/>
        </xdr:cNvPicPr>
      </xdr:nvPicPr>
      <xdr:blipFill>
        <a:blip xmlns:r="http://schemas.openxmlformats.org/officeDocument/2006/relationships" r:embed="rId11"/>
        <a:stretch>
          <a:fillRect/>
        </a:stretch>
      </xdr:blipFill>
      <xdr:spPr>
        <a:xfrm>
          <a:off x="0" y="19373850"/>
          <a:ext cx="8361905" cy="31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估价对象为北京市房地产，为所有。根据《不动产权证书》[]，估价对象建筑面积为68.07平方米，（分摊）出让国有建设用地使用权面积为平方米。估价对象用途为。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2018年6月11日（评估专业人员实地查勘之日）</v>
      </c>
    </row>
    <row r="10" spans="1:2">
      <c r="A10" s="1702" t="s">
        <v>1117</v>
      </c>
      <c r="B10" s="1689" t="str">
        <f>'预评函-1'!A13</f>
        <v>本次估价的“房地产价值”是指在正常市场情况下，在价值时点2018年6月11日，估价对象规划用途为，假定未设立法定优先受偿款下的房地产市场价值。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68.069999999999993</v>
      </c>
    </row>
    <row r="19" spans="1:2">
      <c r="A19" s="1702" t="s">
        <v>1126</v>
      </c>
      <c r="B19" s="1689">
        <f ca="1">'预评函-2（1）'!D7</f>
        <v>3536237</v>
      </c>
    </row>
    <row r="20" spans="1:2">
      <c r="A20" s="1702" t="s">
        <v>1164</v>
      </c>
      <c r="B20" s="1689" t="str">
        <f>'预评函-2（1）'!C7</f>
        <v>总价（元）</v>
      </c>
    </row>
    <row r="21" spans="1:2">
      <c r="A21" s="1702" t="s">
        <v>1127</v>
      </c>
      <c r="B21" s="1689">
        <f ca="1">'预评函-2（1）'!D9</f>
        <v>51950</v>
      </c>
    </row>
    <row r="22" spans="1:2">
      <c r="A22" s="1702" t="s">
        <v>1128</v>
      </c>
      <c r="B22" s="1689" t="str">
        <f ca="1">'预评函-2（1）'!D8</f>
        <v>叁佰伍拾叁万陆仟贰佰叁拾柒元整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3536237</v>
      </c>
    </row>
    <row r="30" spans="1:2">
      <c r="A30" s="1702" t="s">
        <v>1134</v>
      </c>
      <c r="B30" s="1689" t="str">
        <f ca="1">'预评函-2（1）'!D16</f>
        <v>叁佰伍拾叁万陆仟贰佰叁拾柒元整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3405406</v>
      </c>
    </row>
    <row r="38" spans="1:2">
      <c r="A38" s="1702" t="s">
        <v>1142</v>
      </c>
      <c r="B38" s="1689">
        <f ca="1">'预评函-2（2）'!E4</f>
        <v>50028</v>
      </c>
    </row>
    <row r="39" spans="1:2">
      <c r="A39" s="1702" t="s">
        <v>1143</v>
      </c>
      <c r="B39" s="1689" t="str">
        <f ca="1">'预评函-2（2）'!D5</f>
        <v>叁佰肆拾万伍仟肆佰零陆元整</v>
      </c>
    </row>
    <row r="40" spans="1:2">
      <c r="A40" s="1702" t="s">
        <v>1144</v>
      </c>
      <c r="B40" s="1689">
        <f ca="1">'预评函-2（2）'!F4</f>
        <v>130831</v>
      </c>
    </row>
    <row r="41" spans="1:2">
      <c r="A41" s="1702" t="s">
        <v>1145</v>
      </c>
      <c r="B41" s="1689">
        <f ca="1">'预评函-2（2）'!G4</f>
        <v>1922</v>
      </c>
    </row>
    <row r="42" spans="1:2" s="1699" customFormat="1" ht="15.75" thickBot="1">
      <c r="A42" s="1703" t="s">
        <v>1146</v>
      </c>
      <c r="B42" s="1691" t="str">
        <f ca="1">'预评函-2（2）'!F5</f>
        <v>壹拾叁万零捌佰叁拾壹元整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51950</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18" sqref="C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43262</v>
      </c>
      <c r="C2" s="1999" t="s">
        <v>1548</v>
      </c>
      <c r="D2" s="1088">
        <v>43262</v>
      </c>
      <c r="E2" s="1064"/>
      <c r="F2" s="1064"/>
      <c r="G2" s="1683"/>
      <c r="H2" s="1020"/>
    </row>
    <row r="3" spans="1:10" ht="13.5" thickBot="1">
      <c r="A3" s="2000" t="s">
        <v>1549</v>
      </c>
      <c r="B3" s="2001" t="s">
        <v>2885</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2880</v>
      </c>
      <c r="E4" s="1064"/>
      <c r="F4" s="1064"/>
      <c r="G4" s="1683"/>
    </row>
    <row r="5" spans="1:10">
      <c r="A5" s="2006" t="s">
        <v>1552</v>
      </c>
      <c r="B5" s="2007"/>
      <c r="C5" s="2008" t="s">
        <v>1553</v>
      </c>
      <c r="D5" s="2009" t="s">
        <v>2881</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2820</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68.069999999999993</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5" sqref="D24:D25"/>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43262</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68.069999999999993</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68829</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70</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122526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1988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6600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-30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5" t="s">
        <v>2908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2894</v>
      </c>
      <c r="D8" s="2152"/>
      <c r="E8" s="2152"/>
      <c r="F8" s="1246"/>
      <c r="G8" s="1246"/>
      <c r="H8" s="2142"/>
      <c r="I8" s="2142"/>
      <c r="J8" s="2142"/>
      <c r="K8" s="2142"/>
      <c r="L8" s="2142"/>
      <c r="M8" s="2142"/>
      <c r="N8" s="2142"/>
      <c r="O8" s="2142"/>
      <c r="P8" s="2142"/>
      <c r="Q8" s="2142"/>
      <c r="R8" s="2142"/>
    </row>
    <row r="9" spans="1:29" ht="67.5">
      <c r="A9" s="411"/>
      <c r="B9" s="1887" t="s">
        <v>1755</v>
      </c>
      <c r="C9" s="2736" t="s">
        <v>2909</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估价对象周边有光彩家园、城市时尚家园、裕隆园、高庄小区等居住小区，小区规模和社区发展完善程度较好，综合评价居住社区成熟度较好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估价对象紧邻城市次干道——石榴庄路，周边地铁10号线（石榴庄）、有71、511、夜2、专4路公交线路等，综合评价交通便捷度较好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自然环境石榴园公园等；人文环境：中国国家博物馆文物科技保护中心、大红门国际会展中心等，综合评价环境状况较好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城市次干道——石榴庄路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43262</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1571479</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23086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68.069999999999993</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68.069999999999993</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43957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147780</v>
      </c>
      <c r="D33" s="183"/>
      <c r="E33" s="1532"/>
      <c r="F33" s="191"/>
      <c r="G33" s="184"/>
    </row>
    <row r="34" spans="1:7" s="206" customFormat="1" ht="13.5" customHeight="1">
      <c r="A34" s="176" t="s">
        <v>2044</v>
      </c>
      <c r="B34" s="177" t="s">
        <v>2066</v>
      </c>
      <c r="C34" s="199">
        <f>IF(B1="仅计算典型户型",'数据-取费表'!F18,'数据-取费表'!E18)</f>
        <v>122526</v>
      </c>
      <c r="D34" s="1533"/>
      <c r="E34" s="199"/>
      <c r="F34" s="1544" t="str">
        <f>IF('数据-取费表'!B25=0,"",'数据-取费表'!E20)</f>
        <v/>
      </c>
      <c r="G34" s="179"/>
    </row>
    <row r="35" spans="1:7" ht="13.5" customHeight="1">
      <c r="A35" s="176" t="s">
        <v>2018</v>
      </c>
      <c r="B35" s="177" t="s">
        <v>2067</v>
      </c>
      <c r="C35" s="199">
        <f>ROUND(C34*F35,0)</f>
        <v>3676</v>
      </c>
      <c r="D35" s="199"/>
      <c r="E35" s="199"/>
      <c r="F35" s="1545">
        <f>'数据-取费表'!E21</f>
        <v>0.03</v>
      </c>
      <c r="G35" s="179" t="s">
        <v>2068</v>
      </c>
    </row>
    <row r="36" spans="1:7" ht="24">
      <c r="A36" s="176" t="s">
        <v>2020</v>
      </c>
      <c r="B36" s="177" t="s">
        <v>2069</v>
      </c>
      <c r="C36" s="199">
        <f>ROUND(IF('数据-取费表'!B10="住宅",C34*F36,0),0)</f>
        <v>6126</v>
      </c>
      <c r="D36" s="199"/>
      <c r="E36" s="199"/>
      <c r="F36" s="1545">
        <f>'数据-取费表'!E22</f>
        <v>0.05</v>
      </c>
      <c r="G36" s="207" t="s">
        <v>2070</v>
      </c>
    </row>
    <row r="37" spans="1:7" s="206" customFormat="1" ht="13.5" customHeight="1">
      <c r="A37" s="176" t="s">
        <v>2051</v>
      </c>
      <c r="B37" s="177" t="s">
        <v>2071</v>
      </c>
      <c r="C37" s="199">
        <f>ROUND(E37*D37,0)</f>
        <v>13614</v>
      </c>
      <c r="D37" s="1533">
        <f>IF(B1="仅计算典型户型",'数据-取费表'!E5,'数据-取费表'!B5)</f>
        <v>68.069999999999993</v>
      </c>
      <c r="E37" s="199">
        <f>'数据-取费表'!E23</f>
        <v>200</v>
      </c>
      <c r="F37" s="1545"/>
      <c r="G37" s="208" t="s">
        <v>2072</v>
      </c>
    </row>
    <row r="38" spans="1:7" ht="13.5" customHeight="1">
      <c r="A38" s="176" t="s">
        <v>2073</v>
      </c>
      <c r="B38" s="177" t="s">
        <v>2074</v>
      </c>
      <c r="C38" s="199">
        <f>ROUND(C34*F38,0)</f>
        <v>1838</v>
      </c>
      <c r="D38" s="199"/>
      <c r="E38" s="199"/>
      <c r="F38" s="1545">
        <f>'数据-取费表'!E24</f>
        <v>1.4999999999999999E-2</v>
      </c>
      <c r="G38" s="179" t="s">
        <v>2068</v>
      </c>
    </row>
    <row r="39" spans="1:7" s="175" customFormat="1" ht="13.5" customHeight="1">
      <c r="A39" s="204" t="s">
        <v>2033</v>
      </c>
      <c r="B39" s="173" t="s">
        <v>2036</v>
      </c>
      <c r="C39" s="183">
        <f>ROUND(C33*F20,0)</f>
        <v>2956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3278</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3214</v>
      </c>
      <c r="D42" s="188"/>
      <c r="E42" s="188"/>
      <c r="F42" s="189"/>
      <c r="G42" s="2978" t="s">
        <v>2078</v>
      </c>
    </row>
    <row r="43" spans="1:7" ht="13.5" customHeight="1">
      <c r="A43" s="176" t="s">
        <v>2018</v>
      </c>
      <c r="B43" s="177" t="s">
        <v>2047</v>
      </c>
      <c r="C43" s="188">
        <f ca="1">ROUND(IF('数据-取费表'!B23&lt;=1,C39*F22*'数据-取费表'!B22/2,C39*(POWER((1+F22),'数据-取费表'!B22/2)-1)),0)</f>
        <v>64</v>
      </c>
      <c r="D43" s="188"/>
      <c r="E43" s="188"/>
      <c r="F43" s="189"/>
      <c r="G43" s="2979"/>
    </row>
    <row r="44" spans="1:7" ht="13.5" customHeight="1">
      <c r="A44" s="176" t="s">
        <v>2020</v>
      </c>
      <c r="B44" s="177" t="s">
        <v>2049</v>
      </c>
      <c r="C44" s="188">
        <f ca="1">ROUND(IF('数据-取费表'!B23&lt;=1,C40*F22*'数据-取费表'!B22/2,C40*(POWER((1+F22),'数据-取费表'!B22/2)-1)),4)</f>
        <v>4.0000000000000002E-4</v>
      </c>
      <c r="D44" s="188"/>
      <c r="E44" s="188"/>
      <c r="F44" s="189"/>
      <c r="G44" s="2980"/>
    </row>
    <row r="45" spans="1:7" s="175" customFormat="1" ht="13.5" customHeight="1">
      <c r="A45" s="204" t="s">
        <v>2042</v>
      </c>
      <c r="B45" s="194" t="s">
        <v>2054</v>
      </c>
      <c r="C45" s="195">
        <f>C46</f>
        <v>37684</v>
      </c>
      <c r="D45" s="185">
        <f>C47</f>
        <v>5.0000000000000001E-3</v>
      </c>
      <c r="E45" s="186" t="s">
        <v>2076</v>
      </c>
      <c r="F45" s="196"/>
      <c r="G45" s="197" t="s">
        <v>2079</v>
      </c>
    </row>
    <row r="46" spans="1:7" s="175" customFormat="1" ht="13.5" customHeight="1">
      <c r="A46" s="176" t="s">
        <v>2044</v>
      </c>
      <c r="B46" s="198" t="s">
        <v>2080</v>
      </c>
      <c r="C46" s="199">
        <f>ROUND((C33+C39)*F27,0)</f>
        <v>37684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208073</v>
      </c>
      <c r="D49" s="183"/>
      <c r="E49" s="183"/>
      <c r="F49" s="210"/>
      <c r="G49" s="184" t="s">
        <v>2086</v>
      </c>
    </row>
    <row r="50" spans="1:7" s="206" customFormat="1" ht="24">
      <c r="A50" s="1305" t="s">
        <v>2087</v>
      </c>
      <c r="B50" s="173" t="s">
        <v>2088</v>
      </c>
      <c r="C50" s="183"/>
      <c r="D50" s="183"/>
      <c r="E50" s="183"/>
      <c r="F50" s="210">
        <f>IF('数据-取费表'!B25=0,'数据-取费表'!E20,1)</f>
        <v>0.6</v>
      </c>
      <c r="G50" s="197" t="s">
        <v>2089</v>
      </c>
    </row>
    <row r="51" spans="1:7" ht="16.5" customHeight="1">
      <c r="A51" s="1305" t="s">
        <v>2090</v>
      </c>
      <c r="B51" s="173" t="s">
        <v>2091</v>
      </c>
      <c r="C51" s="183">
        <f ca="1">ROUND(C49*F50,0)</f>
        <v>124844</v>
      </c>
      <c r="D51" s="183"/>
      <c r="E51" s="183"/>
      <c r="F51" s="210"/>
      <c r="G51" s="184" t="s">
        <v>2092</v>
      </c>
    </row>
    <row r="52" spans="1:7" s="172" customFormat="1" ht="16.5" thickBot="1">
      <c r="A52" s="211" t="s">
        <v>2093</v>
      </c>
      <c r="B52" s="212"/>
      <c r="C52" s="213">
        <f ca="1">C31+C51</f>
        <v>1571479</v>
      </c>
      <c r="D52" s="212"/>
      <c r="E52" s="212"/>
      <c r="F52" s="212"/>
      <c r="G52" s="214"/>
    </row>
    <row r="55" spans="1:7" ht="15">
      <c r="B55" s="216" t="s">
        <v>2094</v>
      </c>
      <c r="C55" s="217"/>
    </row>
    <row r="56" spans="1:7">
      <c r="B56" s="219" t="s">
        <v>2095</v>
      </c>
      <c r="C56" s="220">
        <f ca="1">ROUND(C51/C52,3)</f>
        <v>7.9000000000000001E-2</v>
      </c>
    </row>
    <row r="57" spans="1:7">
      <c r="B57" s="219" t="s">
        <v>2096</v>
      </c>
      <c r="C57" s="221">
        <f ca="1">1-C56</f>
        <v>0.92100000000000004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3372236</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49541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75334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75240</v>
      </c>
      <c r="D6" s="80" t="s">
        <v>2805</v>
      </c>
      <c r="E6" s="319" t="s">
        <v>2109</v>
      </c>
      <c r="F6" s="320">
        <f>'数据-取费表'!B29</f>
        <v>6600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94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124844</v>
      </c>
      <c r="D13" s="1422" t="s">
        <v>2124</v>
      </c>
      <c r="E13" s="1422" t="s">
        <v>2125</v>
      </c>
      <c r="F13" s="1423">
        <f>'数据-取费表'!E20</f>
        <v>0.6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122526</v>
      </c>
      <c r="D14" s="1888" t="s">
        <v>2128</v>
      </c>
      <c r="E14" s="1889"/>
      <c r="F14" s="979"/>
      <c r="G14" s="1239"/>
      <c r="H14" s="337" t="s">
        <v>2107</v>
      </c>
      <c r="I14" s="319" t="s">
        <v>2129</v>
      </c>
      <c r="J14" s="14">
        <f ca="1">C29</f>
        <v>208073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3676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6126</v>
      </c>
      <c r="D16" s="319" t="s">
        <v>2132</v>
      </c>
      <c r="E16" s="319" t="s">
        <v>2133</v>
      </c>
      <c r="F16" s="342">
        <f>IF('数据-取费表'!B10="住宅",'数据-取费表'!E22,0)</f>
        <v>0.05</v>
      </c>
      <c r="G16" s="1239"/>
      <c r="H16" s="1420" t="s">
        <v>14</v>
      </c>
      <c r="I16" s="1421" t="s">
        <v>2138</v>
      </c>
      <c r="J16" s="327">
        <f ca="1">ROUND(J17+J22+J23+J24,0)</f>
        <v>2081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13614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1838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147780</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2956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2081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3278</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-2081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37684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208073</v>
      </c>
      <c r="D29" s="1433"/>
      <c r="E29" s="1431"/>
      <c r="F29" s="1434"/>
      <c r="G29" s="791"/>
      <c r="H29" s="356" t="s">
        <v>24</v>
      </c>
      <c r="I29" s="357" t="s">
        <v>2203</v>
      </c>
      <c r="J29" s="358">
        <f ca="1">ROUND(J26/(1+F40)^F41,0)</f>
        <v>0</v>
      </c>
      <c r="K29" s="359" t="s">
        <v>2204</v>
      </c>
      <c r="L29" s="360"/>
      <c r="M29" s="361">
        <f>IF(D1="仅计算典型户型",'数据-取费表'!E5,'数据-取费表'!B5)</f>
        <v>68.069999999999993</v>
      </c>
    </row>
    <row r="30" spans="1:37" ht="18" customHeight="1" thickTop="1">
      <c r="A30" s="1420" t="s">
        <v>14</v>
      </c>
      <c r="B30" s="1421" t="s">
        <v>2205</v>
      </c>
      <c r="C30" s="327">
        <f ca="1">ROUND(C31+C36+C37+C38,0)</f>
        <v>6726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3766.7</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9988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2081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125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753</v>
      </c>
      <c r="D38" s="1433" t="s">
        <v>2180</v>
      </c>
      <c r="E38" s="1431" t="s">
        <v>2176</v>
      </c>
      <c r="F38" s="1426">
        <f>'数据-取费表'!B46</f>
        <v>0.01</v>
      </c>
      <c r="G38" s="791"/>
      <c r="H38" s="1230"/>
      <c r="I38" s="365" t="s">
        <v>2218</v>
      </c>
      <c r="J38" s="220">
        <f ca="1">ROUND(J34/C39,3)</f>
        <v>0.14599999999999999</v>
      </c>
      <c r="K38" s="1235"/>
      <c r="L38" s="1230"/>
      <c r="M38" s="1230"/>
    </row>
    <row r="39" spans="1:18" ht="18" customHeight="1" thickTop="1">
      <c r="A39" s="1420" t="s">
        <v>22</v>
      </c>
      <c r="B39" s="1435" t="s">
        <v>2219</v>
      </c>
      <c r="C39" s="327">
        <f ca="1">C5-C30</f>
        <v>68608</v>
      </c>
      <c r="D39" s="1436" t="s">
        <v>2220</v>
      </c>
      <c r="E39" s="1437"/>
      <c r="F39" s="1438"/>
      <c r="G39" s="791"/>
      <c r="H39" s="1230"/>
      <c r="I39" s="365" t="s">
        <v>2221</v>
      </c>
      <c r="J39" s="220">
        <f ca="1">1-J38</f>
        <v>0.85399999999999998</v>
      </c>
      <c r="K39" s="1235"/>
      <c r="L39" s="1230"/>
      <c r="M39" s="1230"/>
    </row>
    <row r="40" spans="1:18" s="791" customFormat="1" ht="18" customHeight="1">
      <c r="A40" s="316" t="s">
        <v>23</v>
      </c>
      <c r="B40" s="317" t="s">
        <v>2222</v>
      </c>
      <c r="C40" s="318">
        <f ca="1">ROUND(C39*(1-((1+F42)/(1+F40))^F41)/(F40-F42),0)</f>
        <v>3372236</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2877</v>
      </c>
      <c r="F41" s="355">
        <f>IF('数据-取费表'!B28="租赁期内按合同租金",'数据-取费表'!B34,IF(E41="收益年期(n)",'数据-取费表'!B33,'数据-取费表'!B13))</f>
        <v>70</v>
      </c>
      <c r="H41" s="1237"/>
      <c r="I41" s="219" t="s">
        <v>2095</v>
      </c>
      <c r="J41" s="220">
        <f ca="1">ROUND(C13/C40,3)</f>
        <v>3.6999999999999998E-2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0.96299999999999997</v>
      </c>
      <c r="K42" s="1234"/>
      <c r="L42" s="1237"/>
      <c r="M42" s="1237"/>
      <c r="Q42" s="795"/>
    </row>
    <row r="43" spans="1:18" s="791" customFormat="1" ht="18" customHeight="1" thickBot="1">
      <c r="A43" s="356" t="s">
        <v>24</v>
      </c>
      <c r="B43" s="357" t="s">
        <v>2225</v>
      </c>
      <c r="C43" s="358">
        <f ca="1">ROUND(C40/F43,0)</f>
        <v>49541</v>
      </c>
      <c r="D43" s="359" t="s">
        <v>2226</v>
      </c>
      <c r="E43" s="360" t="s">
        <v>2227</v>
      </c>
      <c r="F43" s="361">
        <f>IF(D1="仅计算典型户型",'数据-取费表'!E5,'数据-取费表'!B5)</f>
        <v>68.069999999999993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3372236</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-3423844</v>
      </c>
      <c r="D47" s="2345" t="str">
        <f>C2</f>
        <v>元</v>
      </c>
      <c r="E47" s="776"/>
      <c r="F47" s="776"/>
      <c r="I47" s="2346" t="s">
        <v>2238</v>
      </c>
      <c r="J47" s="1343"/>
      <c r="K47" s="1344"/>
      <c r="L47" s="1357">
        <f>IF(M48="住宅",0,IF(L49&gt;J52,L61,J61))</f>
        <v>0</v>
      </c>
      <c r="O47" s="1371" t="s">
        <v>960</v>
      </c>
      <c r="P47" s="1368" t="s">
        <v>2239</v>
      </c>
      <c r="Q47" s="1369">
        <f ca="1">C29</f>
        <v>208073</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70</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1988</v>
      </c>
      <c r="K50" s="2354" t="s">
        <v>2255</v>
      </c>
      <c r="L50" s="1346"/>
      <c r="O50" s="1371" t="s">
        <v>963</v>
      </c>
      <c r="P50" s="1368" t="s">
        <v>2256</v>
      </c>
      <c r="Q50" s="1369">
        <f>J54</f>
        <v>-30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3372236</v>
      </c>
      <c r="R51" s="1370" t="s">
        <v>965</v>
      </c>
    </row>
    <row r="52" spans="1:18" s="791" customFormat="1" ht="16.5" thickBot="1">
      <c r="A52" s="321"/>
      <c r="B52" s="322"/>
      <c r="C52" s="323"/>
      <c r="D52" s="324"/>
      <c r="E52" s="319" t="s">
        <v>2112</v>
      </c>
      <c r="F52" s="320">
        <f>F8</f>
        <v>12</v>
      </c>
      <c r="I52" s="2355" t="s">
        <v>2260</v>
      </c>
      <c r="J52" s="1348">
        <f>IF(J50="",J51,J50+J51-YEAR('数据-取费表'!B2))</f>
        <v>-30</v>
      </c>
      <c r="K52" s="2356" t="s">
        <v>2261</v>
      </c>
      <c r="L52" s="1349">
        <f ca="1">ROUND(-PV('数据-取费表'!B15,L49,(C40-C13*J35)),0)</f>
        <v>78658172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-30</v>
      </c>
      <c r="K54" s="2981" t="s">
        <v>2804</v>
      </c>
      <c r="L54" s="2982"/>
      <c r="O54" s="1367" t="s">
        <v>958</v>
      </c>
      <c r="P54" s="1368" t="s">
        <v>2233</v>
      </c>
      <c r="Q54" s="1369">
        <f ca="1">C40+J29</f>
        <v>3372236</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124844</v>
      </c>
      <c r="D57" s="1294"/>
      <c r="E57" s="1295"/>
      <c r="F57" s="1302"/>
      <c r="I57" s="2365" t="s">
        <v>2271</v>
      </c>
      <c r="J57" s="1355" t="s">
        <v>2878</v>
      </c>
      <c r="K57" s="2350" t="s">
        <v>2272</v>
      </c>
      <c r="L57" s="1128">
        <f>IF(L49&lt;J52,"——",L49-J52)</f>
        <v>100</v>
      </c>
      <c r="O57" s="1371" t="s">
        <v>961</v>
      </c>
      <c r="P57" s="1368" t="s">
        <v>2273</v>
      </c>
      <c r="Q57" s="1372">
        <f>L53</f>
        <v>0</v>
      </c>
      <c r="R57" s="1370"/>
    </row>
    <row r="58" spans="1:18" s="791" customFormat="1" ht="29.25" thickBot="1">
      <c r="A58" s="1301"/>
      <c r="B58" s="319" t="s">
        <v>2202</v>
      </c>
      <c r="C58" s="188">
        <f ca="1">C29</f>
        <v>208073</v>
      </c>
      <c r="D58" s="1294"/>
      <c r="E58" s="1295"/>
      <c r="F58" s="1302"/>
      <c r="I58" s="2366" t="s">
        <v>2274</v>
      </c>
      <c r="J58" s="1354" t="str">
        <f>IF(OR(M48="住宅",J52&lt;L49,J57="是"),"——",J52-L49)</f>
        <v>——</v>
      </c>
      <c r="K58" s="2350" t="s">
        <v>2275</v>
      </c>
      <c r="L58" s="1128">
        <f ca="1">IF(L49&lt;J52,"——",IF(L56="比较法",L50,IF(L56="基准地价",L51,L52)))</f>
        <v>78658172</v>
      </c>
      <c r="O58" s="1371" t="s">
        <v>962</v>
      </c>
      <c r="P58" s="1368" t="s">
        <v>2276</v>
      </c>
      <c r="Q58" s="1369" t="e">
        <f>L59</f>
        <v>#DIV/0!</v>
      </c>
      <c r="R58" s="1370" t="s">
        <v>2277</v>
      </c>
    </row>
    <row r="59" spans="1:18" s="791" customFormat="1" ht="29.25" thickBot="1">
      <c r="A59" s="332" t="s">
        <v>14</v>
      </c>
      <c r="B59" s="333" t="s">
        <v>2205</v>
      </c>
      <c r="C59" s="334">
        <f ca="1">ROUND(C60+C65+C66+C67,0)</f>
        <v>2206</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3372236</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3372236</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2081</v>
      </c>
      <c r="D65" s="1893" t="s">
        <v>2215</v>
      </c>
      <c r="E65" s="319" t="s">
        <v>2159</v>
      </c>
      <c r="F65" s="350">
        <f t="shared" si="0"/>
        <v>0.01</v>
      </c>
      <c r="I65" s="2369" t="s">
        <v>2296</v>
      </c>
      <c r="J65" s="1874">
        <v>50</v>
      </c>
      <c r="K65" s="1874">
        <v>35</v>
      </c>
      <c r="L65" s="1874">
        <v>60</v>
      </c>
      <c r="M65" s="1873">
        <v>0</v>
      </c>
      <c r="O65" s="1371" t="s">
        <v>960</v>
      </c>
      <c r="P65" s="1368" t="s">
        <v>2270</v>
      </c>
      <c r="Q65" s="1373">
        <f ca="1">L52</f>
        <v>78658172</v>
      </c>
      <c r="R65" s="1374" t="s">
        <v>2297</v>
      </c>
    </row>
    <row r="66" spans="1:18" s="791" customFormat="1" ht="20.25" thickBot="1">
      <c r="A66" s="337" t="s">
        <v>20</v>
      </c>
      <c r="B66" s="319" t="s">
        <v>2174</v>
      </c>
      <c r="C66" s="14">
        <f ca="1">ROUND(C57*F66,0)</f>
        <v>125</v>
      </c>
      <c r="D66" s="1893" t="s">
        <v>2175</v>
      </c>
      <c r="E66" s="319" t="s">
        <v>2176</v>
      </c>
      <c r="F66" s="351">
        <f t="shared" si="0"/>
        <v>1E-3</v>
      </c>
      <c r="I66" s="2369" t="s">
        <v>2298</v>
      </c>
      <c r="J66" s="1874">
        <v>40</v>
      </c>
      <c r="K66" s="1874">
        <v>30</v>
      </c>
      <c r="L66" s="1874">
        <v>50</v>
      </c>
      <c r="M66" s="1872">
        <v>0.02</v>
      </c>
      <c r="O66" s="1371" t="s">
        <v>961</v>
      </c>
      <c r="P66" s="1375" t="s">
        <v>2299</v>
      </c>
      <c r="Q66" s="1369">
        <f ca="1">ROUND(Q67-Q68*Q69,0)</f>
        <v>58620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68608</v>
      </c>
      <c r="R67" s="1370" t="s">
        <v>2234</v>
      </c>
    </row>
    <row r="68" spans="1:18" ht="15.75" thickBot="1">
      <c r="A68" s="332" t="s">
        <v>22</v>
      </c>
      <c r="B68" s="89" t="s">
        <v>2184</v>
      </c>
      <c r="C68" s="334">
        <f ca="1">C49-C59</f>
        <v>-2206</v>
      </c>
      <c r="D68" s="1888" t="s">
        <v>2185</v>
      </c>
      <c r="E68" s="1892"/>
      <c r="F68" s="353"/>
      <c r="H68" s="791"/>
      <c r="I68" s="791"/>
      <c r="J68" s="791"/>
      <c r="K68" s="791"/>
      <c r="L68" s="791"/>
      <c r="M68" s="791"/>
      <c r="O68" s="1371" t="s">
        <v>967</v>
      </c>
      <c r="P68" s="1375" t="s">
        <v>2301</v>
      </c>
      <c r="Q68" s="1369">
        <f ca="1">C13</f>
        <v>124844</v>
      </c>
      <c r="R68" s="1370" t="s">
        <v>2234</v>
      </c>
    </row>
    <row r="69" spans="1:18" ht="15.75" thickBot="1">
      <c r="A69" s="316" t="s">
        <v>23</v>
      </c>
      <c r="B69" s="317" t="s">
        <v>2222</v>
      </c>
      <c r="C69" s="318">
        <f ca="1">ROUND(C68*(1-((1+F71)/(1+F69))^F70)/(F69-F71),0)</f>
        <v>-51608</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70</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-758</v>
      </c>
      <c r="D72" s="359" t="s">
        <v>2226</v>
      </c>
      <c r="E72" s="360" t="s">
        <v>2227</v>
      </c>
      <c r="F72" s="361">
        <f>F43</f>
        <v>68.069999999999993</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3372236</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90" zoomScaleNormal="90" workbookViewId="0">
      <selection activeCell="H105" sqref="H10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3578576</v>
      </c>
      <c r="C2" s="163" t="str">
        <f>'数据-取费表'!B3</f>
        <v>元</v>
      </c>
      <c r="D2" s="2385" t="s">
        <v>1255</v>
      </c>
      <c r="E2" s="1843">
        <f ca="1">SUMIF(INDIRECT("'"&amp;G2&amp;"'"&amp;"!A:A"),"承租人权益价值",INDIRECT("'"&amp;G2&amp;"'"&amp;"!c:c"))</f>
        <v>-3423844</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52572</v>
      </c>
      <c r="C3" s="379" t="s">
        <v>2340</v>
      </c>
      <c r="D3" s="378">
        <f>IF(C1="仅计算典型户型",'数据-取费表'!E5,'数据-取费表'!B5)</f>
        <v>68.069999999999993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2888</v>
      </c>
      <c r="D5" s="3029"/>
      <c r="E5" s="3054" t="s">
        <v>2889</v>
      </c>
      <c r="F5" s="3055"/>
      <c r="G5" s="3028" t="s">
        <v>2889</v>
      </c>
      <c r="H5" s="3029"/>
      <c r="I5" s="3028" t="s">
        <v>2889</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v>43236</v>
      </c>
      <c r="F7" s="392">
        <f>SUMIF(58:58,YEAR(E7)&amp;"-"&amp;MONTH(E7),59:59)</f>
        <v>100</v>
      </c>
      <c r="G7" s="391">
        <v>43223</v>
      </c>
      <c r="H7" s="390">
        <f>SUMIF(58:58,YEAR(G7)&amp;"-"&amp;MONTH(G7),59:59)</f>
        <v>100</v>
      </c>
      <c r="I7" s="391">
        <v>43223</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2890</v>
      </c>
      <c r="D10" s="52">
        <v>100</v>
      </c>
      <c r="E10" s="404" t="s">
        <v>2890</v>
      </c>
      <c r="F10" s="405">
        <f>SUMIF(65:65,E10,66:66)-SUMIF(65:65,C10,66:66)+100</f>
        <v>100</v>
      </c>
      <c r="G10" s="403" t="s">
        <v>2890</v>
      </c>
      <c r="H10" s="52">
        <f>SUMIF(65:65,G10,66:66)-SUMIF(65:65,C10,66:66)+100</f>
        <v>100</v>
      </c>
      <c r="I10" s="403" t="s">
        <v>2890</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估价对象周边有光彩家园、城市时尚家园、裕隆园、高庄小区等居住小区，小区规模和社区发展完善程度较好，综合评价居住社区成熟度较好</v>
      </c>
      <c r="D15" s="420">
        <v>100</v>
      </c>
      <c r="E15" s="2741" t="s">
        <v>2891</v>
      </c>
      <c r="F15" s="422">
        <f>SUMIF(76:76,E16,77:77)-SUMIF(76:76,C16,77:77)+100</f>
        <v>100</v>
      </c>
      <c r="G15" s="2741" t="s">
        <v>2891</v>
      </c>
      <c r="H15" s="420">
        <f>SUMIF(76:76,G16,77:77)-SUMIF(76:76,C16,77:77)+100</f>
        <v>100</v>
      </c>
      <c r="I15" s="2741" t="s">
        <v>2891</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估价对象紧邻城市次干道——石榴庄路，周边地铁10号线（石榴庄）、有71、511、夜2、专4路公交线路等，综合评价交通便捷度较好</v>
      </c>
      <c r="D17" s="430">
        <v>100</v>
      </c>
      <c r="E17" s="2752" t="s">
        <v>2893</v>
      </c>
      <c r="F17" s="433">
        <f>SUMIF(78:78,E18,79:79)-SUMIF(78:78,C18,79:79)+100</f>
        <v>100</v>
      </c>
      <c r="G17" s="2752" t="s">
        <v>2893</v>
      </c>
      <c r="H17" s="435">
        <f>SUMIF(78:78,G18,79:79)-SUMIF(78:78,C18,79:79)+100</f>
        <v>100</v>
      </c>
      <c r="I17" s="2752" t="s">
        <v>2893</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2886</v>
      </c>
      <c r="F21" s="439">
        <f>SUMIF(82:82,E22,83:83)-SUMIF(82:82,C22,83:83)+100</f>
        <v>100</v>
      </c>
      <c r="G21" s="2742" t="s">
        <v>2886</v>
      </c>
      <c r="H21" s="430">
        <f>SUMIF(82:82,G22,83:83)-SUMIF(82:82,C22,83:83)+100</f>
        <v>100</v>
      </c>
      <c r="I21" s="2742" t="s">
        <v>2886</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111.75" customHeight="1">
      <c r="A23" s="408"/>
      <c r="B23" s="431" t="s">
        <v>1755</v>
      </c>
      <c r="C23" s="2407" t="str">
        <f>估价对象房地状况!C9</f>
        <v>自然环境石榴园公园等；人文环境：中国国家博物馆文物科技保护中心、大红门国际会展中心等，综合评价环境状况较好</v>
      </c>
      <c r="D23" s="430">
        <v>100</v>
      </c>
      <c r="E23" s="2753" t="s">
        <v>2895</v>
      </c>
      <c r="F23" s="433">
        <f>SUMIF(84:84,E24,85:85)-SUMIF(84:84,C24,85:85)+100</f>
        <v>100</v>
      </c>
      <c r="G23" s="2753" t="s">
        <v>2895</v>
      </c>
      <c r="H23" s="430">
        <f>SUMIF(84:84,G24,85:85)-SUMIF(84:84,C24,85:85)+100</f>
        <v>100</v>
      </c>
      <c r="I23" s="2753" t="s">
        <v>2895</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2882</v>
      </c>
      <c r="D26" s="415">
        <v>100</v>
      </c>
      <c r="E26" s="2411" t="s">
        <v>2897</v>
      </c>
      <c r="F26" s="442">
        <f>SUMIF(88:88,E26,89:89)-SUMIF(88:88,C26,89:89)+100</f>
        <v>97</v>
      </c>
      <c r="G26" s="2412" t="s">
        <v>2882</v>
      </c>
      <c r="H26" s="415">
        <f>SUMIF(88:88,G26,89:89)-SUMIF(88:88,C26,89:89)+100</f>
        <v>100</v>
      </c>
      <c r="I26" s="2411" t="s">
        <v>2897</v>
      </c>
      <c r="J26" s="415">
        <f>SUMIF(88:88,I26,89:89)-SUMIF(88:88,C26,89:89)+100</f>
        <v>97</v>
      </c>
      <c r="K26" s="406">
        <v>1</v>
      </c>
      <c r="L26" s="1253"/>
      <c r="M26" s="1244"/>
      <c r="N26" s="1244"/>
      <c r="O26" s="1244"/>
      <c r="P26" s="3018"/>
      <c r="Q26" s="1899" t="str">
        <f t="shared" si="11"/>
        <v>朝向</v>
      </c>
      <c r="R26" s="753" t="s">
        <v>28</v>
      </c>
      <c r="S26" s="754">
        <f>F26</f>
        <v>97</v>
      </c>
      <c r="T26" s="753" t="s">
        <v>28</v>
      </c>
      <c r="U26" s="754">
        <f>H26</f>
        <v>100</v>
      </c>
      <c r="V26" s="753" t="s">
        <v>28</v>
      </c>
      <c r="W26" s="754">
        <f>J26</f>
        <v>97</v>
      </c>
      <c r="X26" s="1900"/>
      <c r="Y26" s="3020"/>
      <c r="Z26" s="1902" t="str">
        <f>Q26</f>
        <v>朝向</v>
      </c>
      <c r="AA26" s="1903">
        <f t="shared" si="3"/>
        <v>1.0309278350515463</v>
      </c>
      <c r="AB26" s="1903">
        <f t="shared" si="4"/>
        <v>1</v>
      </c>
      <c r="AC26" s="1903">
        <f t="shared" si="5"/>
        <v>1.0309278350515463</v>
      </c>
    </row>
    <row r="27" spans="1:29" s="35" customFormat="1" ht="15">
      <c r="A27" s="411"/>
      <c r="B27" s="2400" t="s">
        <v>2369</v>
      </c>
      <c r="C27" s="2743" t="s">
        <v>2887</v>
      </c>
      <c r="D27" s="443">
        <v>100</v>
      </c>
      <c r="E27" s="2743" t="s">
        <v>2887</v>
      </c>
      <c r="F27" s="445">
        <f>SUMIF(90:90,E27,91:91)-SUMIF(90:90,C27,91:91)+100</f>
        <v>100</v>
      </c>
      <c r="G27" s="2743" t="s">
        <v>2887</v>
      </c>
      <c r="H27" s="443">
        <f>SUMIF(90:90,G27,91:91)-SUMIF(90:90,C27,91:91)+100</f>
        <v>100</v>
      </c>
      <c r="I27" s="2743" t="s">
        <v>2887</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2844</v>
      </c>
      <c r="C28" s="414" t="s">
        <v>2898</v>
      </c>
      <c r="D28" s="415">
        <v>100</v>
      </c>
      <c r="E28" s="2745" t="s">
        <v>2904</v>
      </c>
      <c r="F28" s="442">
        <f>SUMIF(92:92,E28,93:93)-SUMIF(92:92,C28,93:93)+100</f>
        <v>102</v>
      </c>
      <c r="G28" s="2745" t="s">
        <v>2906</v>
      </c>
      <c r="H28" s="415">
        <f>SUMIF(92:92,G28,93:93)-SUMIF(92:92,C28,93:93)+100</f>
        <v>100</v>
      </c>
      <c r="I28" s="2745" t="s">
        <v>2900</v>
      </c>
      <c r="J28" s="415">
        <f>SUMIF(92:92,I28,93:93)-SUMIF(92:92,C28,93:93)+100</f>
        <v>102</v>
      </c>
      <c r="K28" s="2401"/>
      <c r="L28" s="1253"/>
      <c r="M28" s="1244"/>
      <c r="N28" s="1244"/>
      <c r="O28" s="1244"/>
      <c r="P28" s="3018"/>
      <c r="Q28" s="1899" t="str">
        <f t="shared" si="11"/>
        <v>楼层</v>
      </c>
      <c r="R28" s="753" t="s">
        <v>28</v>
      </c>
      <c r="S28" s="754">
        <f t="shared" ref="S28:S46" si="12">F28</f>
        <v>102</v>
      </c>
      <c r="T28" s="753" t="s">
        <v>28</v>
      </c>
      <c r="U28" s="754">
        <f t="shared" ref="U28:U46" si="13">H28</f>
        <v>100</v>
      </c>
      <c r="V28" s="753" t="s">
        <v>28</v>
      </c>
      <c r="W28" s="754">
        <f t="shared" ref="W28:W46" si="14">J28</f>
        <v>102</v>
      </c>
      <c r="X28" s="1900"/>
      <c r="Y28" s="3020"/>
      <c r="Z28" s="1902" t="str">
        <f t="shared" ref="Z28:Z46" si="15">Q28</f>
        <v>楼层</v>
      </c>
      <c r="AA28" s="1903">
        <f t="shared" si="3"/>
        <v>0.98039215686274506</v>
      </c>
      <c r="AB28" s="1903">
        <f t="shared" si="4"/>
        <v>1</v>
      </c>
      <c r="AC28" s="1903">
        <f t="shared" si="5"/>
        <v>0.98039215686274506</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2883</v>
      </c>
      <c r="D32" s="448">
        <v>100</v>
      </c>
      <c r="E32" s="2415" t="s">
        <v>2883</v>
      </c>
      <c r="F32" s="442">
        <f>SUMIF(100:100,E32,101:101)-SUMIF(100:100,C32,101:101)+100</f>
        <v>100</v>
      </c>
      <c r="G32" s="2414" t="s">
        <v>2883</v>
      </c>
      <c r="H32" s="448">
        <f>SUMIF(100:100,G32,101:101)-SUMIF(100:100,C32,101:101)+100</f>
        <v>100</v>
      </c>
      <c r="I32" s="2415" t="s">
        <v>2883</v>
      </c>
      <c r="J32" s="415">
        <f>SUMIF(100:100,I32,101:101)-SUMIF(100:100,C32,101:101)+100</f>
        <v>100</v>
      </c>
      <c r="K32" s="406">
        <v>2</v>
      </c>
      <c r="L32" s="1253"/>
      <c r="M32" s="1244"/>
      <c r="N32" s="1244"/>
      <c r="O32" s="1244"/>
      <c r="P32" s="3021" t="s">
        <v>2372</v>
      </c>
      <c r="Q32" s="1899" t="str">
        <f t="shared" si="11"/>
        <v>建筑类型</v>
      </c>
      <c r="R32" s="753" t="s">
        <v>28</v>
      </c>
      <c r="S32" s="754">
        <f t="shared" si="12"/>
        <v>100</v>
      </c>
      <c r="T32" s="753" t="s">
        <v>28</v>
      </c>
      <c r="U32" s="754">
        <f t="shared" si="13"/>
        <v>100</v>
      </c>
      <c r="V32" s="753" t="s">
        <v>28</v>
      </c>
      <c r="W32" s="754">
        <f t="shared" si="14"/>
        <v>100</v>
      </c>
      <c r="X32" s="1900"/>
      <c r="Y32" s="3024"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68.069999999999993</v>
      </c>
      <c r="D33" s="52">
        <v>100</v>
      </c>
      <c r="E33" s="410">
        <v>56.21</v>
      </c>
      <c r="F33" s="405">
        <f>LOOKUP(E33,103:103,104:104)-LOOKUP(C33,103:103,104:104)+100</f>
        <v>101</v>
      </c>
      <c r="G33" s="409">
        <v>53.9</v>
      </c>
      <c r="H33" s="52">
        <f>LOOKUP(G33,103:103,104:104)-LOOKUP(C33,103:103,104:104)+100</f>
        <v>101</v>
      </c>
      <c r="I33" s="410">
        <v>46.47</v>
      </c>
      <c r="J33" s="52">
        <f>LOOKUP(I33,103:103,104:104)-LOOKUP(C33,103:103,104:104)+100</f>
        <v>102</v>
      </c>
      <c r="K33" s="2401"/>
      <c r="L33" s="1251"/>
      <c r="M33" s="1254"/>
      <c r="N33" s="1254"/>
      <c r="O33" s="1254"/>
      <c r="P33" s="3022"/>
      <c r="Q33" s="755" t="str">
        <f t="shared" si="11"/>
        <v>项目建筑规模</v>
      </c>
      <c r="R33" s="756" t="s">
        <v>28</v>
      </c>
      <c r="S33" s="757">
        <f t="shared" si="12"/>
        <v>101</v>
      </c>
      <c r="T33" s="756" t="s">
        <v>28</v>
      </c>
      <c r="U33" s="757">
        <f t="shared" si="13"/>
        <v>101</v>
      </c>
      <c r="V33" s="756" t="s">
        <v>28</v>
      </c>
      <c r="W33" s="757">
        <f t="shared" si="14"/>
        <v>102</v>
      </c>
      <c r="X33" s="758"/>
      <c r="Y33" s="3024"/>
      <c r="Z33" s="759" t="str">
        <f t="shared" si="15"/>
        <v>项目建筑规模</v>
      </c>
      <c r="AA33" s="1903">
        <f t="shared" si="3"/>
        <v>0.99009900990099009</v>
      </c>
      <c r="AB33" s="1903">
        <f t="shared" si="4"/>
        <v>0.99009900990099009</v>
      </c>
      <c r="AC33" s="1903">
        <f t="shared" si="5"/>
        <v>0.98039215686274506</v>
      </c>
    </row>
    <row r="34" spans="1:29" ht="15">
      <c r="A34" s="453"/>
      <c r="B34" s="402" t="s">
        <v>2374</v>
      </c>
      <c r="C34" s="2416" t="s">
        <v>2901</v>
      </c>
      <c r="D34" s="415">
        <v>100</v>
      </c>
      <c r="E34" s="2417" t="s">
        <v>2901</v>
      </c>
      <c r="F34" s="442">
        <f>SUMIF(105:105,E34,106:106)-SUMIF(105:105,C34,106:106)+100</f>
        <v>100</v>
      </c>
      <c r="G34" s="2416" t="s">
        <v>2901</v>
      </c>
      <c r="H34" s="415">
        <f>SUMIF(105:105,G34,106:106)-SUMIF(105:105,C34,106:106)+100</f>
        <v>100</v>
      </c>
      <c r="I34" s="2417" t="s">
        <v>2901</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2902</v>
      </c>
      <c r="D36" s="415">
        <v>100</v>
      </c>
      <c r="E36" s="2411" t="s">
        <v>2902</v>
      </c>
      <c r="F36" s="442">
        <f>SUMIF(109:109,E36,110:110)-SUMIF(109:109,C36,110:110)+100</f>
        <v>100</v>
      </c>
      <c r="G36" s="2412" t="s">
        <v>2902</v>
      </c>
      <c r="H36" s="415">
        <f>SUMIF(109:109,G36,110:110)-SUMIF(109:109,C36,110:110)+100</f>
        <v>100</v>
      </c>
      <c r="I36" s="2411" t="s">
        <v>2902</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2884</v>
      </c>
      <c r="D38" s="415">
        <v>100</v>
      </c>
      <c r="E38" s="2411" t="s">
        <v>2884</v>
      </c>
      <c r="F38" s="442">
        <f>SUMIF(114:114,E38,115:115)-SUMIF(114:114,C38,115:115)+100</f>
        <v>100</v>
      </c>
      <c r="G38" s="2412" t="s">
        <v>2884</v>
      </c>
      <c r="H38" s="415">
        <f>SUMIF(114:114,G38,115:115)-SUMIF(114:114,C38,115:115)+100</f>
        <v>100</v>
      </c>
      <c r="I38" s="2411" t="s">
        <v>2884</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2843</v>
      </c>
      <c r="D39" s="415">
        <v>100</v>
      </c>
      <c r="E39" s="2411" t="s">
        <v>2843</v>
      </c>
      <c r="F39" s="442">
        <f>SUMIF(116:116,E39,117:117)-SUMIF(116:116,C39,117:117)+100</f>
        <v>100</v>
      </c>
      <c r="G39" s="2412" t="s">
        <v>2843</v>
      </c>
      <c r="H39" s="415">
        <f>SUMIF(116:116,G39,117:117)-SUMIF(116:116,C39,117:117)+100</f>
        <v>100</v>
      </c>
      <c r="I39" s="2411" t="s">
        <v>2843</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2876</v>
      </c>
      <c r="D40" s="415">
        <v>100</v>
      </c>
      <c r="E40" s="2411" t="s">
        <v>2876</v>
      </c>
      <c r="F40" s="442">
        <f>SUMIF(118:118,E40,119:119)-SUMIF(118:118,C40,119:119)+100</f>
        <v>100</v>
      </c>
      <c r="G40" s="2412" t="s">
        <v>2876</v>
      </c>
      <c r="H40" s="415">
        <f>SUMIF(118:118,G40,119:119)-SUMIF(118:118,C40,119:119)+100</f>
        <v>100</v>
      </c>
      <c r="I40" s="2411" t="s">
        <v>2876</v>
      </c>
      <c r="J40" s="415">
        <f>SUMIF(118:118,I40,119:119)-SUMIF(118:118,C40,119:119)+100</f>
        <v>100</v>
      </c>
      <c r="K40" s="406">
        <v>3</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2902</v>
      </c>
      <c r="D42" s="415">
        <v>100</v>
      </c>
      <c r="E42" s="2411" t="s">
        <v>2902</v>
      </c>
      <c r="F42" s="442">
        <f>SUMIF(122:122,E42,123:123)-SUMIF(122:122,C42,123:123)+100</f>
        <v>100</v>
      </c>
      <c r="G42" s="2412" t="s">
        <v>2902</v>
      </c>
      <c r="H42" s="415">
        <f>SUMIF(122:122,G42,123:123)-SUMIF(122:122,C42,123:123)+100</f>
        <v>100</v>
      </c>
      <c r="I42" s="2411" t="s">
        <v>2902</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2845</v>
      </c>
      <c r="C44" s="450">
        <v>1988</v>
      </c>
      <c r="D44" s="52">
        <v>100</v>
      </c>
      <c r="E44" s="450">
        <v>1990</v>
      </c>
      <c r="F44" s="405">
        <f>SUMIF(126:126,E44,127:127)-SUMIF(126:126,C44,127:127)+100</f>
        <v>100.4</v>
      </c>
      <c r="G44" s="450">
        <v>1989</v>
      </c>
      <c r="H44" s="52">
        <f>SUMIF(126:126,G44,127:127)-SUMIF(126:126,C44,127:127)+100</f>
        <v>100.2</v>
      </c>
      <c r="I44" s="450">
        <v>1993</v>
      </c>
      <c r="J44" s="52">
        <f>SUMIF(126:126,I44,127:127)-SUMIF(126:126,C44,127:127)+100</f>
        <v>101</v>
      </c>
      <c r="K44" s="2401"/>
      <c r="L44" s="1245"/>
      <c r="M44" s="1246"/>
      <c r="N44" s="1246"/>
      <c r="O44" s="1246"/>
      <c r="P44" s="3022"/>
      <c r="Q44" s="1887" t="str">
        <f t="shared" si="11"/>
        <v>建成年代</v>
      </c>
      <c r="R44" s="749" t="s">
        <v>28</v>
      </c>
      <c r="S44" s="750">
        <f t="shared" si="12"/>
        <v>100.4</v>
      </c>
      <c r="T44" s="749" t="s">
        <v>28</v>
      </c>
      <c r="U44" s="750">
        <f t="shared" si="13"/>
        <v>100.2</v>
      </c>
      <c r="V44" s="749" t="s">
        <v>28</v>
      </c>
      <c r="W44" s="750">
        <f t="shared" si="14"/>
        <v>101</v>
      </c>
      <c r="X44" s="751"/>
      <c r="Y44" s="3024"/>
      <c r="Z44" s="23" t="str">
        <f t="shared" si="15"/>
        <v>建成年代</v>
      </c>
      <c r="AA44" s="752">
        <f t="shared" si="3"/>
        <v>0.99601593625497997</v>
      </c>
      <c r="AB44" s="752">
        <f t="shared" si="4"/>
        <v>0.99800399201596801</v>
      </c>
      <c r="AC44" s="752">
        <f t="shared" si="5"/>
        <v>0.99009900990099009</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54795</v>
      </c>
      <c r="F47" s="1505"/>
      <c r="G47" s="1506">
        <v>53062</v>
      </c>
      <c r="H47" s="1507"/>
      <c r="I47" s="1504">
        <v>51647</v>
      </c>
      <c r="J47" s="1507"/>
      <c r="K47" s="2418"/>
      <c r="L47" s="1256"/>
      <c r="M47" s="1257"/>
      <c r="N47" s="1244"/>
      <c r="O47" s="1257"/>
      <c r="P47" s="3016" t="str">
        <f>A47</f>
        <v>成交单价（元/平方米）</v>
      </c>
      <c r="Q47" s="3016"/>
      <c r="R47" s="3012">
        <f>E47</f>
        <v>54795</v>
      </c>
      <c r="S47" s="3012"/>
      <c r="T47" s="3012">
        <f>G47</f>
        <v>53062</v>
      </c>
      <c r="U47" s="3012"/>
      <c r="V47" s="3012">
        <f>I47</f>
        <v>51647</v>
      </c>
      <c r="W47" s="3012"/>
      <c r="X47" s="738"/>
      <c r="Y47" s="760"/>
      <c r="Z47" s="738"/>
      <c r="AA47" s="738"/>
      <c r="AB47" s="738"/>
      <c r="AC47" s="738"/>
    </row>
    <row r="48" spans="1:29" ht="15.75" thickBot="1">
      <c r="A48" s="467" t="s">
        <v>2385</v>
      </c>
      <c r="B48" s="468"/>
      <c r="C48" s="1508">
        <f>R49</f>
        <v>52572</v>
      </c>
      <c r="D48" s="1509"/>
      <c r="E48" s="1510">
        <f>R48</f>
        <v>54615</v>
      </c>
      <c r="F48" s="1510"/>
      <c r="G48" s="1508">
        <f>T48</f>
        <v>52432</v>
      </c>
      <c r="H48" s="1509"/>
      <c r="I48" s="1510">
        <f>V48</f>
        <v>50670</v>
      </c>
      <c r="J48" s="1509"/>
      <c r="K48" s="2419"/>
      <c r="L48" s="1256"/>
      <c r="M48" s="1257"/>
      <c r="N48" s="1257"/>
      <c r="O48" s="1257"/>
      <c r="P48" s="3016" t="str">
        <f>A48</f>
        <v>比较价值（元/平方米）</v>
      </c>
      <c r="Q48" s="3016"/>
      <c r="R48" s="3012">
        <f>IF(E1="售价",ROUND(PRODUCT(R47,AA7:AA46),0),ROUND(PRODUCT(R47,AA7:AA46),1))</f>
        <v>54615</v>
      </c>
      <c r="S48" s="3012"/>
      <c r="T48" s="3010">
        <f>IF(E1="售价",ROUND(PRODUCT(T47,AB7:AB46),0),ROUND(PRODUCT(T47,AB7:AB46),1))</f>
        <v>52432</v>
      </c>
      <c r="U48" s="3011"/>
      <c r="V48" s="3012">
        <f>IF(E1="售价",ROUND(PRODUCT(V47,AC7:AC46),0),ROUND(PRODUCT(V47,AC7:AC46),1))</f>
        <v>50670</v>
      </c>
      <c r="W48" s="3012"/>
      <c r="X48" s="738"/>
      <c r="Y48" s="738"/>
      <c r="Z48" s="738"/>
      <c r="AA48" s="738"/>
      <c r="AB48" s="738"/>
      <c r="AC48" s="738"/>
    </row>
    <row r="49" spans="1:29" ht="15.75" thickBot="1">
      <c r="A49" s="473" t="s">
        <v>2386</v>
      </c>
      <c r="B49" s="474"/>
      <c r="C49" s="1511">
        <f>R49</f>
        <v>52572</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52572</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3.2957978577314861E-3</v>
      </c>
      <c r="F52" s="481" t="str">
        <f>IF(OR(E52&gt;=0.3,E52&lt;=-0.3),"超过30%","")</f>
        <v/>
      </c>
      <c r="G52" s="480">
        <f>IF(G47&lt;G48,G48/G47-1,G47/G48-1)</f>
        <v>1.2015563014952768E-2</v>
      </c>
      <c r="H52" s="481" t="str">
        <f>IF(OR(G52&gt;=0.3,G52&lt;=-0.3),"超过30%","")</f>
        <v/>
      </c>
      <c r="I52" s="480">
        <f>IF(I47&lt;I48,I48/I47-1,I47/I48-1)</f>
        <v>1.9281626208802027E-2</v>
      </c>
      <c r="J52" s="481" t="str">
        <f>IF(OR(I52&gt;=0.3,I52&lt;=-0.3),"超过30%","")</f>
        <v/>
      </c>
      <c r="K52" s="1262"/>
      <c r="L52" s="1258"/>
      <c r="M52" s="1257"/>
      <c r="N52" s="1257"/>
      <c r="O52" s="1257"/>
    </row>
    <row r="53" spans="1:29" ht="13.5" customHeight="1">
      <c r="A53" s="1257"/>
      <c r="B53" s="1257"/>
      <c r="C53" s="478" t="s">
        <v>2388</v>
      </c>
      <c r="D53" s="482"/>
      <c r="E53" s="480">
        <f>IF(E48&lt;G48,G48/E48-1,E48/G48-1)</f>
        <v>4.1634879462923324E-2</v>
      </c>
      <c r="F53" s="481" t="str">
        <f>IF(OR(E53&gt;=0.2,E53&lt;=-0.2),"超过20%","")</f>
        <v/>
      </c>
      <c r="G53" s="480">
        <f>IF(G48&lt;I48,I48/G48-1,G48/I48-1)</f>
        <v>3.4774028024472159E-2</v>
      </c>
      <c r="H53" s="481" t="str">
        <f>IF(OR(G53&gt;=0.2,G53&lt;=-0.2),"超过20%","")</f>
        <v/>
      </c>
      <c r="I53" s="480">
        <f>IF(I48&lt;E48,E48/I48-1,I48/E48-1)</f>
        <v>7.7856719952634768E-2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3.2659907278278277E-2</v>
      </c>
      <c r="F54" s="481" t="str">
        <f>IF(OR(E54&gt;=0.3,E54&lt;=-0.3),"超过30%","")</f>
        <v/>
      </c>
      <c r="G54" s="480">
        <f>IF(G47&lt;I47,I47/G47-1,G47/I47-1)</f>
        <v>2.7397525509710086E-2</v>
      </c>
      <c r="H54" s="481" t="str">
        <f>IF(OR(G54&gt;=0.3,G54&lt;=-0.3),"超过30%","")</f>
        <v/>
      </c>
      <c r="I54" s="480">
        <f>IF(I47&lt;E47,E47/I47-1,I47/E47-1)</f>
        <v>6.0952233430789704E-2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2903</v>
      </c>
      <c r="D92" s="2746" t="s">
        <v>2905</v>
      </c>
      <c r="E92" s="2746" t="s">
        <v>2899</v>
      </c>
      <c r="F92" s="537"/>
      <c r="G92" s="567"/>
      <c r="H92" s="567"/>
      <c r="I92" s="567"/>
      <c r="J92" s="567"/>
      <c r="K92" s="568"/>
      <c r="L92" s="569"/>
      <c r="M92" s="570"/>
      <c r="N92" s="1267"/>
      <c r="O92" s="1267"/>
      <c r="P92" s="2427"/>
      <c r="Q92" s="485"/>
    </row>
    <row r="93" spans="1:17" ht="15.75" thickBot="1">
      <c r="A93" s="516"/>
      <c r="B93" s="526"/>
      <c r="C93" s="544">
        <v>100</v>
      </c>
      <c r="D93" s="544">
        <v>102</v>
      </c>
      <c r="E93" s="544">
        <v>100</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30(含)-40</v>
      </c>
      <c r="E102" s="562" t="str">
        <f t="shared" si="23"/>
        <v>40(含)-50</v>
      </c>
      <c r="F102" s="562" t="str">
        <f t="shared" si="23"/>
        <v>50(含)-60</v>
      </c>
      <c r="G102" s="562" t="str">
        <f t="shared" si="23"/>
        <v>60(含)-150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40</v>
      </c>
      <c r="F103" s="579">
        <v>50</v>
      </c>
      <c r="G103" s="579">
        <v>60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99</v>
      </c>
      <c r="E104" s="518">
        <v>98</v>
      </c>
      <c r="F104" s="518">
        <v>97</v>
      </c>
      <c r="G104" s="518">
        <v>96</v>
      </c>
      <c r="H104" s="518">
        <v>95</v>
      </c>
      <c r="I104" s="518">
        <v>88</v>
      </c>
      <c r="J104" s="518">
        <v>86</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1988</v>
      </c>
      <c r="D126" s="537">
        <v>1989</v>
      </c>
      <c r="E126" s="537">
        <v>1990</v>
      </c>
      <c r="F126" s="537">
        <v>1993</v>
      </c>
      <c r="G126" s="537"/>
      <c r="H126" s="538"/>
      <c r="I126" s="538"/>
      <c r="J126" s="538"/>
      <c r="K126" s="538"/>
      <c r="L126" s="539"/>
      <c r="M126" s="540"/>
      <c r="N126" s="1269"/>
      <c r="O126" s="1269"/>
      <c r="P126" s="2428"/>
      <c r="Q126" s="543"/>
    </row>
    <row r="127" spans="1:17" s="452" customFormat="1" ht="15.75" thickBot="1">
      <c r="A127" s="536"/>
      <c r="B127" s="526"/>
      <c r="C127" s="544">
        <v>100</v>
      </c>
      <c r="D127" s="518">
        <v>100.2</v>
      </c>
      <c r="E127" s="518">
        <v>100.4</v>
      </c>
      <c r="F127" s="518">
        <v>101</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68.069999999999993</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43262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28.25">
      <c r="A17" s="408"/>
      <c r="B17" s="431" t="s">
        <v>1750</v>
      </c>
      <c r="C17" s="2407" t="str">
        <f>估价对象房地状况!C6</f>
        <v>估价对象紧邻城市次干道——石榴庄路，周边地铁10号线（石榴庄）、有71、511、夜2、专4路公交线路等，综合评价交通便捷度较好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114">
      <c r="A23" s="408"/>
      <c r="B23" s="431" t="s">
        <v>1755</v>
      </c>
      <c r="C23" s="2458" t="str">
        <f>估价对象房地状况!C9</f>
        <v>自然环境石榴园公园等；人文环境：中国国家博物馆文物科技保护中心、大红门国际会展中心等，综合评价环境状况较好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68.069999999999993</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28.25">
      <c r="A17" s="408"/>
      <c r="B17" s="615" t="s">
        <v>1750</v>
      </c>
      <c r="C17" s="2469" t="str">
        <f>估价对象房地状况!C6</f>
        <v>估价对象紧邻城市次干道——石榴庄路，周边地铁10号线（石榴庄）、有71、511、夜2、专4路公交线路等，综合评价交通便捷度较好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114">
      <c r="A23" s="408"/>
      <c r="B23" s="615" t="s">
        <v>2483</v>
      </c>
      <c r="C23" s="2469" t="str">
        <f>估价对象房地状况!C9</f>
        <v>自然环境石榴园公园等；人文环境：中国国家博物馆文物科技保护中心、大红门国际会展中心等，综合评价环境状况较好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68.069999999999993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68.069999999999993</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估价对象紧邻城市次干道——石榴庄路，周边地铁10号线（石榴庄）、有71、511、夜2、专4路公交线路等，综合评价交通便捷度较好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114">
      <c r="A20" s="383"/>
      <c r="B20" s="615" t="s">
        <v>2510</v>
      </c>
      <c r="C20" s="1482" t="str">
        <f>IF(B1="工业",估价对象房地状况!G7,估价对象房地状况!C9)</f>
        <v>自然环境石榴园公园等；人文环境：中国国家博物馆文物科技保护中心、大红门国际会展中心等，综合评价环境状况较好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68.069999999999993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估价对象紧邻城市次干道——石榴庄路，周边地铁10号线（石榴庄）、有71、511、夜2、专4路公交线路等，综合评价交通便捷度较好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114">
      <c r="A20" s="408"/>
      <c r="B20" s="431" t="s">
        <v>2510</v>
      </c>
      <c r="C20" s="2407" t="str">
        <f>IF(B1="工业",估价对象房地状况!G7,估价对象房地状况!C9)</f>
        <v>自然环境石榴园公园等；人文环境：中国国家博物馆文物科技保护中心、大红门国际会展中心等，综合评价环境状况较好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43262</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28.25">
      <c r="A15" s="380" t="s">
        <v>2365</v>
      </c>
      <c r="B15" s="1487" t="s">
        <v>1741</v>
      </c>
      <c r="C15" s="2468" t="str">
        <f>估价对象房地状况!C15</f>
        <v>估价对象周边有光彩家园、城市时尚家园、裕隆园、高庄小区等居住小区，小区规模和社区发展完善程度较好，综合评价居住社区成熟度较好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28.25">
      <c r="A21" s="383"/>
      <c r="B21" s="1489" t="s">
        <v>2509</v>
      </c>
      <c r="C21" s="2469" t="str">
        <f>估价对象房地状况!C18</f>
        <v>估价对象紧邻城市次干道——石榴庄路，周边地铁10号线（石榴庄）、有71、511、夜2、专4路公交线路等，综合评价交通便捷度较好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114">
      <c r="A25" s="383"/>
      <c r="B25" s="1491" t="s">
        <v>2550</v>
      </c>
      <c r="C25" s="2486" t="str">
        <f>估价对象房地状况!C20</f>
        <v>自然环境石榴园公园等；人文环境：中国国家博物馆文物科技保护中心、大红门国际会展中心等，综合评价环境状况较好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43262</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70</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估价对象紧邻城市次干道——石榴庄路，周边地铁10号线（石榴庄）、有71、511、夜2、专4路公交线路等，综合评价交通便捷度较好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城市次干道——石榴庄路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自然环境石榴园公园等；人文环境：中国国家博物馆文物科技保护中心、大红门国际会展中心等，综合评价环境状况较好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估价对象紧邻城市次干道——石榴庄路，周边地铁10号线（石榴庄）、有71、511、夜2、专4路公交线路等，综合评价交通便捷度较好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城市次干道——石榴庄路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自然环境石榴园公园等；人文环境：中国国家博物馆文物科技保护中心、大红门国际会展中心等，综合评价环境状况较好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估价对象周边有光彩家园、城市时尚家园、裕隆园、高庄小区等居住小区，小区规模和社区发展完善程度较好，综合评价居住社区成熟度较好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估价对象紧邻城市次干道——石榴庄路，周边地铁10号线（石榴庄）、有71、511、夜2、专4路公交线路等，综合评价交通便捷度较好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城市次干道——石榴庄路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自然环境石榴园公园等；人文环境：中国国家博物馆文物科技保护中心、大红门国际会展中心等，综合评价环境状况较好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K28" sqref="K28"/>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2879</v>
      </c>
      <c r="D4" s="2199" t="s">
        <v>2827</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3578576</v>
      </c>
      <c r="D19" s="60">
        <f ca="1">SUMIF(INDIRECT("'"&amp;D4&amp;"'"&amp;"!A:A"),结果表!B19,INDIRECT("'"&amp;D4&amp;"'"&amp;"!B:B"))</f>
        <v>3372236</v>
      </c>
      <c r="E19" s="2206" t="s">
        <v>1796</v>
      </c>
      <c r="F19" s="2207" t="s">
        <v>1795</v>
      </c>
      <c r="G19" s="61">
        <f ca="1">ROUND(C19*$C$18+D19*$D$18,0)</f>
        <v>3537308</v>
      </c>
      <c r="H19" s="2208" t="str">
        <f>'数据-取费表'!B3</f>
        <v>元</v>
      </c>
      <c r="I19" s="2195"/>
    </row>
    <row r="20" spans="1:35" ht="15">
      <c r="A20" s="2209"/>
      <c r="B20" s="2210" t="s">
        <v>1797</v>
      </c>
      <c r="C20" s="62">
        <f ca="1">SUMIF(INDIRECT("'"&amp;C4&amp;"'"&amp;"!A:A"),结果表!B20,INDIRECT("'"&amp;C4&amp;"'"&amp;"!B:B"))</f>
        <v>52572</v>
      </c>
      <c r="D20" s="63">
        <f ca="1">SUMIF(INDIRECT("'"&amp;D4&amp;"'"&amp;"!A:A"),结果表!B20,INDIRECT("'"&amp;D4&amp;"'"&amp;"!B:B"))</f>
        <v>49541</v>
      </c>
      <c r="E20" s="2209"/>
      <c r="F20" s="2210" t="s">
        <v>1797</v>
      </c>
      <c r="G20" s="64">
        <f ca="1">ROUND(C20*$C$18+D20*$D$18,0)</f>
        <v>51966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6.1187888392152834E-2</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1062</v>
      </c>
      <c r="D24" s="994"/>
      <c r="E24" s="2195"/>
      <c r="F24" s="2195"/>
      <c r="G24" s="2195"/>
      <c r="H24" s="2195"/>
      <c r="I24" s="2195"/>
    </row>
    <row r="25" spans="1:35" ht="21.75" customHeight="1">
      <c r="A25" s="2964"/>
      <c r="B25" s="2210" t="s">
        <v>1797</v>
      </c>
      <c r="C25" s="66">
        <f>IF(B30=0,0,C30)</f>
        <v>16</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2907</v>
      </c>
      <c r="B27" s="67">
        <f>项目基本情况!C12</f>
        <v>68.069999999999993</v>
      </c>
      <c r="C27" s="67">
        <v>15.6</v>
      </c>
      <c r="D27" s="68">
        <f>ROUND(B27*C27,0)</f>
        <v>1062</v>
      </c>
      <c r="E27" s="2195"/>
      <c r="F27" s="2195"/>
      <c r="G27" s="2195"/>
      <c r="H27" s="2195"/>
      <c r="I27" s="2195"/>
      <c r="J27" s="798">
        <f ca="1">ROUND(C32*68.07,0)/10000</f>
        <v>353.62369999999999</v>
      </c>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f>B27</f>
        <v>68.069999999999993</v>
      </c>
      <c r="C30" s="67">
        <v>16</v>
      </c>
      <c r="D30" s="68">
        <f>D27</f>
        <v>1062</v>
      </c>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51950</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50028</v>
      </c>
      <c r="D34" s="1091">
        <f ca="1">IF(D33="自定义",ROUND(C34/C32,3),1-D35)</f>
        <v>0.96299999999999997</v>
      </c>
      <c r="E34" s="2233" t="s">
        <v>1810</v>
      </c>
      <c r="F34" s="1828">
        <v>2000</v>
      </c>
      <c r="G34" s="2195"/>
      <c r="H34" s="2195"/>
      <c r="I34" s="2195"/>
    </row>
    <row r="35" spans="1:16" ht="15.75" thickBot="1">
      <c r="A35" s="2234"/>
      <c r="B35" s="2235" t="s">
        <v>1811</v>
      </c>
      <c r="C35" s="73">
        <f ca="1">IF(D33="自定义",F35,ROUND(C32*D35,0))</f>
        <v>1922</v>
      </c>
      <c r="D35" s="1090">
        <f ca="1">IF(D33="自定义",ROUND(C35/C32,3),IF(D33="成本法成本比率",成本法!C56,IF(D33="收益法收益比率",收益法!J38,收益法!J41)))</f>
        <v>3.6999999999999998E-2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3536237</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43262</v>
      </c>
      <c r="N47" s="2976"/>
      <c r="O47" s="2976"/>
      <c r="P47" s="1845"/>
    </row>
    <row r="48" spans="1:16" ht="25.5">
      <c r="A48" s="2977" t="s">
        <v>1836</v>
      </c>
      <c r="B48" s="2942"/>
      <c r="C48" s="2942"/>
      <c r="D48" s="56">
        <f ca="1">IF(H48="情况1",0,IF(H48="情况2",D52,IF(H48="情况3",D53,IF(H48="情况4",D54))))</f>
        <v>188599</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3536237</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188599</v>
      </c>
      <c r="E52" s="10" t="s">
        <v>1853</v>
      </c>
      <c r="F52" s="100">
        <f>'数据-取费表'!E29</f>
        <v>5.6000000000000001E-2</v>
      </c>
      <c r="G52" s="2262"/>
      <c r="H52" s="2195"/>
      <c r="I52" s="2260"/>
      <c r="J52" s="1883">
        <v>1</v>
      </c>
      <c r="K52" s="2940" t="s">
        <v>1854</v>
      </c>
      <c r="L52" s="2940"/>
      <c r="M52" s="778">
        <f ca="1">D48</f>
        <v>188599</v>
      </c>
      <c r="N52" s="1883" t="str">
        <f>E48</f>
        <v>销售额×税（费）率</v>
      </c>
      <c r="O52" s="779">
        <f>F48</f>
        <v>5.6000000000000001E-2</v>
      </c>
      <c r="P52" s="1845"/>
    </row>
    <row r="53" spans="1:16" ht="12" customHeight="1">
      <c r="A53" s="99" t="s">
        <v>1855</v>
      </c>
      <c r="B53" s="2935" t="s">
        <v>1856</v>
      </c>
      <c r="C53" s="2823"/>
      <c r="D53" s="98">
        <f ca="1">ROUND(D45*'数据-取费表'!E29/(1+'数据-取费表'!F30),0)</f>
        <v>188599</v>
      </c>
      <c r="E53" s="10" t="s">
        <v>1853</v>
      </c>
      <c r="F53" s="100">
        <f>'数据-取费表'!E29</f>
        <v>5.6000000000000001E-2</v>
      </c>
      <c r="G53" s="2262"/>
      <c r="H53" s="2195"/>
      <c r="I53" s="2260"/>
      <c r="J53" s="1883">
        <v>2</v>
      </c>
      <c r="K53" s="2940" t="s">
        <v>1857</v>
      </c>
      <c r="L53" s="2940"/>
      <c r="M53" s="778">
        <f t="shared" ref="M53:O54" ca="1" si="1">D55</f>
        <v>1768</v>
      </c>
      <c r="N53" s="1883" t="str">
        <f t="shared" si="1"/>
        <v>销售额×税（费）率</v>
      </c>
      <c r="O53" s="779">
        <f t="shared" si="1"/>
        <v>5.0000000000000001E-4</v>
      </c>
      <c r="P53" s="1845"/>
    </row>
    <row r="54" spans="1:16" ht="12" customHeight="1">
      <c r="A54" s="99" t="s">
        <v>1858</v>
      </c>
      <c r="B54" s="2935" t="s">
        <v>1859</v>
      </c>
      <c r="C54" s="2823"/>
      <c r="D54" s="98">
        <f ca="1">C68</f>
        <v>188599</v>
      </c>
      <c r="E54" s="20" t="s">
        <v>1860</v>
      </c>
      <c r="F54" s="100">
        <f>'数据-取费表'!E29</f>
        <v>5.6000000000000001E-2</v>
      </c>
      <c r="G54" s="2262"/>
      <c r="H54" s="2263"/>
      <c r="I54" s="2260"/>
      <c r="J54" s="1883">
        <v>3</v>
      </c>
      <c r="K54" s="2940" t="s">
        <v>1861</v>
      </c>
      <c r="L54" s="2940"/>
      <c r="M54" s="778">
        <f t="shared" ca="1" si="1"/>
        <v>2001510</v>
      </c>
      <c r="N54" s="1883" t="str">
        <f t="shared" si="1"/>
        <v>增值额×税（费）率</v>
      </c>
      <c r="O54" s="780" t="str">
        <f t="shared" si="1"/>
        <v>——</v>
      </c>
      <c r="P54" s="1845"/>
    </row>
    <row r="55" spans="1:16" ht="24" customHeight="1">
      <c r="A55" s="2815" t="s">
        <v>1862</v>
      </c>
      <c r="B55" s="2942"/>
      <c r="C55" s="2942"/>
      <c r="D55" s="101">
        <f ca="1">IF(H55="个人住宅",0,ROUND(D45*I55,0))</f>
        <v>1768</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35362</v>
      </c>
      <c r="N55" s="1886" t="str">
        <f>E59</f>
        <v>销售额×税（费）率</v>
      </c>
      <c r="O55" s="782">
        <f>F59</f>
        <v>0.01</v>
      </c>
      <c r="P55" s="1845"/>
    </row>
    <row r="56" spans="1:16" ht="24.75">
      <c r="A56" s="2815" t="s">
        <v>1865</v>
      </c>
      <c r="B56" s="2942"/>
      <c r="C56" s="2942"/>
      <c r="D56" s="101">
        <f ca="1">IF(H56="个人住宅",D57,D58)</f>
        <v>2001510</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2227239</v>
      </c>
      <c r="O57" s="2267"/>
      <c r="P57" s="1841" t="e">
        <f ca="1">N57/M49</f>
        <v>#VALUE!</v>
      </c>
    </row>
    <row r="58" spans="1:16" ht="24.75">
      <c r="A58" s="99" t="s">
        <v>1851</v>
      </c>
      <c r="B58" s="2943" t="s">
        <v>1871</v>
      </c>
      <c r="C58" s="2952"/>
      <c r="D58" s="101">
        <f ca="1">IF(H58="转让取得",C81,C97)</f>
        <v>2001510</v>
      </c>
      <c r="E58" s="10" t="s">
        <v>1866</v>
      </c>
      <c r="F58" s="14" t="s">
        <v>48</v>
      </c>
      <c r="G58" s="2262"/>
      <c r="H58" s="2265" t="s">
        <v>1872</v>
      </c>
      <c r="I58" s="1022"/>
      <c r="J58" s="2940"/>
      <c r="K58" s="2940"/>
      <c r="L58" s="2266" t="s">
        <v>1873</v>
      </c>
      <c r="M58" s="785"/>
      <c r="N58" s="2268" t="str">
        <f ca="1">IF(H19="元",NUMBERSTRING(INT(N57),2)&amp;"元整",NUMBERSTRING(INT(N57*10000),2)&amp;"元整")</f>
        <v>贰佰贰拾贰万柒仟贰佰叁拾玖元整</v>
      </c>
      <c r="O58" s="2269"/>
      <c r="P58" s="1845"/>
    </row>
    <row r="59" spans="1:16" ht="26.25" thickBot="1">
      <c r="A59" s="2816" t="s">
        <v>1874</v>
      </c>
      <c r="B59" s="2819"/>
      <c r="C59" s="2819"/>
      <c r="D59" s="104">
        <f ca="1">IF(H59="非个人房产","——",IF(H59="个人住宅",0,ROUND(D45*I59,0)))</f>
        <v>35362</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3367845</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3536237</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3367845</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188599</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3367845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20207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20207</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3347638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165.66724402434801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2001510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3367845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20207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20207</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3347638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165.66724402434801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2001510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3578576</v>
      </c>
      <c r="D101" s="721">
        <f ca="1">D19</f>
        <v>3372236</v>
      </c>
      <c r="E101" s="2195"/>
      <c r="F101" s="2910" t="str">
        <f>项目基本情况!I1</f>
        <v>北京市房地产</v>
      </c>
      <c r="G101" s="2911"/>
      <c r="H101" s="2917">
        <f>项目基本情况!C12</f>
        <v>68.069999999999993</v>
      </c>
      <c r="I101" s="2913"/>
    </row>
    <row r="102" spans="1:35" ht="15.75">
      <c r="A102" s="3096"/>
      <c r="B102" s="2290" t="s">
        <v>1939</v>
      </c>
      <c r="C102" s="722">
        <f ca="1">C20</f>
        <v>52572</v>
      </c>
      <c r="D102" s="723">
        <f ca="1">D20</f>
        <v>49541</v>
      </c>
      <c r="E102" s="2195"/>
      <c r="F102" s="2918" t="s">
        <v>1940</v>
      </c>
      <c r="G102" s="2919"/>
      <c r="H102" s="2291" t="str">
        <f>C106</f>
        <v>总价（元）</v>
      </c>
      <c r="I102" s="1862">
        <f ca="1">H121</f>
        <v>3536237</v>
      </c>
    </row>
    <row r="103" spans="1:35" ht="15">
      <c r="A103" s="3096" t="s">
        <v>1941</v>
      </c>
      <c r="B103" s="2292" t="str">
        <f>B101</f>
        <v>总价（元）</v>
      </c>
      <c r="C103" s="724">
        <f ca="1">H121</f>
        <v>3536237</v>
      </c>
      <c r="D103" s="725"/>
      <c r="E103" s="2195"/>
      <c r="F103" s="2918"/>
      <c r="G103" s="2919"/>
      <c r="H103" s="2291" t="s">
        <v>1939</v>
      </c>
      <c r="I103" s="1050">
        <f ca="1">I121</f>
        <v>51950</v>
      </c>
    </row>
    <row r="104" spans="1:35" ht="16.5" thickBot="1">
      <c r="A104" s="2849"/>
      <c r="B104" s="2293" t="s">
        <v>1939</v>
      </c>
      <c r="C104" s="726">
        <f ca="1">I121</f>
        <v>51950</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3536237</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51950</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3536237</v>
      </c>
    </row>
    <row r="111" spans="1:35" ht="15">
      <c r="A111" s="2877" t="s">
        <v>1948</v>
      </c>
      <c r="B111" s="2878"/>
      <c r="C111" s="2294" t="str">
        <f>C108</f>
        <v>总额（元）</v>
      </c>
      <c r="D111" s="637">
        <f>C38</f>
        <v>0</v>
      </c>
      <c r="E111" s="2195"/>
      <c r="F111" s="2883"/>
      <c r="G111" s="2884"/>
      <c r="H111" s="2291" t="s">
        <v>1939</v>
      </c>
      <c r="I111" s="2297">
        <f ca="1">D113</f>
        <v>51950</v>
      </c>
    </row>
    <row r="112" spans="1:35" ht="26.25" customHeight="1">
      <c r="A112" s="2890" t="str">
        <f>IF(项目基本情况!F5="已注销","——","3.房地产抵押价值")</f>
        <v>3.房地产抵押价值</v>
      </c>
      <c r="B112" s="2891"/>
      <c r="C112" s="2291" t="str">
        <f>B101</f>
        <v>总价（元）</v>
      </c>
      <c r="D112" s="1051">
        <f ca="1">IF(A112="——","——",D106-D108)</f>
        <v>3536237</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51950</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68.069999999999993</v>
      </c>
      <c r="C121" s="1887">
        <f>项目基本情况!C13</f>
        <v>0</v>
      </c>
      <c r="D121" s="1887">
        <f ca="1">ROUND(IF(B32="总价",C34,IF('数据-取费表'!B3="万元",E121*B121/10000,E121*B121)),0)</f>
        <v>3405406</v>
      </c>
      <c r="E121" s="1887">
        <f ca="1">ROUND(IF(B32="楼面单价",C34,IF(H19="元",D121/B121,D121*10000/B121)),0)</f>
        <v>50028</v>
      </c>
      <c r="F121" s="1887">
        <f ca="1">ROUND(IF(B32="总价",C35,IF('数据-取费表'!B3="万元",G121*B121/10000,G121*B121)),0)</f>
        <v>130831</v>
      </c>
      <c r="G121" s="1887">
        <f ca="1">ROUND(IF(B32="楼面单价",C35,IF(H19="元",F121/B121,F121*10000/B121)),0)</f>
        <v>1922</v>
      </c>
      <c r="H121" s="1887">
        <f ca="1">ROUND(IF(B32="总价",C32,IF('数据-取费表'!B3="万元",I121*B121/10000,I121*B121)),0)</f>
        <v>3536237</v>
      </c>
      <c r="I121" s="637">
        <f ca="1">ROUND(IF(B32="楼面单价",C32,IF(H19="元",H121/B121,H121*10000/B121)),0)</f>
        <v>51950</v>
      </c>
    </row>
    <row r="122" spans="1:15" ht="14.25">
      <c r="A122" s="2856" t="s">
        <v>1958</v>
      </c>
      <c r="B122" s="2857"/>
      <c r="C122" s="2857"/>
      <c r="D122" s="2870" t="str">
        <f ca="1">IF(H19="元",NUMBERSTRING(INT(D121),2)&amp;"元整",NUMBERSTRING(INT(D121*10000),2)&amp;"元整")</f>
        <v>叁佰肆拾万伍仟肆佰零陆元整</v>
      </c>
      <c r="E122" s="2871"/>
      <c r="F122" s="2870" t="str">
        <f ca="1">IF(H19="元",NUMBERSTRING(INT(F121),2)&amp;"元整",NUMBERSTRING(INT(F121*10000),2)&amp;"元整")</f>
        <v>壹拾叁万零捌佰叁拾壹元整</v>
      </c>
      <c r="G122" s="2871"/>
      <c r="H122" s="2870" t="str">
        <f ca="1">IF(H19="元",NUMBERSTRING(INT(H121),2)&amp;"元整",NUMBERSTRING(INT(H121*10000),2)&amp;"元整")</f>
        <v>叁佰伍拾叁万陆仟贰佰叁拾柒元整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3536237</v>
      </c>
      <c r="E125" s="2868"/>
      <c r="F125" s="2868"/>
      <c r="G125" s="2868"/>
      <c r="H125" s="2868"/>
      <c r="I125" s="2869"/>
    </row>
    <row r="126" spans="1:15" ht="14.25">
      <c r="A126" s="2856" t="s">
        <v>1958</v>
      </c>
      <c r="B126" s="2857"/>
      <c r="C126" s="2857"/>
      <c r="D126" s="2865">
        <f ca="1">I111</f>
        <v>51950</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估价对象为北京市房地产，为所有。根据《不动产权证书》[]，估价对象建筑面积为68.07平方米，（分摊）出让国有建设用地使用权面积为平方米。估价对象用途为。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2018年6月11日（评估专业人员实地查勘之日）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112" workbookViewId="0">
      <selection activeCell="A114" sqref="A114"/>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5" sqref="D15"/>
    </sheetView>
  </sheetViews>
  <sheetFormatPr defaultColWidth="14.625" defaultRowHeight="13.5"/>
  <cols>
    <col min="1" max="1" width="24.375" customWidth="1"/>
  </cols>
  <sheetData>
    <row r="1" spans="1:9" ht="16.5">
      <c r="A1" s="1830" t="s">
        <v>1226</v>
      </c>
      <c r="B1" s="1830">
        <f>SUM(B14:B23)</f>
        <v>68.069999999999993</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43262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353.62369999999999</v>
      </c>
      <c r="C5" s="1830">
        <f ca="1">ROUND(B5*10000/$B$1,0)</f>
        <v>51950</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68.069999999999993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结果表!J27</f>
        <v>353.62369999999999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估价对象紧邻城市次干道——石榴庄路，周边地铁10号线（石榴庄）、有71、511、夜2、专4路公交线路等，综合评价交通便捷度较好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城市次干道——石榴庄路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自然环境石榴园公园等；人文环境：中国国家博物馆文物科技保护中心、大红门国际会展中心等，综合评价环境状况较好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估价对象紧邻城市次干道——石榴庄路，周边地铁10号线（石榴庄）、有71、511、夜2、专4路公交线路等，综合评价交通便捷度较好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城市次干道——石榴庄路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自然环境石榴园公园等；人文环境：中国国家博物馆文物科技保护中心、大红门国际会展中心等，综合评价环境状况较好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估价对象周边有光彩家园、城市时尚家园、裕隆园、高庄小区等居住小区，小区规模和社区发展完善程度较好，综合评价居住社区成熟度较好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估价对象紧邻城市次干道——石榴庄路，周边地铁10号线（石榴庄）、有71、511、夜2、专4路公交线路等，综合评价交通便捷度较好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城市次干道——石榴庄路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自然环境石榴园公园等；人文环境：中国国家博物馆文物科技保护中心、大红门国际会展中心等，综合评价环境状况较好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43262</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68.069999999999993</v>
      </c>
      <c r="D6" s="2775"/>
      <c r="E6" s="1927"/>
    </row>
    <row r="7" spans="1:5" ht="14.25">
      <c r="A7" s="1927"/>
      <c r="B7" s="2769" t="s">
        <v>785</v>
      </c>
      <c r="C7" s="1933" t="str">
        <f>IF('数据-取费表'!B3="万元","总价（万元）","总价（元）")</f>
        <v>总价（元）</v>
      </c>
      <c r="D7" s="1934">
        <f ca="1">IF('数据-取费表'!E3="否",结果表!I102,'结果表 (1修多)'!I103)</f>
        <v>3536237</v>
      </c>
      <c r="E7" s="1927"/>
    </row>
    <row r="8" spans="1:5" ht="28.5">
      <c r="A8" s="1927"/>
      <c r="B8" s="2769"/>
      <c r="C8" s="1935" t="s">
        <v>1176</v>
      </c>
      <c r="D8" s="1936" t="str">
        <f ca="1">IF('数据-取费表'!B3="万元",NUMBERSTRING(INT(D7*10000),2)&amp;"元整",NUMBERSTRING(INT(D7),2)&amp;"元整")</f>
        <v>叁佰伍拾叁万陆仟贰佰叁拾柒元整</v>
      </c>
      <c r="E8" s="1927"/>
    </row>
    <row r="9" spans="1:5" ht="14.25">
      <c r="A9" s="1927"/>
      <c r="B9" s="2769"/>
      <c r="C9" s="1937" t="s">
        <v>1275</v>
      </c>
      <c r="D9" s="1934">
        <f ca="1">IF('数据-取费表'!E3="否",结果表!I103,'结果表 (1修多)'!I104)</f>
        <v>51950</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3536237</v>
      </c>
      <c r="E15" s="1927"/>
    </row>
    <row r="16" spans="1:5" ht="28.5">
      <c r="A16" s="1927"/>
      <c r="B16" s="2776"/>
      <c r="C16" s="1935" t="s">
        <v>1176</v>
      </c>
      <c r="D16" s="1934" t="str">
        <f ca="1">IF('数据-取费表'!B3="万元",NUMBERSTRING(INT(D15*10000),2)&amp;"元整",NUMBERSTRING(INT(D15),2)&amp;"元整")</f>
        <v>叁佰伍拾叁万陆仟贰佰叁拾柒元整</v>
      </c>
      <c r="E16" s="1927"/>
    </row>
    <row r="17" spans="1:5" ht="14.25">
      <c r="A17" s="1927"/>
      <c r="B17" s="2776"/>
      <c r="C17" s="1937" t="s">
        <v>1275</v>
      </c>
      <c r="D17" s="1934">
        <f ca="1">IF('数据-取费表'!E3="否",结果表!I111,'结果表 (1修多)'!I112)</f>
        <v>51950</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3536237</v>
      </c>
      <c r="E28" s="1927"/>
    </row>
    <row r="29" spans="1:5" ht="28.5">
      <c r="A29" s="1927"/>
      <c r="B29" s="2755"/>
      <c r="C29" s="1946" t="s">
        <v>1176</v>
      </c>
      <c r="D29" s="1947" t="str">
        <f ca="1">IF('数据-取费表'!B3="万元",NUMBERSTRING(INT(D28*10000),2)&amp;"元整",NUMBERSTRING(INT(D28),2)&amp;"元整")</f>
        <v>叁佰伍拾叁万陆仟贰佰叁拾柒元整</v>
      </c>
      <c r="E29" s="1927"/>
    </row>
    <row r="30" spans="1:5" ht="14.25">
      <c r="A30" s="1927"/>
      <c r="B30" s="2756"/>
      <c r="C30" s="1937" t="s">
        <v>1179</v>
      </c>
      <c r="D30" s="1948">
        <f ca="1">IF('数据-取费表'!E3="否",结果表!I103,'结果表 (1修多)'!I104)</f>
        <v>51950</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3536237</v>
      </c>
      <c r="E36" s="1927"/>
    </row>
    <row r="37" spans="1:5" ht="28.5">
      <c r="A37" s="1927"/>
      <c r="B37" s="2757"/>
      <c r="C37" s="1946" t="s">
        <v>1176</v>
      </c>
      <c r="D37" s="1951" t="str">
        <f ca="1">IF('数据-取费表'!B3="万元",NUMBERSTRING(INT(D36*10000),2)&amp;"元整",NUMBERSTRING(INT(D36),2)&amp;"元整")</f>
        <v>叁佰伍拾叁万陆仟贰佰叁拾柒元整</v>
      </c>
      <c r="E37" s="1927"/>
    </row>
    <row r="38" spans="1:5" ht="14.25">
      <c r="A38" s="1927"/>
      <c r="B38" s="2757"/>
      <c r="C38" s="1937" t="s">
        <v>1180</v>
      </c>
      <c r="D38" s="1948">
        <f ca="1">IF('数据-取费表'!E3="否",结果表!D113,'结果表 (1修多)'!D116)</f>
        <v>51950</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68.069999999999993</v>
      </c>
      <c r="C4" s="1049">
        <f>结果表!C121</f>
        <v>0</v>
      </c>
      <c r="D4" s="1049">
        <f ca="1">IF('数据-取费表'!E3="否",结果表!D121,'结果表 (1修多)'!D124)</f>
        <v>3405406</v>
      </c>
      <c r="E4" s="1049">
        <f ca="1">IF('数据-取费表'!E3="否",结果表!E121,'结果表 (1修多)'!E124)</f>
        <v>50028</v>
      </c>
      <c r="F4" s="1049">
        <f ca="1">IF('数据-取费表'!E3="否",结果表!F121,'结果表 (1修多)'!F124)</f>
        <v>130831</v>
      </c>
      <c r="G4" s="1049">
        <f ca="1">IF('数据-取费表'!E3="否",结果表!G121,'结果表 (1修多)'!G124)</f>
        <v>1922</v>
      </c>
      <c r="H4" s="1049">
        <f ca="1">IF('数据-取费表'!E3="否",结果表!H121,'结果表 (1修多)'!H124)</f>
        <v>3536237</v>
      </c>
      <c r="I4" s="1049">
        <f ca="1">IF('数据-取费表'!E3="否",结果表!I121,'结果表 (1修多)'!I124)</f>
        <v>51950</v>
      </c>
    </row>
    <row r="5" spans="1:9" ht="15">
      <c r="A5" s="2777" t="s">
        <v>1285</v>
      </c>
      <c r="B5" s="2777"/>
      <c r="C5" s="2777"/>
      <c r="D5" s="2778" t="str">
        <f ca="1">IF('数据-取费表'!E3="否",结果表!D122,'结果表 (1修多)'!D125)</f>
        <v>叁佰肆拾万伍仟肆佰零陆元整</v>
      </c>
      <c r="E5" s="2778"/>
      <c r="F5" s="2778" t="str">
        <f ca="1">IF('数据-取费表'!E3="否",结果表!F122,'结果表 (1修多)'!F125)</f>
        <v>壹拾叁万零捌佰叁拾壹元整</v>
      </c>
      <c r="G5" s="2778"/>
      <c r="H5" s="2778" t="str">
        <f ca="1">IF('数据-取费表'!E3="否",结果表!H122,'结果表 (1修多)'!H125)</f>
        <v>叁佰伍拾叁万陆仟贰佰叁拾柒元整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3536237</v>
      </c>
      <c r="E8" s="2779"/>
      <c r="F8" s="2779"/>
      <c r="G8" s="2779"/>
      <c r="H8" s="2779"/>
      <c r="I8" s="2779"/>
    </row>
    <row r="9" spans="1:9" ht="15">
      <c r="A9" s="2777" t="s">
        <v>1285</v>
      </c>
      <c r="B9" s="2777"/>
      <c r="C9" s="2777"/>
      <c r="D9" s="2778">
        <f ca="1">IF('数据-取费表'!E3="否",结果表!D126,'结果表 (1修多)'!D129)</f>
        <v>51950</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本次估价的“房地产价值”是指在正常市场情况下，在价值时点2018年6月11日，估价对象规划用途为，假定未设立法定优先受偿款下的房地产市场价值。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2018-06-19T01:25:18Z</dcterms:modified>
</cp:coreProperties>
</file>