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21" i="1" l="1"/>
  <c r="N6" i="1" s="1"/>
  <c r="Y6" i="1" s="1"/>
  <c r="N19"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F54" i="9" l="1"/>
  <c r="F28" i="15"/>
  <c r="F32" i="15"/>
  <c r="F60" i="15" s="1"/>
  <c r="F32" i="67"/>
  <c r="F60" i="67" s="1"/>
  <c r="F52" i="9"/>
  <c r="F28" i="67"/>
  <c r="C28" i="67" s="1"/>
  <c r="F30" i="68"/>
  <c r="F48" i="68" s="1"/>
  <c r="C21" i="68"/>
  <c r="C40" i="69"/>
  <c r="D19" i="53"/>
  <c r="B38" i="72" s="1"/>
  <c r="D21" i="53"/>
  <c r="B39" i="72" s="1"/>
  <c r="D16" i="53"/>
  <c r="B34" i="72" s="1"/>
  <c r="G5" i="3"/>
  <c r="B3" i="3" s="1"/>
  <c r="E13" i="3" s="1"/>
  <c r="G28" i="6"/>
  <c r="F29"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C30" i="68" l="1"/>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398" i="3"/>
  <c r="E374" i="3"/>
  <c r="E582" i="3"/>
  <c r="E460" i="3"/>
  <c r="E436" i="3"/>
  <c r="E90" i="3"/>
  <c r="E131" i="3"/>
  <c r="E240" i="3"/>
  <c r="E259" i="3"/>
  <c r="E378" i="3"/>
  <c r="E504" i="3"/>
  <c r="E110" i="3"/>
  <c r="E462" i="3"/>
  <c r="E446" i="3"/>
  <c r="E79" i="3"/>
  <c r="E78" i="3"/>
  <c r="E129" i="3"/>
  <c r="E190" i="3"/>
  <c r="E174" i="3"/>
  <c r="E220" i="3"/>
  <c r="E275" i="3"/>
  <c r="E299" i="3"/>
  <c r="E339" i="3"/>
  <c r="E325" i="3"/>
  <c r="E392" i="3"/>
  <c r="AQ6" i="3"/>
  <c r="E52" i="3"/>
  <c r="E34" i="3"/>
  <c r="E49" i="3"/>
  <c r="E123" i="3"/>
  <c r="E147" i="3"/>
  <c r="E251" i="3"/>
  <c r="E370" i="3"/>
  <c r="AF6" i="3"/>
  <c r="E50" i="3"/>
  <c r="E20" i="3"/>
  <c r="E62" i="3"/>
  <c r="E158" i="3"/>
  <c r="E287" i="3"/>
  <c r="E308" i="3"/>
  <c r="E326" i="3"/>
  <c r="E22"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AD6" i="3"/>
  <c r="E542" i="3"/>
  <c r="E552" i="3"/>
  <c r="E421" i="3"/>
  <c r="E464" i="3"/>
  <c r="E487" i="3"/>
  <c r="E416" i="3"/>
  <c r="E459" i="3"/>
  <c r="E566" i="3"/>
  <c r="E500" i="3"/>
  <c r="E413" i="3"/>
  <c r="E520" i="3"/>
  <c r="E39" i="3"/>
  <c r="E57" i="3"/>
  <c r="E187" i="3"/>
  <c r="E155" i="3"/>
  <c r="E297" i="3"/>
  <c r="E348" i="3"/>
  <c r="E375" i="3"/>
  <c r="E58" i="3"/>
  <c r="E488" i="3"/>
  <c r="E521" i="3"/>
  <c r="E18" i="3"/>
  <c r="E96" i="3"/>
  <c r="E38" i="3"/>
  <c r="E100" i="3"/>
  <c r="E170" i="3"/>
  <c r="E137" i="3"/>
  <c r="E194" i="3"/>
  <c r="E234" i="3"/>
  <c r="E219" i="3"/>
  <c r="E235" i="3"/>
  <c r="E324" i="3"/>
  <c r="E383" i="3"/>
  <c r="E342" i="3"/>
  <c r="E522" i="3"/>
  <c r="E35" i="3"/>
  <c r="E86" i="3"/>
  <c r="E36" i="3"/>
  <c r="E112" i="3"/>
  <c r="E206" i="3"/>
  <c r="E232" i="3"/>
  <c r="E289" i="3"/>
  <c r="E340" i="3"/>
  <c r="E364" i="3"/>
  <c r="E102" i="3"/>
  <c r="E80" i="3"/>
  <c r="E113" i="3"/>
  <c r="E176" i="3"/>
  <c r="E218" i="3"/>
  <c r="E265" i="3"/>
  <c r="E365" i="3"/>
  <c r="E524" i="3"/>
  <c r="E101"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8" i="68" l="1"/>
  <c r="C5" i="68" s="1"/>
  <c r="C23" i="68" s="1"/>
  <c r="C18" i="12"/>
  <c r="C21" i="12" s="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L51" i="15"/>
  <c r="D2" i="34"/>
  <c r="D2" i="35"/>
  <c r="D2" i="37"/>
  <c r="D2" i="36"/>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8" i="1"/>
  <c r="AO10" i="1"/>
  <c r="AO9" i="1"/>
  <c r="D20" i="9"/>
  <c r="AO7" i="1"/>
  <c r="AO6" i="1"/>
  <c r="D103" i="9" l="1"/>
  <c r="G20" i="9"/>
  <c r="C32" i="9" s="1"/>
  <c r="C35"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4"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4" i="52" s="1"/>
  <c r="B51" i="72" s="1"/>
  <c r="H118" i="9"/>
  <c r="C104" i="9" l="1"/>
  <c r="D14" i="74"/>
  <c r="D4" i="52"/>
  <c r="B47" i="72" s="1"/>
  <c r="H101" i="9"/>
  <c r="I118" i="9"/>
  <c r="F119" i="9"/>
  <c r="F5" i="52" s="1"/>
  <c r="B53" i="72" s="1"/>
  <c r="G118" i="9"/>
  <c r="G4" i="52" s="1"/>
  <c r="B52" i="72" s="1"/>
  <c r="H4" i="52"/>
  <c r="H119" i="9"/>
  <c r="H5" i="52" s="1"/>
  <c r="F14" i="74" l="1"/>
  <c r="E14" i="74"/>
  <c r="B5" i="74"/>
  <c r="D5" i="74" s="1"/>
  <c r="C105" i="9"/>
  <c r="H102" i="9"/>
  <c r="I4" i="52"/>
  <c r="E118" i="9"/>
  <c r="E4" i="52" s="1"/>
  <c r="B48" i="72" s="1"/>
  <c r="M48" i="9"/>
  <c r="D45" i="9"/>
  <c r="D5" i="53"/>
  <c r="H107" i="9"/>
  <c r="B20" i="72" l="1"/>
  <c r="D6" i="53"/>
  <c r="B22" i="72" s="1"/>
  <c r="D13" i="53"/>
  <c r="M49" i="9"/>
  <c r="H108" i="9"/>
  <c r="D122" i="9"/>
  <c r="D52" i="9"/>
  <c r="D53" i="9"/>
  <c r="C72" i="9"/>
  <c r="C93" i="9"/>
  <c r="C86" i="9" s="1"/>
  <c r="D55" i="9"/>
  <c r="M53" i="9" s="1"/>
  <c r="C85" i="9"/>
  <c r="C78" i="9"/>
  <c r="C73" i="9" s="1"/>
  <c r="C64" i="9"/>
  <c r="C63" i="9" s="1"/>
  <c r="C67" i="9" s="1"/>
  <c r="C5" i="74"/>
  <c r="D7" i="53"/>
  <c r="B21" i="72" s="1"/>
  <c r="C95" i="9" l="1"/>
  <c r="C96" i="9" s="1"/>
  <c r="E96" i="9" s="1"/>
  <c r="E97" i="9" s="1"/>
  <c r="D8" i="52"/>
  <c r="D123" i="9"/>
  <c r="D9" i="52" s="1"/>
  <c r="L66" i="9"/>
  <c r="M66" i="9" s="1"/>
  <c r="L64" i="9"/>
  <c r="M64" i="9" s="1"/>
  <c r="L65" i="9"/>
  <c r="M65" i="9" s="1"/>
  <c r="L68" i="9"/>
  <c r="M68" i="9" s="1"/>
  <c r="L67" i="9"/>
  <c r="M67" i="9" s="1"/>
  <c r="L63" i="9"/>
  <c r="M63" i="9" s="1"/>
  <c r="C68" i="9"/>
  <c r="D54" i="9" s="1"/>
  <c r="D59" i="9"/>
  <c r="M55" i="9" s="1"/>
  <c r="C79" i="9"/>
  <c r="C6" i="74"/>
  <c r="D15" i="53"/>
  <c r="B31" i="72" s="1"/>
  <c r="D14" i="53"/>
  <c r="B32" i="72" s="1"/>
  <c r="B30" i="72"/>
  <c r="M69" i="9" l="1"/>
  <c r="N69" i="9" s="1"/>
  <c r="C97" i="9"/>
  <c r="D58" i="9" s="1"/>
  <c r="D56" i="9" s="1"/>
  <c r="M54" i="9" s="1"/>
  <c r="N57" i="9" s="1"/>
  <c r="C80" i="9"/>
  <c r="E80" i="9" s="1"/>
  <c r="E81"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<sst xmlns="http://schemas.openxmlformats.org/spreadsheetml/2006/main" count="7812" uniqueCount="3415">
  <si>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</si>
  <si>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</si>
  <si>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</si>
  <si>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</si>
  <si>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</si>
  <si>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</si>
  <si>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</si>
  <si>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</si>
  <si>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</si>
  <si>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</si>
  <si>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</si>
  <si>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</si>
  <si>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</si>
  <si>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</si>
  <si>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</si>
  <si>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</si>
  <si>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</si>
  <si>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</si>
  <si>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</si>
  <si>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</si>
  <si>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</si>
  <si>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</si>
  <si>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</si>
  <si>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</si>
  <si>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</si>
  <si>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</si>
  <si>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</si>
  <si>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</si>
  <si>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</si>
  <si>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</si>
  <si>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</si>
  <si>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</si>
  <si>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</si>
  <si>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</si>
  <si>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</si>
  <si>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</si>
  <si>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</si>
  <si>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</si>
  <si>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</si>
  <si>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</si>
  <si>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</si>
  <si>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</si>
  <si>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</si>
  <si>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</si>
  <si>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</si>
  <si>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</si>
  <si>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</si>
  <si>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</si>
  <si>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</si>
  <si>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</si>
  <si>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</si>
  <si>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</si>
  <si>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</si>
  <si>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</si>
  <si>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</si>
  <si>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</si>
  <si>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</si>
  <si>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</si>
  <si>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</si>
  <si>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</si>
  <si>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</si>
  <si>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</si>
  <si>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</si>
  <si>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</si>
  <si>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</si>
  <si>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</si>
  <si>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</si>
  <si>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</si>
  <si>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</si>
  <si>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</si>
  <si>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</si>
  <si>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</si>
  <si>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</si>
  <si>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</si>
  <si>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</si>
  <si>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</si>
  <si>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</si>
  <si>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</si>
  <si>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</si>
  <si>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</si>
  <si>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</si>
  <si>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</si>
  <si>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</si>
  <si>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</si>
  <si>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</si>
  <si>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</si>
  <si>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</si>
  <si>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</si>
  <si>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</si>
  <si>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</si>
  <si>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</si>
  <si>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</si>
  <si>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</si>
  <si>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</si>
  <si>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</si>
  <si>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</si>
  <si>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</si>
  <si>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</si>
  <si>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</si>
  <si>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</si>
  <si>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</si>
  <si>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</si>
  <si>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</si>
  <si>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</si>
  <si>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</si>
  <si>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</si>
  <si>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</si>
  <si>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</si>
  <si>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</si>
  <si>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</si>
  <si>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</si>
  <si>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</si>
  <si>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</si>
  <si>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</si>
  <si>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</si>
  <si>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</si>
  <si>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</si>
  <si>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</si>
  <si>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</si>
  <si>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</si>
  <si>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</si>
  <si>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</si>
  <si>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</si>
  <si>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</si>
  <si>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</si>
  <si>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</si>
  <si>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</si>
  <si>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</si>
  <si>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</si>
  <si>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</si>
  <si>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</si>
  <si>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</si>
  <si>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</si>
  <si>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</si>
  <si>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</si>
  <si>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</si>
  <si>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</si>
  <si>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</si>
  <si>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</si>
  <si>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</si>
  <si>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</si>
  <si>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</si>
  <si>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</si>
  <si>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</si>
  <si>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</si>
  <si>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</si>
  <si>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</si>
  <si>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</si>
  <si>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</si>
  <si>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</si>
  <si>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</si>
  <si>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</si>
  <si>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</si>
  <si>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</si>
  <si>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</si>
  <si>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</si>
  <si>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</si>
  <si>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</si>
  <si>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</si>
  <si>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</si>
  <si>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</si>
  <si>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</si>
  <si>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</si>
  <si>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</si>
  <si>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</si>
  <si>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</si>
  <si>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</si>
  <si>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</si>
  <si>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</si>
  <si>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</si>
  <si>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</si>
  <si>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</si>
  <si>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</si>
  <si>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</si>
  <si>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</si>
  <si>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</si>
  <si>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</si>
  <si>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</si>
  <si>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</si>
  <si>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</si>
  <si>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</si>
  <si>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</si>
  <si>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</si>
  <si>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</si>
  <si>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</si>
  <si>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</si>
  <si>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</si>
  <si>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</si>
  <si>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</si>
  <si>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</si>
  <si>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</si>
  <si>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</si>
  <si>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</si>
  <si>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</si>
  <si>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</si>
  <si>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</si>
  <si>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</si>
  <si>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</si>
  <si>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</si>
  <si>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</si>
  <si>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</si>
  <si>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</si>
  <si>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</si>
  <si>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</si>
  <si>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</si>
  <si>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</si>
  <si>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</si>
  <si>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</si>
  <si>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</si>
  <si>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</si>
  <si>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</si>
  <si>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</si>
  <si>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</si>
  <si>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</si>
  <si>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</si>
  <si>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</si>
  <si>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</si>
  <si>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</si>
  <si>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</si>
  <si>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</si>
  <si>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</si>
  <si>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</si>
  <si>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</si>
  <si>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</si>
  <si>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</si>
  <si>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</si>
  <si>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</si>
  <si>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</si>
  <si>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</si>
  <si>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</si>
  <si>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</si>
  <si>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</si>
  <si>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</si>
  <si>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</si>
  <si>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</si>
  <si>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</si>
  <si>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</si>
  <si>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</si>
  <si>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</si>
  <si>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</si>
  <si>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</si>
  <si>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</si>
  <si>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</si>
  <si>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</si>
  <si>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</si>
  <si>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</si>
  <si>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</si>
  <si>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</si>
  <si>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</si>
  <si>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</si>
  <si>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</si>
  <si>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</si>
  <si>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</si>
  <si>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</si>
  <si>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</si>
  <si>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</si>
  <si>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</si>
  <si>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</si>
  <si>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</si>
  <si>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</si>
  <si>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</si>
  <si>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</si>
  <si>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</si>
  <si>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</si>
  <si>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</si>
  <si>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</si>
  <si>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</si>
  <si>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</si>
  <si>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</si>
  <si>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</si>
  <si>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</si>
  <si>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</si>
  <si>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</si>
  <si>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</si>
  <si>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</si>
  <si>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</si>
  <si>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</si>
  <si>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</si>
  <si>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</si>
  <si>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</si>
  <si>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</si>
  <si>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</si>
  <si>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</si>
  <si>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</si>
  <si>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</si>
  <si>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</si>
  <si>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</si>
  <si>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</si>
  <si>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</si>
  <si>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</si>
  <si>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</si>
  <si>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</si>
  <si>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</si>
  <si>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</si>
  <si>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</si>
  <si>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</si>
  <si>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</si>
  <si>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</si>
  <si>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</si>
  <si>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</si>
  <si>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</si>
  <si>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</si>
  <si>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</si>
  <si>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</si>
  <si>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</si>
  <si>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</si>
  <si>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</si>
  <si>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</si>
  <si>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</si>
  <si>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</si>
  <si>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</si>
  <si>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</si>
  <si>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</si>
  <si>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</si>
  <si>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</si>
  <si>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</si>
  <si>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</si>
  <si>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</si>
  <si>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</si>
  <si>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</si>
  <si>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</si>
  <si>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</si>
  <si>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</si>
  <si>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</si>
  <si>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</si>
  <si>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</si>
  <si>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</si>
  <si>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</si>
  <si>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</si>
  <si>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</si>
  <si>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</si>
  <si>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</si>
  <si>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</si>
  <si>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</si>
  <si>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</si>
  <si>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</si>
  <si>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</si>
  <si>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</si>
  <si>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</si>
  <si>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</si>
  <si>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</si>
  <si>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</si>
  <si>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</si>
  <si>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</si>
  <si>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</si>
  <si>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</si>
  <si>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</si>
  <si>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</si>
  <si>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</si>
  <si>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</si>
  <si>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</si>
  <si>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</si>
  <si>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</si>
  <si>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</si>
  <si>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</si>
  <si>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</si>
  <si>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</si>
  <si>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</si>
  <si>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</si>
  <si>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</si>
  <si>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</si>
  <si>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</si>
  <si>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</si>
  <si>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</si>
  <si>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</si>
  <si>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</si>
  <si>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</si>
  <si>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</si>
  <si>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</si>
  <si>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</si>
  <si>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</si>
  <si>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</si>
  <si>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</si>
  <si>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</si>
  <si>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</si>
  <si>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</si>
  <si>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</si>
  <si>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</si>
  <si>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</si>
  <si>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</si>
  <si>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</si>
  <si>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</si>
  <si>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</si>
  <si>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</si>
  <si>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</si>
  <si>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</si>
  <si>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</si>
  <si>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</si>
  <si>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</si>
  <si>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</si>
  <si>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</si>
  <si>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</si>
  <si>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</si>
  <si>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</si>
  <si>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</si>
  <si>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</si>
  <si>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</si>
  <si>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</si>
  <si>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</si>
  <si>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</si>
  <si>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</si>
  <si>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</si>
  <si>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</si>
  <si>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</si>
  <si>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</si>
  <si>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</si>
  <si>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</si>
  <si>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</si>
  <si>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</si>
  <si>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</si>
  <si>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</si>
  <si>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</si>
  <si>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</si>
  <si>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</si>
  <si>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</si>
  <si>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</si>
  <si>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</si>
  <si>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</si>
  <si>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</si>
  <si>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</si>
  <si>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</si>
  <si>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</si>
  <si>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</si>
  <si>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</si>
  <si>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</si>
  <si>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</si>
  <si>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</si>
  <si>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</si>
  <si>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</si>
  <si>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</si>
  <si>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</si>
  <si>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</si>
  <si>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</si>
  <si>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</si>
  <si>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</si>
  <si>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</si>
  <si>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</si>
  <si>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</si>
  <si>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</si>
  <si>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</si>
  <si>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</si>
  <si>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</si>
  <si>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</si>
  <si>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</si>
  <si>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</si>
  <si>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</si>
  <si>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</si>
  <si>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</si>
  <si>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</si>
  <si>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</si>
  <si>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</si>
  <si>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</si>
  <si>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</si>
  <si>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</si>
  <si>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</si>
  <si>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</si>
  <si>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</si>
  <si>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</si>
  <si>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</si>
  <si>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</si>
  <si>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</si>
  <si>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</si>
  <si>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</si>
  <si>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</si>
  <si>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</si>
  <si>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</si>
  <si>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</si>
  <si>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</si>
  <si>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</si>
  <si>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</si>
  <si>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</si>
  <si>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</si>
  <si>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</si>
  <si>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</si>
  <si>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</si>
  <si>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</si>
  <si>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</si>
  <si>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</si>
  <si>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</si>
  <si>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</si>
  <si>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</si>
  <si>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</si>
  <si>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</si>
  <si>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</si>
  <si>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</si>
  <si>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</si>
  <si>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</si>
  <si>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</si>
  <si>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</si>
  <si>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</si>
  <si>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</si>
  <si>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</si>
  <si>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</si>
  <si>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</si>
  <si>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</si>
  <si>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</si>
  <si>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</si>
  <si>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</si>
  <si>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</si>
  <si>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</si>
  <si>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</si>
  <si>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</si>
  <si>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</si>
  <si>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</si>
  <si>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</si>
  <si>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</si>
  <si>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</si>
  <si>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</si>
  <si>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</si>
  <si>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</si>
  <si>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</si>
  <si>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</si>
  <si>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</si>
  <si>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</si>
  <si>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</si>
  <si>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</si>
  <si>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</si>
  <si>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</si>
  <si>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</si>
  <si>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</si>
  <si>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</si>
  <si>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</si>
  <si>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</si>
  <si>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</si>
  <si>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</si>
  <si>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</si>
  <si>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</si>
  <si>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</si>
  <si>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</si>
  <si>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</si>
  <si>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</si>
  <si>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</si>
  <si>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</si>
  <si>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</si>
  <si>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</si>
  <si>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</si>
  <si>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</si>
  <si>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</si>
  <si>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</si>
  <si>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</si>
  <si>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</si>
  <si>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</si>
  <si>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</si>
  <si>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</si>
  <si>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</si>
  <si>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</si>
  <si>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</si>
  <si>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</si>
  <si>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</si>
  <si>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</si>
  <si>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</si>
  <si>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</si>
  <si>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</si>
  <si>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</si>
  <si>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</si>
  <si>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</si>
  <si>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</si>
  <si>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</si>
  <si>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</si>
  <si>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</si>
  <si>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</si>
  <si>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</si>
  <si>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</si>
  <si>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</si>
  <si>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</si>
  <si>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</si>
  <si>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</si>
  <si>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</si>
  <si>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</si>
  <si>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</si>
  <si>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</si>
  <si>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</si>
  <si>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</si>
  <si>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</si>
  <si>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</si>
  <si>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</si>
  <si>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</si>
  <si>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</si>
  <si>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</si>
  <si>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</si>
  <si>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</si>
  <si>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</si>
  <si>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</si>
  <si>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</si>
  <si>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</si>
  <si>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</si>
  <si>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</si>
  <si>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</si>
  <si>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</si>
  <si>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</si>
  <si>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</si>
  <si>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</si>
  <si>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</si>
  <si>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</si>
  <si>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</si>
  <si>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</si>
  <si>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</si>
  <si>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</si>
  <si>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</si>
  <si>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</si>
  <si>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</si>
  <si>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</si>
  <si>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</si>
  <si>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</si>
  <si>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</si>
  <si>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</si>
  <si>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</si>
  <si>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</si>
  <si>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</si>
  <si>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</si>
  <si>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</si>
  <si>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</si>
  <si>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</si>
  <si>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</si>
  <si>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</si>
  <si>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</si>
  <si>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</si>
  <si>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</si>
  <si>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</si>
  <si>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</si>
  <si>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</si>
  <si>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</si>
  <si>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</si>
  <si>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</si>
  <si>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</si>
  <si>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</si>
  <si>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</si>
  <si>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</si>
  <si>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</si>
  <si>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</si>
  <si>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</si>
  <si>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</si>
  <si>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</si>
  <si>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</si>
  <si>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</si>
  <si>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</si>
  <si>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</si>
  <si>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</si>
  <si>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</si>
  <si>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</si>
  <si>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</si>
  <si>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</si>
  <si>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</si>
  <si>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</si>
  <si>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</si>
  <si>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</si>
  <si>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</si>
  <si>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</si>
  <si>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</si>
  <si>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</si>
  <si>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</si>
  <si>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</si>
  <si>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</si>
  <si>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</si>
  <si>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</si>
  <si>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</si>
  <si>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</si>
  <si>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</si>
  <si>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</si>
  <si>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</si>
  <si>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</si>
  <si>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</si>
  <si>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</si>
  <si>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</si>
  <si>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</si>
  <si>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</si>
  <si>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</si>
  <si>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</si>
  <si>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</si>
  <si>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</si>
  <si>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</si>
  <si>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</si>
  <si>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</si>
  <si>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</si>
  <si>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</si>
  <si>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</si>
  <si>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</si>
  <si>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</si>
  <si>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</si>
  <si>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</si>
  <si>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</si>
  <si>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</si>
  <si>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</si>
  <si>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</si>
  <si>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</si>
  <si>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</si>
  <si>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</si>
  <si>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</si>
  <si>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</si>
  <si>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</si>
  <si>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</si>
  <si>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</si>
  <si>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</si>
  <si>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</si>
  <si>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</si>
  <si>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</si>
  <si>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</si>
  <si>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</si>
  <si>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</si>
  <si>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</si>
  <si>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</si>
  <si>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</si>
  <si>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</si>
  <si>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</si>
  <si>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</si>
  <si>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</si>
  <si>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</si>
  <si>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</si>
  <si>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</si>
  <si>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</si>
  <si>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</si>
  <si>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</si>
  <si>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</si>
  <si>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</si>
  <si>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</si>
  <si>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</si>
  <si>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</si>
  <si>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</si>
  <si>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</si>
  <si>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</si>
  <si>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</si>
  <si>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</si>
  <si>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</si>
  <si>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</si>
  <si>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</si>
  <si>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</si>
  <si>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</si>
  <si>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</si>
  <si>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</si>
  <si>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</si>
  <si>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</si>
  <si>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</si>
  <si>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</si>
  <si>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</si>
  <si>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</si>
  <si>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</si>
  <si>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</si>
  <si>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</si>
  <si>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</si>
  <si>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</si>
  <si>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</si>
  <si>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</si>
  <si>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</si>
  <si>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</si>
  <si>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</si>
  <si>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</si>
  <si>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</si>
  <si>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</si>
  <si>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</si>
  <si>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</si>
  <si>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</si>
  <si>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</si>
  <si>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</si>
  <si>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</si>
  <si>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</si>
  <si>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</si>
  <si>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</si>
  <si>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</si>
  <si>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</si>
  <si>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</si>
  <si>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</si>
  <si>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</si>
  <si>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</si>
  <si>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</si>
  <si>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</si>
  <si>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</si>
  <si>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</si>
  <si>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</si>
  <si>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</si>
  <si>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</si>
  <si>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</si>
  <si>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</si>
  <si>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</si>
  <si>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</si>
  <si>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</si>
  <si>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</si>
  <si>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</si>
  <si>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</si>
  <si>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</si>
  <si>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</si>
  <si>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</si>
  <si>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</si>
  <si>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</si>
  <si>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</si>
  <si>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</si>
  <si>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</si>
  <si>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</si>
  <si>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</si>
  <si>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</si>
  <si>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</si>
  <si>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</si>
  <si>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</si>
  <si>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</si>
  <si>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</si>
  <si>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</si>
  <si>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</si>
  <si>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</si>
  <si>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</si>
  <si>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</si>
  <si>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</si>
  <si>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</si>
  <si>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</si>
  <si>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</si>
  <si>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</si>
  <si>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</si>
  <si>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</si>
  <si>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</si>
  <si>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</si>
  <si>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</si>
  <si>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</si>
  <si>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</si>
  <si>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</si>
  <si>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</si>
  <si>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</si>
  <si>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</si>
  <si>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</si>
  <si>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</si>
  <si>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</si>
  <si>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</si>
  <si>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</si>
  <si>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</si>
  <si>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</si>
  <si>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</si>
  <si>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</si>
  <si>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</si>
  <si>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</si>
  <si>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</si>
  <si>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</si>
  <si>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</si>
  <si>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</si>
  <si>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</si>
  <si>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</si>
  <si>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</si>
  <si>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</si>
  <si>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</si>
  <si>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</si>
  <si>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</si>
  <si>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</si>
  <si>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</si>
  <si>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</si>
  <si>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</si>
  <si>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</si>
  <si>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</si>
  <si>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</si>
  <si>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</si>
  <si>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</si>
  <si>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</si>
  <si>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</si>
  <si>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</si>
  <si>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</si>
  <si>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</si>
  <si>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</si>
  <si>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</si>
  <si>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</si>
  <si>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</si>
  <si>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</si>
  <si>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</si>
  <si>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</si>
  <si>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</si>
  <si>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</si>
  <si>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</si>
  <si>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</si>
  <si>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</si>
  <si>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</si>
  <si>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</si>
  <si>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</si>
  <si>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</si>
  <si>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</si>
  <si>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</si>
  <si>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</si>
  <si>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</si>
  <si>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</si>
  <si>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</si>
  <si>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</si>
  <si>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</si>
  <si>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</si>
  <si>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</si>
  <si>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</si>
  <si>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</si>
  <si>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</si>
  <si>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</si>
  <si>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</si>
  <si>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</si>
  <si>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</si>
  <si>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</si>
  <si>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</si>
  <si>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</si>
  <si>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</si>
  <si>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</si>
  <si>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</si>
  <si>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</si>
  <si>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</si>
  <si>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</si>
  <si>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</si>
  <si>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</si>
  <si>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</si>
  <si>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</si>
  <si>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</si>
  <si>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</si>
  <si>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</si>
  <si>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</si>
  <si>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</si>
  <si>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</si>
  <si>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</si>
  <si>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</si>
  <si>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</si>
  <si>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</si>
  <si>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</si>
  <si>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</si>
  <si>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</si>
  <si>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</si>
  <si>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</si>
  <si>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</si>
  <si>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</si>
  <si>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</si>
  <si>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</si>
  <si>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</si>
  <si>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</si>
  <si>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</si>
  <si>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</si>
  <si>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</si>
  <si>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</si>
  <si>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</si>
  <si>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</si>
  <si>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</si>
  <si>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</si>
  <si>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</si>
  <si>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</si>
  <si>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</si>
  <si>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</si>
  <si>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</si>
  <si>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</si>
  <si>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</si>
  <si>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</si>
  <si>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</si>
  <si>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</si>
  <si>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</si>
  <si>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</si>
  <si>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</si>
  <si>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</si>
  <si>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</si>
  <si>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</si>
  <si>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</si>
  <si>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</si>
  <si>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</si>
  <si>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</si>
  <si>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</si>
  <si>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</si>
  <si>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</si>
  <si>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</si>
  <si>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</si>
  <si>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</si>
  <si>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</si>
  <si>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</si>
  <si>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</si>
  <si>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</si>
  <si>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</si>
  <si>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</si>
  <si>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</si>
  <si>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</si>
  <si>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</si>
  <si>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</si>
  <si>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</si>
  <si>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</si>
  <si>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</si>
  <si>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</si>
  <si>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</si>
  <si>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</si>
  <si>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</si>
  <si>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</si>
  <si>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</si>
  <si>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</si>
  <si>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</si>
  <si>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</si>
  <si>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</si>
  <si>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</si>
  <si>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</si>
  <si>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</si>
  <si>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</si>
  <si>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</si>
  <si>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</si>
  <si>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</si>
  <si>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</si>
  <si>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</si>
  <si>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</si>
  <si>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</si>
  <si>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</si>
  <si>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</si>
  <si>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</si>
  <si>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</si>
  <si>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</si>
  <si>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</si>
  <si>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</si>
  <si>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</si>
  <si>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</si>
  <si>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</si>
  <si>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</si>
  <si>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</si>
  <si>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</si>
  <si>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</si>
  <si>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</si>
  <si>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</si>
  <si>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</si>
  <si>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</si>
  <si>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</si>
  <si>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</si>
  <si>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</si>
  <si>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</si>
  <si>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</si>
  <si>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</si>
  <si>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</si>
  <si>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</si>
  <si>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</si>
  <si>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</si>
  <si>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</si>
  <si>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</si>
  <si>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</si>
  <si>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</si>
  <si>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</si>
  <si>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</si>
  <si>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</si>
  <si>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</si>
  <si>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</si>
  <si>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</si>
  <si>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</si>
  <si>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</si>
  <si>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</si>
  <si>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</si>
  <si>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</si>
  <si>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</si>
  <si>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</si>
  <si>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</si>
  <si>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</si>
  <si>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</si>
  <si>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</si>
  <si>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</si>
  <si>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</si>
  <si>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</si>
  <si>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</si>
  <si>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</si>
  <si>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</si>
  <si>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</si>
  <si>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</si>
  <si>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</si>
  <si>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</si>
  <si>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</si>
  <si>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</si>
  <si>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</si>
  <si>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</si>
  <si>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</si>
  <si>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</si>
  <si>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</si>
  <si>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</si>
  <si>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</si>
  <si>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</si>
  <si>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</si>
  <si>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</si>
  <si>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</si>
  <si>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</si>
  <si>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</si>
  <si>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</si>
  <si>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</si>
  <si>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</si>
  <si>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</si>
  <si>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</si>
  <si>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</si>
  <si>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</si>
  <si>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</si>
  <si>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</si>
  <si>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</si>
  <si>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</si>
  <si>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</si>
  <si>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</si>
  <si>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</si>
  <si>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</si>
  <si>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</si>
  <si>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</si>
  <si>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</si>
  <si>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</si>
  <si>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</si>
  <si>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</si>
  <si>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</si>
  <si>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</si>
  <si>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</si>
  <si>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</si>
  <si>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</si>
  <si>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</si>
  <si>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</si>
  <si>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</si>
  <si>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</si>
  <si>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</si>
  <si>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</si>
  <si>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</si>
  <si>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</si>
  <si>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</si>
  <si>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</si>
  <si>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</si>
  <si>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</si>
  <si>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</si>
  <si>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</si>
  <si>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</si>
  <si>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</si>
  <si>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</si>
  <si>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</si>
  <si>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</si>
  <si>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</si>
  <si>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</si>
  <si>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</si>
  <si>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</si>
  <si>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</si>
  <si>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</si>
  <si>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</si>
  <si>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</si>
  <si>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</si>
  <si>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</si>
  <si>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</si>
  <si>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</si>
  <si>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</si>
  <si>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</si>
  <si>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</si>
  <si>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</si>
  <si>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</si>
  <si>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</si>
  <si>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</si>
  <si>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</si>
  <si>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</si>
  <si>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</si>
  <si>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</si>
  <si>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</si>
  <si>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</si>
  <si>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</si>
  <si>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</si>
  <si>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</si>
  <si>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</si>
  <si>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</si>
  <si>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</si>
  <si>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</si>
  <si>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</si>
  <si>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</si>
  <si>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</si>
  <si>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</si>
  <si>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</si>
  <si>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</si>
  <si>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</si>
  <si>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</si>
  <si>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</si>
  <si>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</si>
  <si>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</si>
  <si>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</si>
  <si>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</si>
  <si>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</si>
  <si>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</si>
  <si>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</si>
  <si>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</si>
  <si>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</si>
  <si>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</si>
  <si>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</si>
  <si>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</si>
  <si>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</si>
  <si>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</si>
  <si>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</si>
  <si>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</si>
  <si>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</si>
  <si>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</si>
  <si>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</si>
  <si>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</si>
  <si>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</si>
  <si>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</si>
  <si>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</si>
  <si>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</si>
  <si>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</si>
  <si>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</si>
  <si>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</si>
  <si>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</si>
  <si>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</si>
  <si>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</si>
  <si>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</si>
  <si>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</si>
  <si>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</si>
  <si>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</si>
  <si>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</si>
  <si>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</si>
  <si>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</si>
  <si>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</si>
  <si>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</si>
  <si>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</si>
  <si>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</si>
  <si>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</si>
  <si>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</si>
  <si>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</si>
  <si>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</si>
  <si>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</si>
  <si>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</si>
  <si>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</si>
  <si>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</si>
  <si>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</si>
  <si>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</si>
  <si>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</si>
  <si>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</si>
  <si>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</si>
  <si>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</si>
  <si>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</si>
  <si>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</si>
  <si>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</si>
  <si>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</si>
  <si>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</si>
  <si>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</si>
  <si>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</si>
  <si>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</si>
  <si>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</si>
  <si>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</si>
  <si>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</si>
  <si>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</si>
  <si>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</si>
  <si>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</si>
  <si>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</si>
  <si>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</si>
  <si>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</si>
  <si>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</si>
  <si>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</si>
  <si>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</si>
  <si>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</si>
  <si>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</si>
  <si>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</si>
  <si>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</si>
  <si>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</si>
  <si>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</si>
  <si>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</si>
  <si>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</si>
  <si>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</si>
  <si>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</si>
  <si>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</si>
  <si>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</si>
  <si>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</si>
  <si>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</si>
  <si>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</si>
  <si>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</si>
  <si>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</si>
  <si>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</si>
  <si>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</si>
  <si>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</si>
  <si>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</si>
  <si>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</si>
  <si>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</si>
  <si>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</si>
  <si>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</si>
  <si>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</si>
  <si>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</si>
  <si>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</si>
  <si>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</si>
  <si>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</si>
  <si>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</si>
  <si>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</si>
  <si>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</si>
  <si>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</si>
  <si>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</si>
  <si>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</si>
  <si>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</si>
  <si>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</si>
  <si>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</si>
  <si>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</si>
  <si>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</si>
  <si>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</si>
  <si>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</si>
  <si>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</si>
  <si>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</si>
  <si>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</si>
  <si>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</si>
  <si>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</si>
  <si>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</si>
  <si>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</si>
  <si>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</si>
  <si>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</si>
  <si>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</si>
  <si>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</si>
  <si>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</si>
  <si>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</si>
  <si>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</si>
  <si>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</si>
  <si>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</si>
  <si>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</si>
  <si>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</si>
  <si>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</si>
  <si>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</si>
  <si>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</si>
  <si>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</si>
  <si>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</si>
  <si>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</si>
  <si>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</si>
  <si>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</si>
  <si>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</si>
  <si>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</si>
  <si>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</si>
  <si>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</si>
  <si>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</si>
  <si>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</si>
  <si>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</si>
  <si>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</si>
  <si>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</si>
  <si>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</si>
  <si>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</si>
  <si>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</si>
  <si>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</si>
  <si>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</si>
  <si>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</si>
  <si>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</si>
  <si>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</si>
  <si>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</si>
  <si>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</si>
  <si>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</si>
  <si>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</si>
  <si>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</si>
  <si>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</si>
  <si>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</si>
  <si>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</si>
  <si>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</si>
  <si>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</si>
  <si>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</si>
  <si>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</si>
  <si>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</si>
  <si>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</si>
  <si>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</si>
  <si>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</si>
  <si>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</si>
  <si>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</si>
  <si>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</si>
  <si>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</si>
  <si>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</si>
  <si>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</si>
  <si>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</si>
  <si>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</si>
  <si>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</si>
  <si>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</si>
  <si>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</si>
  <si>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</si>
  <si>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</si>
  <si>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</si>
  <si>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</si>
  <si>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</si>
  <si>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</si>
  <si>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</si>
  <si>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</si>
  <si>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</si>
  <si>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</si>
  <si>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</si>
  <si>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</si>
  <si>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</si>
  <si>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</si>
  <si>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</si>
  <si>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</si>
  <si>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</si>
  <si>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</si>
  <si>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</si>
  <si>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</si>
  <si>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</si>
  <si>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</si>
  <si>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</si>
  <si>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</si>
  <si>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</si>
  <si>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</si>
  <si>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</si>
  <si>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</si>
  <si>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</si>
  <si>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</si>
  <si>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</si>
  <si>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</si>
  <si>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</si>
  <si>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</si>
  <si>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</si>
  <si>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</si>
  <si>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</si>
  <si>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</si>
  <si>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</si>
  <si>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</si>
  <si>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</si>
  <si>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</si>
  <si>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</si>
  <si>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</si>
  <si>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</si>
  <si>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</si>
  <si>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</si>
  <si>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</si>
  <si>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</si>
  <si>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</si>
  <si>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</si>
  <si>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</si>
  <si>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</si>
  <si>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</si>
  <si>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</si>
  <si>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</si>
  <si>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</si>
  <si>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</si>
  <si>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</si>
  <si>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</si>
  <si>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</si>
  <si>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</si>
  <si>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</si>
  <si>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</si>
  <si>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</si>
  <si>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</si>
  <si>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</si>
  <si>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</si>
  <si>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</si>
  <si>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</si>
  <si>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</si>
  <si>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</si>
  <si>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</si>
  <si>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</si>
  <si>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</si>
  <si>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</si>
  <si>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</si>
  <si>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</si>
  <si>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</si>
  <si>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</si>
  <si>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</si>
  <si>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</si>
  <si>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</si>
  <si>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</si>
  <si>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</si>
  <si>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</si>
  <si>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</si>
  <si>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</si>
  <si>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</si>
  <si>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</si>
  <si>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</si>
  <si>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</si>
  <si>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</si>
  <si>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</si>
  <si>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</si>
  <si>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</si>
  <si>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</si>
  <si>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</si>
  <si>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</si>
  <si>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</si>
  <si>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</si>
  <si>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</si>
  <si>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</si>
  <si>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</si>
  <si>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</si>
  <si>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</si>
  <si>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</si>
  <si>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</si>
  <si>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</si>
  <si>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</si>
  <si>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</si>
  <si>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</si>
  <si>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</si>
  <si>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</si>
  <si>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</si>
  <si>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</si>
  <si>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</si>
  <si>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</si>
  <si>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</si>
  <si>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</si>
  <si>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</si>
  <si>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</si>
  <si>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</si>
  <si>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</si>
  <si>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</si>
  <si>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</si>
  <si>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</si>
  <si>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</si>
  <si>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</si>
  <si>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</si>
  <si>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</si>
  <si>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</si>
  <si>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</si>
  <si>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</si>
  <si>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</si>
  <si>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</si>
  <si>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</si>
  <si>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</si>
  <si>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</si>
  <si>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</si>
  <si>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</si>
  <si>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</si>
  <si>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</si>
  <si>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</si>
  <si>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</si>
  <si>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</si>
  <si>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</si>
  <si>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</si>
  <si>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</si>
  <si>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</si>
  <si>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</si>
  <si>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</si>
  <si>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</si>
  <si>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</si>
  <si>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</si>
  <si>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</si>
  <si>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</si>
  <si>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</si>
  <si>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</si>
  <si>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</si>
  <si>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</si>
  <si>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</si>
  <si>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</si>
  <si>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</si>
  <si>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</si>
  <si>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</si>
  <si>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</si>
  <si>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</si>
  <si>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</si>
  <si>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</si>
  <si>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</si>
  <si>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</si>
  <si>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</si>
  <si>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</si>
  <si>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</si>
  <si>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</si>
  <si>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</si>
  <si>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</si>
  <si>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</si>
  <si>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</si>
  <si>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</si>
  <si>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</si>
  <si>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</si>
  <si>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</si>
  <si>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</si>
  <si>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</si>
  <si>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</si>
  <si>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</si>
  <si>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</si>
  <si>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</si>
  <si>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</si>
  <si>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</si>
  <si>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</si>
  <si>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</si>
  <si>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</si>
  <si>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</si>
  <si>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</si>
  <si>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</si>
  <si>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</si>
  <si>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</si>
  <si>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</si>
  <si>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</si>
  <si>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</si>
  <si>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</si>
  <si>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</si>
  <si>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</si>
  <si>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</si>
  <si>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</si>
  <si>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</si>
  <si>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</si>
  <si>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</si>
  <si>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</si>
  <si>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</si>
  <si>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</si>
  <si>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</si>
  <si>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</si>
  <si>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</si>
  <si>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</si>
  <si>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</si>
  <si>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</si>
  <si>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</si>
  <si>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</si>
  <si>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</si>
  <si>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</si>
  <si>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</si>
  <si>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</si>
  <si>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</si>
  <si>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</si>
  <si>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</si>
  <si>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</si>
  <si>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</si>
  <si>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</si>
  <si>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</si>
  <si>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</si>
  <si>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</si>
  <si>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</si>
  <si>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</si>
  <si>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</si>
  <si>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</si>
  <si>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</si>
  <si>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</si>
  <si>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</si>
  <si>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</si>
  <si>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</si>
  <si>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</si>
  <si>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</si>
  <si>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</si>
  <si>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</si>
  <si>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</si>
  <si>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</si>
  <si>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</si>
  <si>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</si>
  <si>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</si>
  <si>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</si>
  <si>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</si>
  <si>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</si>
  <si>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</si>
  <si>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</si>
  <si>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</si>
  <si>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</si>
  <si>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</si>
  <si>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</si>
  <si>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</si>
  <si>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</si>
  <si>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</si>
  <si>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</si>
  <si>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</si>
  <si>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</si>
  <si>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</si>
  <si>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</si>
  <si>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</si>
  <si>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</si>
  <si>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</si>
  <si>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</si>
  <si>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</si>
  <si>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</si>
  <si>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</si>
  <si>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</si>
  <si>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</si>
  <si>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</si>
  <si>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</si>
  <si>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</si>
  <si>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</si>
  <si>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</si>
  <si>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</si>
  <si>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</si>
  <si>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</si>
  <si>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</si>
  <si>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</si>
  <si>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</si>
  <si>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</si>
  <si>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</si>
  <si>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</si>
  <si>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</si>
  <si>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</si>
  <si>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</si>
  <si>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</si>
  <si>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</si>
  <si>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</si>
  <si>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</si>
  <si>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</si>
  <si>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</si>
  <si>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</si>
  <si>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</si>
  <si>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</si>
  <si>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</si>
  <si>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</si>
  <si>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</si>
  <si>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</si>
  <si>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</si>
  <si>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</si>
  <si>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</si>
  <si>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</si>
  <si>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</si>
  <si>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</si>
  <si>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</si>
  <si>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</si>
  <si>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</si>
  <si>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</si>
  <si>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</si>
  <si>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</si>
  <si>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</si>
  <si>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</si>
  <si>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</si>
  <si>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</si>
  <si>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</si>
  <si>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</si>
  <si>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</si>
  <si>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</si>
  <si>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</si>
  <si>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</si>
  <si>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</si>
  <si>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</si>
  <si>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</si>
  <si>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</si>
  <si>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</si>
  <si>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</si>
  <si>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</si>
  <si>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</si>
  <si>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</si>
  <si>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</si>
  <si>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</si>
  <si>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</si>
  <si>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</si>
  <si>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</si>
  <si>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</si>
  <si>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</si>
  <si>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</si>
  <si>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</si>
  <si>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</si>
  <si>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</si>
  <si>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</si>
  <si>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</si>
  <si>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</si>
  <si>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</si>
  <si>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</si>
  <si>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</si>
  <si>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</si>
  <si>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</si>
  <si>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</si>
  <si>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</si>
  <si>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</si>
  <si>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</si>
  <si>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</si>
  <si>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</si>
  <si>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</si>
  <si>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</si>
  <si>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</si>
  <si>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</si>
  <si>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</si>
  <si>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</si>
  <si>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</si>
  <si>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</si>
  <si>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</si>
  <si>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</si>
  <si>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</si>
  <si>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</si>
  <si>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</si>
  <si>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</si>
  <si>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</si>
  <si>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</si>
  <si>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</si>
  <si>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</si>
  <si>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</si>
  <si>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</si>
  <si>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</si>
  <si>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</si>
  <si>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</si>
  <si>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</si>
  <si>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</si>
  <si>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</si>
  <si>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</si>
  <si>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</si>
  <si>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</si>
  <si>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</si>
  <si>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</si>
  <si>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</si>
  <si>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</si>
  <si>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</si>
  <si>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</si>
  <si>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</si>
  <si>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</si>
  <si>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</si>
  <si>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</si>
  <si>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</si>
  <si>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</si>
  <si>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</si>
  <si>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</si>
  <si>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</si>
  <si>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</si>
  <si>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</si>
  <si>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</si>
  <si>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</si>
  <si>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</si>
  <si>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</si>
  <si>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</si>
  <si>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</si>
  <si>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</si>
  <si>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</si>
  <si>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</si>
  <si>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</si>
  <si>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</si>
  <si>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</si>
  <si>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</si>
  <si>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</si>
  <si>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</si>
  <si>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</si>
  <si>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</si>
  <si>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</si>
  <si>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</si>
  <si>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</si>
  <si>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</si>
  <si>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</si>
  <si>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</si>
  <si>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</si>
  <si>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</si>
  <si>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</si>
  <si>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</si>
  <si>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</si>
  <si>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</si>
  <si>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</si>
  <si>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</si>
  <si>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</si>
  <si>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</si>
  <si>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</si>
  <si>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</si>
  <si>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</si>
  <si>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</si>
  <si>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</si>
  <si>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</si>
  <si>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</si>
  <si>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</si>
  <si>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</si>
  <si>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</si>
  <si>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</si>
  <si>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</si>
  <si>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</si>
  <si>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</si>
  <si>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</si>
  <si>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</si>
  <si>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</si>
  <si>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</si>
  <si>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</si>
  <si>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</si>
  <si>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</si>
  <si>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</si>
  <si>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</si>
  <si>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</si>
  <si>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</si>
  <si>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</si>
  <si>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</si>
  <si>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</si>
  <si>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</si>
  <si>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</si>
  <si>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</si>
  <si>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</si>
  <si>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</si>
  <si>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</si>
  <si>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</si>
  <si>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</si>
  <si>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</si>
  <si>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</si>
  <si>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</si>
  <si>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</si>
  <si>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</si>
  <si>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</si>
  <si>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</si>
  <si>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</si>
  <si>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</si>
  <si>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</si>
  <si>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</si>
  <si>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</si>
  <si>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</si>
  <si>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</si>
  <si>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</si>
  <si>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</si>
  <si>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</si>
  <si>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</si>
  <si>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</si>
  <si>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</si>
  <si>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</si>
  <si>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</si>
  <si>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</si>
  <si>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</si>
  <si>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</si>
  <si>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</si>
  <si>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</si>
  <si>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</si>
  <si>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</si>
  <si>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</si>
  <si>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</si>
  <si>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</si>
  <si>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</si>
  <si>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</si>
  <si>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</si>
  <si>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</si>
  <si>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</si>
  <si>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</si>
  <si>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</si>
  <si>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</si>
  <si>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</si>
  <si>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</si>
  <si>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</si>
  <si>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</si>
  <si>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</si>
  <si>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</si>
  <si>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</si>
  <si>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</si>
  <si>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</si>
  <si>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</si>
  <si>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</si>
  <si>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</si>
  <si>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</si>
  <si>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</si>
  <si>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</si>
  <si>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</si>
  <si>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</si>
  <si>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</si>
  <si>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</si>
  <si>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</si>
  <si>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</si>
  <si>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</si>
  <si>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</si>
  <si>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</si>
  <si>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</si>
  <si>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</si>
  <si>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</si>
  <si>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</si>
  <si>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</si>
  <si>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</si>
  <si>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</si>
  <si>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</si>
  <si>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</si>
  <si>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</si>
  <si>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</si>
  <si>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</si>
  <si>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</si>
  <si>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</si>
  <si>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</si>
  <si>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</si>
  <si>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</si>
  <si>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</si>
  <si>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</si>
  <si>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</si>
  <si>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</si>
  <si>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</si>
  <si>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</si>
  <si>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</si>
  <si>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</si>
  <si>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</si>
  <si>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</si>
  <si>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</si>
  <si>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</si>
  <si>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</si>
  <si>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</si>
  <si>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</si>
  <si>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</si>
  <si>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</si>
  <si>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</si>
  <si>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</si>
  <si>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</si>
  <si>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</si>
  <si>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</si>
  <si>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</si>
  <si>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</si>
  <si>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</si>
  <si>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</si>
  <si>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</si>
  <si>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</si>
  <si>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</si>
  <si>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</si>
  <si>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</si>
  <si>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</si>
  <si>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</si>
  <si>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</si>
  <si>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</si>
  <si>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</si>
  <si>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</si>
  <si>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</si>
  <si>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</si>
  <si>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</si>
  <si>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</si>
  <si>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</si>
  <si>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</si>
  <si>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</si>
  <si>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</si>
  <si>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</si>
  <si>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</si>
  <si>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</si>
  <si>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</si>
  <si>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</si>
  <si>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</si>
  <si>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</si>
  <si>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</si>
  <si>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</si>
  <si>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</si>
  <si>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</si>
  <si>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</si>
  <si>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</si>
  <si>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</si>
  <si>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</si>
  <si>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</si>
  <si>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</si>
  <si>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</si>
  <si>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</si>
  <si>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</si>
  <si>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</si>
  <si>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</si>
  <si>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</si>
  <si>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</si>
  <si>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</si>
  <si>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</si>
  <si>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</si>
  <si>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</si>
  <si>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</si>
  <si>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</si>
  <si>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</si>
  <si>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</si>
  <si>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</si>
  <si>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</si>
  <si>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</si>
  <si>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</si>
  <si>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</si>
  <si>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</si>
  <si>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</si>
  <si>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</si>
  <si>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</si>
  <si>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</si>
  <si>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</si>
  <si>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</si>
  <si>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</si>
  <si>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</si>
  <si>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</si>
  <si>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</si>
  <si>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</si>
  <si>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</si>
  <si>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</si>
  <si>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</si>
  <si>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</si>
  <si>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</si>
  <si>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</si>
  <si>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</si>
  <si>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</si>
  <si>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</si>
  <si>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</si>
  <si>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</si>
  <si>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</si>
  <si>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</si>
  <si>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</si>
  <si>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</si>
  <si>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</si>
  <si>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</si>
  <si>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</si>
  <si>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</si>
  <si>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</si>
  <si>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</si>
  <si>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</si>
  <si>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</si>
  <si>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</si>
  <si>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</si>
  <si>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</si>
  <si>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</si>
  <si>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</si>
  <si>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</si>
  <si>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</si>
  <si>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</si>
  <si>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</si>
  <si>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</si>
  <si>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</si>
  <si>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</si>
  <si>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</si>
  <si>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</si>
  <si>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</si>
  <si>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</si>
  <si>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</si>
  <si>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</si>
  <si>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</si>
  <si>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</si>
  <si>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</si>
  <si>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</si>
  <si>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</si>
  <si>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</si>
  <si>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</si>
  <si>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</si>
  <si>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</si>
  <si>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</si>
  <si>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</si>
  <si>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</si>
  <si>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</si>
  <si>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</si>
  <si>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</si>
  <si>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</si>
  <si>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</si>
  <si>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</si>
  <si>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</si>
  <si>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</si>
  <si>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</si>
  <si>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</si>
  <si>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</si>
  <si>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</si>
  <si>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</si>
  <si>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</si>
  <si>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</si>
  <si>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</si>
  <si>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</si>
  <si>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</si>
  <si>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</si>
  <si>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</si>
  <si>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</si>
  <si>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</si>
  <si>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</si>
  <si>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</si>
  <si>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</si>
  <si>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</si>
  <si>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</si>
  <si>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</si>
  <si>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</si>
  <si>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</si>
  <si>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</si>
  <si>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</si>
  <si>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</si>
  <si>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</si>
  <si>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</si>
  <si>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</si>
  <si>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</si>
  <si>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</si>
  <si>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</si>
  <si>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</si>
  <si>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</si>
  <si>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</si>
  <si>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</si>
  <si>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</si>
  <si>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</si>
  <si>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</si>
  <si>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</si>
  <si>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</si>
  <si>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</si>
  <si>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</si>
  <si>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</si>
  <si>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</si>
  <si>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</si>
  <si>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</si>
  <si>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</si>
  <si>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</si>
  <si>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</si>
  <si>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</si>
  <si>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</si>
  <si>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</si>
  <si>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</si>
  <si>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</si>
  <si>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</si>
  <si>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</si>
  <si>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</si>
  <si>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</si>
  <si>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</si>
  <si>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</si>
  <si>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</si>
  <si>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</si>
  <si>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</si>
  <si>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</si>
  <si>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</si>
  <si>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</si>
  <si>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</si>
  <si>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</si>
  <si>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</si>
  <si>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</si>
  <si>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</si>
  <si>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</si>
  <si>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</si>
  <si>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</si>
  <si>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</si>
  <si>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</si>
  <si>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</si>
  <si>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</si>
  <si>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</si>
  <si>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</si>
  <si>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</si>
  <si>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</si>
  <si>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</si>
  <si>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</si>
  <si>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</si>
  <si>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</si>
  <si>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</si>
  <si>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</si>
  <si>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</si>
  <si>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</si>
  <si>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</si>
  <si>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</si>
  <si>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</si>
  <si>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</si>
  <si>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</si>
  <si>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</si>
  <si>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</si>
  <si>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</si>
  <si>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</si>
  <si>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</si>
  <si>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</si>
  <si>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</si>
  <si>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</si>
  <si>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</si>
  <si>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</si>
  <si>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</si>
  <si>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</si>
  <si>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</si>
  <si>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</si>
  <si>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</si>
  <si>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</si>
  <si>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</si>
  <si>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</si>
  <si>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</si>
  <si>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</si>
  <si>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</si>
  <si>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</si>
  <si>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</si>
  <si>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</si>
  <si>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</si>
  <si>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</si>
  <si>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</si>
  <si>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</si>
  <si>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</si>
  <si>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</si>
  <si>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</si>
  <si>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</si>
  <si>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</si>
  <si>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</si>
  <si>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</si>
  <si>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</si>
  <si>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</si>
  <si>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</si>
  <si>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</si>
  <si>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</si>
  <si>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</si>
  <si>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</si>
  <si>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</si>
  <si>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</si>
  <si>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</si>
  <si>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</si>
  <si>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</si>
  <si>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</si>
  <si>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</si>
  <si>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</si>
  <si>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</si>
  <si>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</si>
  <si>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</si>
  <si>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</si>
  <si>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</si>
  <si>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</si>
  <si>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</si>
  <si>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</si>
  <si>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</si>
  <si>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</si>
  <si>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</si>
  <si>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</si>
  <si>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</si>
  <si>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</si>
  <si>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</si>
  <si>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</si>
  <si>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</si>
  <si>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</si>
  <si>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</si>
  <si>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</si>
  <si>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</si>
  <si>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</si>
  <si>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</si>
  <si>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</si>
  <si>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</si>
  <si>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</si>
  <si>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</si>
  <si>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</si>
  <si>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</si>
  <si>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</si>
  <si>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</si>
  <si>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</si>
  <si>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</si>
  <si>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</si>
  <si>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</si>
  <si>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</si>
  <si>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</si>
  <si>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</si>
  <si>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</si>
  <si>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</si>
  <si>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</si>
  <si>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</si>
  <si>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</si>
  <si>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</si>
  <si>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</si>
  <si>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</si>
  <si>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</si>
  <si>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</si>
  <si>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</si>
  <si>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</si>
  <si>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</si>
  <si>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</si>
  <si>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</si>
  <si>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</si>
  <si>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</si>
  <si>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</si>
  <si>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</si>
  <si>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</si>
  <si>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</si>
  <si>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</si>
  <si>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</si>
  <si>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</si>
  <si>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</si>
  <si>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</si>
  <si>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</si>
  <si>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</si>
  <si>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</si>
  <si>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</si>
  <si>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</si>
  <si>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</si>
  <si>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</si>
  <si>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</si>
  <si>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</si>
  <si>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</si>
  <si>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</si>
  <si>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</si>
  <si>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</si>
  <si>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</si>
  <si>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</si>
  <si>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</si>
  <si>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</si>
  <si>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</si>
  <si>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</si>
  <si>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</si>
  <si>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</si>
  <si>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</si>
  <si>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</si>
  <si>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</si>
  <si>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</si>
  <si>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</si>
  <si>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</si>
  <si>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</si>
  <si>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</si>
  <si>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</si>
  <si>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</si>
  <si>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</si>
  <si>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</si>
  <si>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</si>
  <si>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</si>
  <si>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</si>
  <si>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</si>
  <si>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</si>
  <si>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</si>
  <si>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</si>
  <si>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</si>
  <si>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</si>
  <si>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</si>
  <si>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</si>
  <si>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</si>
  <si>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</si>
  <si>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</si>
  <si>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</si>
  <si>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</si>
  <si>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</si>
  <si>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</si>
  <si>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</si>
  <si>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</si>
  <si>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</si>
  <si>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</si>
  <si>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</si>
  <si>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</si>
  <si>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</si>
  <si>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</si>
  <si>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</si>
  <si>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</si>
  <si>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</si>
  <si>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</si>
  <si>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</si>
  <si>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</si>
  <si>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</si>
  <si>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</si>
  <si>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</si>
  <si>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</si>
  <si>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</si>
  <si>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</si>
  <si>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</si>
  <si>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</si>
  <si>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</si>
  <si>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</si>
  <si>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</si>
  <si>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</si>
  <si>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</si>
  <si>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</si>
  <si>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</si>
  <si>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</si>
  <si>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</si>
  <si>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</si>
  <si>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</si>
  <si>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</si>
  <si>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</si>
  <si>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</si>
  <si>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</si>
  <si>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</si>
  <si>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</si>
  <si>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</si>
  <si>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</si>
  <si>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</si>
  <si>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</si>
  <si>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</si>
  <si>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</si>
  <si>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</si>
  <si>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</si>
  <si>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</si>
  <si>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</si>
  <si>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</si>
  <si>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</si>
  <si>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</si>
  <si>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</si>
  <si>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</si>
  <si>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</si>
  <si>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</si>
  <si>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</si>
  <si>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</si>
  <si>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</si>
  <si>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</si>
  <si>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</si>
  <si>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</si>
  <si>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</si>
  <si>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</si>
  <si>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</si>
  <si>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</si>
  <si>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</si>
  <si>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</si>
  <si>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</si>
  <si>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</si>
  <si>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</si>
  <si>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</si>
  <si>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</si>
  <si>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</si>
  <si>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</si>
  <si>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</si>
  <si>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</si>
  <si>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</si>
  <si>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</si>
  <si>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</si>
  <si>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</si>
  <si>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</si>
  <si>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</si>
  <si>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</si>
  <si>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</si>
  <si>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</si>
  <si>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</si>
  <si>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</si>
  <si>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</si>
  <si>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</si>
  <si>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</si>
  <si>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</si>
  <si>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</si>
  <si>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</si>
  <si>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</si>
  <si>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</si>
  <si>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</si>
  <si>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</si>
  <si>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</si>
  <si>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</si>
  <si>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</si>
  <si>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</si>
  <si>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</si>
  <si>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</si>
  <si>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</si>
  <si>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</si>
  <si>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</si>
  <si>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</si>
  <si>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</si>
  <si>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</si>
  <si>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</si>
  <si>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</si>
  <si>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</si>
  <si>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</si>
  <si>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</si>
  <si>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</si>
  <si>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</si>
  <si>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</si>
  <si>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</si>
  <si>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</si>
  <si>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</si>
  <si>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</si>
  <si>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</si>
  <si>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</si>
  <si>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</si>
  <si>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</si>
  <si>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</si>
  <si>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</si>
  <si>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</si>
  <si>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</si>
  <si>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</si>
  <si>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</si>
  <si>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</si>
  <si>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</si>
  <si>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</si>
  <si>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</si>
  <si>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</si>
  <si>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</si>
  <si>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</si>
  <si>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</si>
  <si>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</si>
  <si>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</si>
  <si>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</si>
  <si>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</si>
  <si>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</si>
  <si>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</si>
  <si>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</si>
  <si>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</si>
  <si>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</si>
  <si>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</si>
  <si>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</si>
  <si>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</si>
  <si>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</si>
  <si>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</si>
  <si>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</si>
  <si>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</si>
  <si>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</si>
  <si>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</si>
  <si>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</si>
  <si>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</si>
  <si>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</si>
  <si>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</si>
  <si>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</si>
  <si>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</si>
  <si>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</si>
  <si>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</si>
  <si>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</si>
  <si>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</si>
  <si>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</si>
  <si>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</si>
  <si>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</si>
  <si>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</si>
  <si>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</si>
  <si>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</si>
  <si>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</si>
  <si>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</si>
  <si>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</si>
  <si>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</si>
  <si>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</si>
  <si>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</si>
  <si>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</si>
  <si>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</si>
  <si>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</si>
  <si>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</si>
  <si>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</si>
  <si>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</si>
  <si>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</si>
  <si>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</si>
  <si>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</si>
  <si>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</si>
  <si>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</si>
  <si>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</si>
  <si>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</si>
  <si>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</si>
  <si>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</si>
  <si>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</si>
  <si>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</si>
  <si>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</si>
  <si>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</si>
  <si>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</si>
  <si>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</si>
  <si>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</si>
  <si>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</si>
  <si>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</si>
  <si>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</si>
  <si>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</si>
  <si>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</si>
  <si>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</si>
  <si>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</si>
  <si>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</si>
  <si>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</si>
  <si>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</si>
  <si>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</si>
  <si>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</si>
  <si>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</si>
  <si>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</si>
  <si>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</si>
  <si>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</si>
  <si>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</si>
  <si>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</si>
  <si>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</si>
  <si>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</si>
  <si>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</si>
  <si>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</si>
  <si>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</si>
  <si>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</si>
  <si>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</si>
  <si>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</si>
  <si>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</si>
  <si>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</si>
  <si>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</si>
  <si>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</si>
  <si>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</si>
  <si>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</si>
  <si>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</si>
  <si>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</si>
  <si>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</si>
  <si>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</si>
  <si>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</si>
  <si>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</si>
  <si>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</si>
  <si>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</si>
  <si>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</si>
  <si>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</si>
  <si>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</si>
  <si>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</si>
  <si>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</si>
  <si>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</si>
  <si>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</si>
  <si>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</si>
  <si>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</si>
  <si>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</si>
  <si>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</si>
  <si>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</si>
  <si>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</si>
  <si>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</si>
  <si>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</si>
  <si>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</si>
  <si>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</si>
  <si>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</si>
  <si>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</si>
  <si>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</si>
  <si>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</si>
  <si>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</si>
  <si>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</si>
  <si>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</si>
  <si>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</si>
  <si>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</si>
  <si>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</si>
  <si>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</si>
  <si>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</si>
  <si>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</si>
  <si>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</si>
  <si>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</si>
  <si>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</si>
  <si>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</si>
  <si>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</si>
  <si>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</si>
  <si>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</si>
  <si>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</si>
  <si>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</si>
  <si>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</si>
  <si>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</si>
  <si>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</si>
  <si>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</si>
  <si>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</si>
  <si>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</si>
  <si>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</si>
  <si>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</si>
  <si>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</si>
  <si>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</si>
  <si>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</si>
  <si>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</si>
  <si>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</si>
  <si>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</si>
  <si>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</si>
  <si>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</si>
  <si>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</si>
  <si>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</si>
  <si>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</si>
  <si>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</si>
  <si>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</si>
  <si>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</si>
  <si>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</si>
  <si>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</si>
  <si>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</si>
  <si>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</si>
  <si>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</si>
  <si>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</si>
  <si>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</si>
  <si>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</si>
  <si>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</si>
  <si>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</si>
  <si>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</si>
  <si>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</si>
  <si>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</si>
  <si>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</si>
  <si>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</si>
  <si>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</si>
  <si>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</si>
  <si>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</si>
  <si>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</si>
  <si>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</si>
  <si>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</si>
  <si>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</si>
  <si>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</si>
  <si>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</si>
  <si>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</si>
  <si>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</si>
  <si>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</si>
  <si>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</si>
  <si>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</si>
  <si>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</si>
  <si>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</si>
  <si>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</si>
  <si>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</si>
  <si>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</si>
  <si>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</si>
  <si>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</si>
  <si>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</si>
  <si>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</si>
  <si>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</si>
  <si>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</si>
  <si>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</si>
  <si>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</si>
  <si>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</si>
  <si>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</si>
  <si>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</si>
  <si>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</si>
  <si>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</si>
  <si>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</si>
  <si>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</si>
  <si>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</si>
  <si>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</si>
  <si>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</si>
  <si>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</si>
  <si>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</si>
  <si>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</si>
  <si>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</si>
  <si>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</si>
  <si>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</si>
  <si>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</si>
  <si>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</si>
  <si>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</si>
  <si>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</si>
  <si>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</si>
  <si>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</si>
  <si>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</si>
  <si>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</si>
  <si>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</si>
  <si>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</si>
  <si>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</si>
  <si>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</si>
  <si>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</si>
  <si>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</si>
  <si>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</si>
  <si>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</si>
  <si>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</si>
  <si>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</si>
  <si>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</si>
  <si>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</si>
  <si>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</si>
  <si>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</si>
  <si>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</si>
  <si>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</si>
  <si>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</si>
  <si>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</si>
  <si>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</si>
  <si>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</si>
  <si>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</si>
  <si>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</si>
  <si>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</si>
  <si>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</si>
  <si>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</si>
  <si>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</si>
  <si>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</si>
  <si>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</si>
  <si>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</si>
  <si>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</si>
  <si>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</si>
  <si>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</si>
  <si>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</si>
  <si>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</si>
  <si>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</si>
  <si>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</si>
  <si>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</si>
  <si>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</si>
  <si>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</si>
  <si>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</si>
  <si>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</si>
  <si>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</si>
  <si>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</si>
  <si>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</si>
  <si>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</si>
  <si>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</si>
  <si>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</si>
  <si>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</si>
  <si>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</si>
  <si>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</si>
  <si>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</si>
  <si>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</si>
  <si>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</si>
  <si>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</si>
  <si>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</si>
  <si>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</si>
  <si>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</si>
  <si>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</si>
  <si>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</si>
  <si>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</si>
  <si>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</si>
  <si>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</si>
  <si>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</si>
  <si>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</si>
  <si>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</si>
  <si>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</si>
  <si>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</si>
  <si>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</si>
  <si>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</si>
  <si>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</si>
  <si>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</si>
  <si>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</si>
  <si>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</si>
  <si>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</si>
  <si>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</si>
  <si>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</si>
  <si>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</si>
  <si>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</si>
  <si>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</si>
  <si>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</si>
  <si>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</si>
  <si>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</si>
  <si>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</si>
  <si>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</si>
  <si>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</si>
  <si>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</si>
  <si>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</si>
  <si>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</si>
  <si>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</si>
  <si>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</si>
  <si>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</si>
  <si>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</si>
  <si>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</si>
  <si>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</si>
  <si>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</si>
  <si>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</si>
  <si>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</si>
  <si>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</si>
  <si>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</si>
  <si>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</si>
  <si>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</si>
  <si>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</si>
  <si>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</si>
  <si>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</si>
  <si>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</si>
  <si>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</si>
  <si>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</si>
  <si>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</si>
  <si>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</si>
  <si>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</si>
  <si>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</si>
  <si>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</si>
  <si>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</si>
  <si>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</si>
  <si>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</si>
  <si>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</si>
  <si>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</si>
  <si>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</si>
  <si>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</si>
  <si>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</si>
  <si>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</si>
  <si>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</si>
  <si>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</si>
  <si>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</si>
  <si>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</si>
  <si>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</si>
  <si>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</si>
  <si>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</si>
  <si>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</si>
  <si>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</si>
  <si>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</si>
  <si>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</si>
  <si>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</si>
  <si>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</si>
  <si>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</si>
  <si>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</si>
  <si>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</si>
  <si>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</si>
  <si>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</si>
  <si>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</si>
  <si>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</si>
  <si>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</si>
  <si>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</si>
  <si>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</si>
  <si>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</si>
  <si>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</si>
  <si>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</si>
  <si>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</si>
  <si>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</si>
  <si>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</si>
  <si>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</si>
  <si>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</si>
  <si>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</si>
  <si>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</si>
  <si>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</si>
  <si>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</si>
  <si>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</si>
  <si>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</si>
  <si>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</si>
  <si>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</si>
  <si>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</si>
  <si>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</si>
  <si>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</si>
  <si>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</si>
  <si>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</si>
  <si>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</si>
  <si>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</si>
  <si>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</si>
  <si>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</si>
  <si>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</si>
  <si>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</si>
  <si>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</si>
  <si>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</si>
  <si>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</si>
  <si>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</si>
  <si>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</si>
  <si>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</si>
  <si>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</si>
  <si>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</si>
  <si>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</si>
  <si>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</si>
  <si>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</si>
  <si>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</si>
  <si>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</si>
  <si>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</si>
  <si>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</si>
  <si>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</si>
  <si>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</si>
  <si>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</si>
  <si>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</si>
  <si>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</si>
  <si>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</si>
  <si>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</si>
  <si>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</si>
  <si>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</si>
  <si>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</si>
  <si>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</si>
  <si>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</si>
  <si>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</si>
  <si>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</si>
  <si>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</si>
  <si>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</si>
  <si>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</si>
  <si>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</si>
  <si>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</si>
  <si>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</si>
  <si>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</si>
  <si>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</si>
  <si>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</si>
  <si>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</si>
  <si>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</si>
  <si>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</si>
  <si>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</si>
  <si>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</si>
  <si>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</si>
  <si>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</si>
  <si>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</si>
  <si>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</si>
  <si>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</si>
  <si>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</si>
  <si>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</si>
  <si>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</si>
  <si>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</si>
  <si>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</si>
  <si>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</si>
  <si>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</si>
  <si>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</si>
  <si>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</si>
  <si>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</si>
  <si>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</si>
  <si>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</si>
  <si>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</si>
  <si>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</si>
  <si>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</si>
  <si>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</si>
  <si>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</si>
  <si>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</si>
  <si>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</si>
  <si>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</si>
  <si>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</si>
  <si>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</si>
  <si>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</si>
  <si>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</si>
  <si>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</si>
  <si>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</si>
  <si>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</si>
  <si>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</si>
  <si>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</si>
  <si>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</si>
  <si>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</si>
  <si>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</si>
  <si>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</si>
  <si>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</si>
  <si>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</si>
  <si>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</si>
  <si>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</si>
  <si>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</si>
  <si>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</si>
  <si>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</si>
  <si>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</si>
  <si>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</si>
  <si>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</si>
  <si>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</si>
  <si>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</si>
  <si>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</si>
  <si>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</si>
  <si>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</si>
  <si>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</si>
  <si>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</si>
  <si>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</si>
  <si>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</si>
  <si>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</si>
  <si>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</si>
  <si>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</si>
  <si>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</si>
  <si>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</si>
  <si>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</si>
  <si>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</si>
  <si>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</si>
  <si>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</si>
  <si>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</si>
  <si>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</si>
  <si>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</si>
  <si>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</si>
  <si>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</si>
  <si>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</si>
  <si>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</si>
  <si>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</si>
  <si>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</si>
  <si>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</si>
  <si>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</si>
  <si>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</si>
  <si>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</si>
  <si>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</si>
  <si>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</si>
  <si>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</si>
  <si>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</si>
  <si>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</si>
  <si>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</si>
  <si>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</si>
  <si>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</si>
  <si>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</si>
  <si>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</si>
  <si>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</si>
  <si>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</si>
  <si>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</si>
  <si>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</si>
  <si>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</si>
  <si>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</si>
  <si>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</si>
  <si>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</si>
  <si>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</si>
  <si>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</si>
  <si>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</si>
  <si>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</si>
  <si>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</si>
  <si>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</si>
  <si>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</si>
  <si>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</si>
  <si>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</si>
  <si>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</si>
  <si>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</si>
  <si>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</si>
  <si>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</si>
  <si>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</si>
  <si>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</si>
  <si>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</si>
  <si>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</si>
  <si>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</si>
  <si>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</si>
  <si>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</si>
  <si>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</si>
  <si>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</si>
  <si>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</si>
  <si>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</si>
  <si>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</si>
  <si>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</si>
  <si>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</si>
  <si>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</si>
  <si>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</si>
  <si>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</si>
  <si>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</si>
  <si>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</si>
  <si>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</si>
  <si>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</si>
  <si>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</si>
  <si>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</si>
  <si>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</si>
  <si>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</si>
  <si>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</si>
  <si>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</si>
  <si>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</si>
  <si>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</si>
  <si>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</si>
  <si>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</si>
  <si>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</si>
  <si>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</si>
  <si>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</si>
  <si>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</si>
  <si>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</si>
  <si>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</si>
  <si>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</si>
  <si>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</si>
  <si>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</si>
  <si>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</si>
  <si>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</si>
  <si>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</si>
  <si>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</si>
  <si>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</si>
  <si>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</si>
  <si>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</si>
  <si>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</si>
  <si>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</si>
  <si>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</si>
  <si>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</si>
  <si>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</si>
  <si>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</si>
  <si>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</si>
  <si>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</si>
  <si>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</si>
  <si>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</si>
  <si>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</si>
  <si>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</si>
  <si>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</si>
  <si>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</si>
  <si>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</si>
  <si>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</si>
  <si>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</si>
  <si>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</si>
  <si>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</si>
  <si>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</si>
  <si>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</si>
  <si>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</si>
  <si>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</si>
  <si>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</si>
  <si>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</si>
  <si>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</si>
  <si>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</si>
  <si>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</si>
  <si>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</si>
  <si>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</si>
  <si>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</si>
  <si>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</si>
  <si>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</si>
  <si>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</si>
  <si>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</si>
  <si>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</si>
  <si>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</si>
  <si>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</si>
  <si>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</si>
  <si>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</si>
  <si>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</si>
  <si>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</si>
  <si>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</si>
  <si>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</si>
  <si>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</si>
  <si>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</si>
  <si>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</si>
  <si>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</si>
  <si>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</si>
  <si>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</si>
  <si>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</si>
  <si>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</si>
  <si>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</si>
  <si>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</si>
  <si>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</si>
  <si>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</si>
  <si>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</si>
  <si>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</si>
  <si>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</si>
  <si>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</si>
  <si>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</si>
  <si>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</si>
  <si>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</si>
  <si>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</si>
  <si>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</si>
  <si>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</si>
  <si>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</si>
  <si>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</si>
  <si>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</si>
  <si>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</si>
  <si>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</si>
  <si>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</si>
  <si>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</si>
  <si>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</si>
  <si>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</si>
  <si>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</si>
  <si>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</si>
  <si>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</si>
  <si>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</si>
  <si>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</si>
  <si>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</si>
  <si>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</si>
  <si>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</si>
  <si>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</si>
  <si>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</si>
  <si>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</si>
  <si>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</si>
  <si>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</si>
  <si>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</si>
  <si>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</si>
  <si>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</si>
  <si>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</si>
  <si>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</si>
  <si>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</si>
  <si>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</si>
  <si>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</si>
  <si>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</si>
  <si>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</si>
  <si>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</si>
  <si>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</si>
  <si>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</si>
  <si>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</si>
  <si>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</si>
  <si>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</si>
  <si>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</si>
  <si>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</si>
  <si>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</si>
  <si>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</si>
  <si>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</si>
  <si>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</si>
  <si>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</si>
  <si>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</si>
  <si>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</si>
  <si>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</si>
  <si>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</si>
  <si>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</si>
  <si>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</si>
  <si>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</si>
  <si>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</si>
  <si>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</si>
  <si>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</si>
  <si>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</si>
  <si>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</si>
  <si>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</si>
  <si>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</si>
  <si>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</si>
  <si>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</si>
  <si>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</si>
  <si>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</si>
  <si>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</si>
  <si>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</si>
  <si>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</si>
  <si>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</si>
  <si>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</si>
  <si>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</si>
  <si>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</si>
  <si>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</si>
  <si>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</si>
  <si>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</si>
  <si>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</si>
  <si>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</si>
  <si>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</si>
  <si>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</si>
  <si>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</si>
  <si>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</si>
  <si>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</si>
  <si>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</si>
  <si>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</si>
  <si>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</si>
  <si>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</si>
  <si>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</si>
  <si>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</si>
  <si>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</si>
  <si>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</si>
  <si>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</si>
  <si>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</si>
  <si>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</si>
  <si>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</si>
  <si>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</si>
  <si>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</si>
  <si>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</si>
  <si>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</si>
  <si>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</si>
  <si>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</si>
  <si>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</si>
  <si>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</si>
  <si>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</si>
  <si>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</si>
  <si>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</si>
  <si>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</si>
  <si>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</si>
  <si>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</si>
  <si>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</si>
  <si>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</si>
  <si>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</si>
  <si>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</si>
  <si>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</si>
  <si>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</si>
  <si>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</si>
  <si>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</si>
  <si>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</si>
  <si>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</si>
  <si>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</si>
  <si>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</si>
  <si>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</si>
  <si>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</si>
  <si>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</si>
  <si>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</si>
  <si>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</si>
  <si>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</si>
  <si>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</si>
  <si>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</si>
  <si>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</si>
  <si>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</si>
  <si>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</si>
  <si>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</si>
  <si>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</si>
  <si>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</si>
  <si>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</si>
  <si>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</si>
  <si>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</si>
  <si>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</si>
  <si>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</si>
  <si>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</si>
  <si>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</si>
  <si>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</si>
  <si>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</si>
  <si>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</si>
  <si>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</si>
  <si>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</si>
  <si>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</si>
  <si>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</si>
  <si>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</si>
  <si>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</si>
  <si>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</si>
  <si>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</si>
  <si>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</si>
  <si>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</si>
  <si>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</si>
  <si>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</si>
  <si>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</si>
  <si>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</si>
  <si>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</si>
  <si>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</si>
  <si>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</si>
  <si>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</si>
  <si>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</si>
  <si>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</si>
  <si>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</si>
  <si>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</si>
  <si>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</si>
  <si>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</si>
  <si>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</si>
  <si>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</si>
  <si>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</si>
  <si>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</si>
  <si>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</si>
  <si>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</si>
  <si>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</si>
  <si>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</si>
  <si>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</si>
  <si>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</si>
  <si>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</si>
  <si>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</si>
  <si>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</si>
  <si>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</si>
  <si>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</si>
  <si>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</si>
  <si>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</si>
  <si>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</si>
  <si>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</si>
  <si>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</si>
  <si>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</si>
  <si>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</si>
  <si>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</si>
  <si>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</si>
  <si>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</si>
  <si>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</si>
  <si>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</si>
  <si>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</si>
  <si>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</si>
  <si>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</si>
  <si>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</si>
  <si>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</si>
  <si>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</si>
  <si>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</si>
  <si>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</si>
  <si>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</si>
  <si>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</si>
  <si>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</si>
  <si>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</si>
  <si>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</si>
  <si>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</si>
  <si>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</si>
  <si>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</si>
  <si>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</si>
  <si>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</si>
  <si>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</si>
  <si>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</si>
  <si>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</si>
  <si>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</si>
  <si>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</si>
  <si>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</si>
  <si>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</si>
  <si>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</si>
  <si>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</si>
  <si>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</si>
  <si>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</si>
  <si>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</si>
  <si>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</si>
  <si>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</si>
  <si>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</si>
  <si>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</si>
  <si>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</si>
  <si>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</si>
  <si>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</si>
  <si>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</si>
  <si>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</si>
  <si>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</si>
  <si>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</si>
  <si>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</si>
  <si>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</si>
  <si>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</si>
  <si>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</si>
  <si>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</si>
  <si>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</si>
  <si>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</si>
  <si>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</si>
  <si>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</si>
  <si>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</si>
  <si>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</si>
  <si>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</si>
  <si>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</si>
  <si>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</si>
  <si>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</si>
  <si>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</si>
  <si>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</si>
  <si>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</si>
  <si>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</si>
  <si>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</si>
  <si>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</si>
  <si>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</si>
  <si>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</si>
  <si>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</si>
  <si>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</si>
  <si>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</si>
  <si>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</si>
  <si>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</si>
  <si>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</si>
  <si>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</si>
  <si>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</si>
  <si>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</si>
  <si>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是</t>
  </si>
  <si>
    <t>地上</t>
  </si>
  <si>
    <t>办公楼</t>
  </si>
  <si>
    <t>办公</t>
    <phoneticPr fontId="7" type="noConversion"/>
  </si>
  <si>
    <t>成新度</t>
  </si>
  <si>
    <t>建成</t>
    <phoneticPr fontId="3" type="noConversion"/>
  </si>
  <si>
    <t>直线</t>
    <phoneticPr fontId="3" type="noConversion"/>
  </si>
  <si>
    <t>观察</t>
    <phoneticPr fontId="3" type="noConversion"/>
  </si>
  <si>
    <t>综合</t>
    <phoneticPr fontId="3" type="noConversion"/>
  </si>
  <si>
    <t>利息：取LPR加浮动点数</t>
  </si>
  <si>
    <t>收益法 (元)</t>
  </si>
  <si>
    <t>押一</t>
  </si>
  <si>
    <t>钢混</t>
  </si>
  <si>
    <t>非生产用房</t>
  </si>
  <si>
    <t>否</t>
  </si>
  <si>
    <t>商务金融用地</t>
  </si>
  <si>
    <t>自定义容积率</t>
  </si>
  <si>
    <t>不临65条商业街</t>
  </si>
  <si>
    <t>与级别开发程度不一致</t>
  </si>
  <si>
    <t>通路</t>
  </si>
  <si>
    <t>通电</t>
  </si>
  <si>
    <t>通讯</t>
  </si>
  <si>
    <t>通上水</t>
  </si>
  <si>
    <t>通下水</t>
  </si>
  <si>
    <t>通热</t>
  </si>
  <si>
    <t>平整</t>
  </si>
  <si>
    <t>较好</t>
  </si>
  <si>
    <t>较差</t>
  </si>
  <si>
    <t>未包含在土地购买价格中</t>
  </si>
  <si>
    <t>已包含在土地取得成本中</t>
  </si>
  <si>
    <t>成本法 (元)</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</si>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</sst>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估价对象为北京市房地产，为所有。根据《国有土地使用证》[]，估价对象（分摊）出让国有建设用地使用权面积为0平方米，建筑面积为752.9平方米。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估价对象为北京市房地产,属开发建设的，该项目尚在开发建设中。根据《国有土地使用证》[]，估价对象（分摊）出让国有建设用地使用权面积为0平方米，规划建筑面积为752.9平方米。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2023年4月12日</v>
      </c>
    </row>
    <row r="13" spans="1:2" s="1203" customFormat="1">
      <c r="A13" s="1201" t="s">
        <v>529</v>
      </c>
      <c r="B13" s="1202"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2652</v>
      </c>
    </row>
    <row r="21" spans="1:2" s="1203" customFormat="1">
      <c r="A21" s="1201" t="s">
        <v>537</v>
      </c>
      <c r="B21" s="1202">
        <f ca="1">'预评函-2'!D7</f>
        <v>35224</v>
      </c>
    </row>
    <row r="22" spans="1:2" s="1203" customFormat="1">
      <c r="A22" s="1201" t="s">
        <v>538</v>
      </c>
      <c r="B22" s="1202" t="str">
        <f ca="1">'预评函-2'!D6</f>
        <v>贰仟陆佰伍拾贰万元整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2652</v>
      </c>
    </row>
    <row r="31" spans="1:2" s="1203" customFormat="1">
      <c r="A31" s="1201" t="s">
        <v>576</v>
      </c>
      <c r="B31" s="1202">
        <f ca="1">'预评函-2'!D15</f>
        <v>35224</v>
      </c>
    </row>
    <row r="32" spans="1:2" s="1203" customFormat="1">
      <c r="A32" s="1201" t="s">
        <v>543</v>
      </c>
      <c r="B32" s="1202" t="str">
        <f ca="1">'预评函-2'!D14</f>
        <v>贰仟陆佰伍拾贰万元整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752.9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45028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3.69</v>
      </c>
      <c r="D5" s="3025">
        <f>IF(ISERROR(ROUND(POWER(1+E5,A5-C5)*(POWER(1+E5,C5)-1)/(POWER(1+E5,A5)-1),3)),0,ROUND(POWER(1+E5,A5-C5)*(POWER(1+E5,C5)-1)/(POWER(1+E5,A5)-1),4))</f>
        <v>0.17019999999999999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13.69</v>
      </c>
      <c r="D6" s="3025">
        <f>IF(ISERROR(ROUND(POWER(1+E6,A6-C6)*(POWER(1+E6,C6)-1)/(POWER(1+E6,A6)-1),3)),0,ROUND(POWER(1+E6,A6-C6)*(POWER(1+E6,C6)-1)/(POWER(1+E6,A6)-1),4))</f>
        <v>0.48349999999999999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33.71</v>
      </c>
      <c r="D7" s="3025">
        <f>IF(ISERROR(ROUND(POWER(1+E7,A7-C7)*(POWER(1+E7,C7)-1)/(POWER(1+E7,A7)-1),3)),0,ROUND(POWER(1+E7,A7-C7)*(POWER(1+E7,C7)-1)/(POWER(1+E7,A7)-1),4))</f>
        <v>0.78380000000000005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1" sqref="F5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4"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5"/>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53790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752.9</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111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752.9</v>
      </c>
      <c r="H5" s="13">
        <f t="shared" ref="H5:AT5" si="0">SUM(H13:H656)</f>
        <v>752.9</v>
      </c>
      <c r="I5" s="13">
        <f t="shared" si="0"/>
        <v>752.9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752.9</v>
      </c>
      <c r="BA5" s="15">
        <f t="shared" si="1"/>
        <v>752.9</v>
      </c>
      <c r="BB5" s="15">
        <f t="shared" si="1"/>
        <v>752.9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752.9</v>
      </c>
      <c r="H13" s="17">
        <f>SUMIF(I$12:AB$12,"总值",I13:AB13)</f>
        <v>752.9</v>
      </c>
      <c r="I13" s="1626">
        <v>752.9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752.9</v>
      </c>
      <c r="BA13" s="13">
        <f>SUM(BB13:BK13)</f>
        <v>752.9</v>
      </c>
      <c r="BB13" s="13">
        <f>IF($D13="是",I13-J13,0)</f>
        <v>752.9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2" sqref="I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752.9</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752.9</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752.9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752.9</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752.9</v>
      </c>
      <c r="F19" s="2795">
        <v>752.9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752.9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752.9</v>
      </c>
      <c r="F27" s="1140">
        <f>IF(SUM(F19:F26)=E8,SUM(F19:F26),"地上面积有误")</f>
        <v>752.9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752.9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752.9</v>
      </c>
      <c r="F31" s="677">
        <f>F27+F30</f>
        <v>752.9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53790</v>
      </c>
      <c r="F6" s="64">
        <f>SUMIF(项目基本情况!C$12:I$12,C6,项目基本情况!C$15:I$15)</f>
        <v>24</v>
      </c>
      <c r="G6" s="65">
        <f>IF(ISERROR(ROUND(POWER(1+H6,D6-F6)*(POWER(1+H6,F6)-1)/(POWER(1+H6,D6)-1),3)),0,ROUND(POWER(1+H6,D6-F6)*(POWER(1+H6,F6)-1)/(POWER(1+H6,D6)-1),3))</f>
        <v>0.73399999999999999</v>
      </c>
      <c r="H6" s="732">
        <v>4.4999999999999998E-2</v>
      </c>
      <c r="I6" s="732">
        <v>0.05</v>
      </c>
      <c r="J6" s="66">
        <v>7.0000000000000007E-2</v>
      </c>
      <c r="K6" s="1030">
        <f>SUMIF('数据-汇总表'!C$19:C$33,A6,'数据-汇总表'!E$19:E$33)</f>
        <v>752.9</v>
      </c>
      <c r="L6" s="733">
        <v>4000</v>
      </c>
      <c r="M6" s="67">
        <f t="shared" ref="M6:M14" si="0">ROUND(K6*L6/10000,0)</f>
        <v>301</v>
      </c>
      <c r="N6" s="731">
        <f>N21</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7.2</v>
      </c>
      <c r="V6" s="70">
        <v>2.5000000000000001E-2</v>
      </c>
      <c r="W6" s="70">
        <v>0.1</v>
      </c>
      <c r="X6" s="1040"/>
      <c r="Y6" s="71">
        <f>N6</f>
        <v>0.75</v>
      </c>
      <c r="Z6" s="72"/>
      <c r="AA6" s="66"/>
      <c r="AB6" s="66"/>
      <c r="AC6" s="1040"/>
      <c r="AD6" s="73"/>
      <c r="AE6" s="1041">
        <f ca="1">IF(AN6="",0,SUMIF(INDIRECT("'"&amp;AN6&amp;"'"&amp;"!E:E"),$AE$5,INDIRECT("'"&amp;AN6&amp;"'"&amp;"!F:F")))</f>
        <v>24</v>
      </c>
      <c r="AF6" s="1348"/>
      <c r="AG6" s="138">
        <f>IF(AF6="",0,AE6-AF6)</f>
        <v>0</v>
      </c>
      <c r="AH6" s="74"/>
      <c r="AI6" s="76">
        <v>365</v>
      </c>
      <c r="AJ6" s="77"/>
      <c r="AK6" s="78">
        <v>0.01</v>
      </c>
      <c r="AL6" s="79">
        <v>1.5E-3</v>
      </c>
      <c r="AM6" s="80">
        <v>0.01</v>
      </c>
      <c r="AN6" s="1715" t="s">
        <v>3392</v>
      </c>
      <c r="AO6" s="52">
        <f ca="1">SUMIF(INDIRECT("'"&amp;AN6&amp;"'"&amp;"!A:A"),"总价",INDIRECT("'"&amp;AN6&amp;"'"&amp;"!B:B"))</f>
        <v>2522.2280999999998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0.73399999999999999</v>
      </c>
      <c r="H16" s="90">
        <f>ROUND(SUMPRODUCT(H6:H13,K6:K13)/SUMPRODUCT((H6:H13&gt;0)*(K6:K13)),3)</f>
        <v>4.4999999999999998E-2</v>
      </c>
      <c r="I16" s="91"/>
      <c r="J16" s="91"/>
      <c r="K16" s="92">
        <f>SUM(K6:K15)</f>
        <v>752.9</v>
      </c>
      <c r="L16" s="93">
        <f>ROUND(M16*10000/SUM(K6:K14),0)</f>
        <v>3998</v>
      </c>
      <c r="M16" s="93">
        <f>SUM(M6:M14)</f>
        <v>301</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3387</v>
      </c>
      <c r="N18" s="2671">
        <v>1999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3388</v>
      </c>
      <c r="N19" s="2671">
        <f>ROUND(1-(2023-N18)/60,2)</f>
        <v>0.6</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50" t="s">
        <v>3389</v>
      </c>
      <c r="N20" s="2671">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450" t="s">
        <v>3390</v>
      </c>
      <c r="N21" s="2671">
        <f>ROUND((N20+N19)/2,2)</f>
        <v>0.75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150580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752.9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2652</v>
      </c>
      <c r="C5" s="2512">
        <f ca="1">IF(B5=D14,结果表!H102,ROUND(B5*10000/$B$1,0))</f>
        <v>35224</v>
      </c>
      <c r="D5" s="2512" t="e">
        <f ca="1">ROUND(B5*10000/$B$2,0)</f>
        <v>#DIV/0!</v>
      </c>
      <c r="E5" s="2686"/>
      <c r="F5" s="2687"/>
      <c r="G5" s="2687"/>
      <c r="H5" s="2688"/>
      <c r="I5" s="2688"/>
      <c r="J5" s="2688"/>
      <c r="K5" s="2688"/>
    </row>
    <row r="6" spans="1:11" ht="16.5">
      <c r="A6" s="2512" t="s">
        <v>656</v>
      </c>
      <c r="B6" s="2512">
        <f>SUM(G14:G23)</f>
        <v>0</v>
      </c>
      <c r="C6" s="2512">
        <f ca="1">IF(B6=G14,结果表!H108,ROUND(B6*10000/$B$1,0))</f>
        <v>35224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752.9</v>
      </c>
      <c r="C14" s="2518"/>
      <c r="D14" s="2518">
        <f ca="1">结果表!H118</f>
        <v>2652</v>
      </c>
      <c r="E14" s="2518">
        <f ca="1">ROUND(D14*10000/B14,0)</f>
        <v>35224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9" sqref="K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3412</v>
      </c>
      <c r="D4" s="1756" t="s">
        <v>3392</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752.9</v>
      </c>
      <c r="M18" s="302">
        <f>IF(C1="",'数据-汇总表'!E3,SUMIF(项目类型,C1,'数据-汇总表'!E17:E26))</f>
        <v>752.9</v>
      </c>
    </row>
    <row r="19" spans="1:36" ht="15">
      <c r="A19" s="1761" t="s">
        <v>1290</v>
      </c>
      <c r="B19" s="1762" t="s">
        <v>1291</v>
      </c>
      <c r="C19" s="134">
        <f ca="1">SUMIF(INDIRECT("'"&amp;C4&amp;"'"&amp;"!A:A"),结果表!B19,INDIRECT("'"&amp;C4&amp;"'"&amp;"!B:B"))</f>
        <v>2782.4721</v>
      </c>
      <c r="D19" s="135">
        <f ca="1">SUMIF(INDIRECT("'"&amp;D4&amp;"'"&amp;"!A:A"),结果表!B19,INDIRECT("'"&amp;D4&amp;"'"&amp;"!B:B"))</f>
        <v>2522.2280999999998</v>
      </c>
      <c r="E19" s="1761" t="s">
        <v>1292</v>
      </c>
      <c r="F19" s="1762" t="s">
        <v>1291</v>
      </c>
      <c r="G19" s="136">
        <f ca="1">ROUND(C19*$C$18+D19*$D$18,0)</f>
        <v>2652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36957</v>
      </c>
      <c r="D20" s="138">
        <f ca="1">SUMIF(INDIRECT("'"&amp;D4&amp;"'"&amp;"!A:A"),结果表!B20,INDIRECT("'"&amp;D4&amp;"'"&amp;"!B:B"))</f>
        <v>33500</v>
      </c>
      <c r="E20" s="1764"/>
      <c r="F20" s="1026" t="s">
        <v>1295</v>
      </c>
      <c r="G20" s="139">
        <f ca="1">ROUND(C20*$C$18+D20*$D$18,0)</f>
        <v>35229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0.10318020007785988</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2652</v>
      </c>
      <c r="D32" s="1775" t="s">
        <v>3413</v>
      </c>
      <c r="E32" s="129"/>
      <c r="F32" s="129"/>
      <c r="G32" s="129"/>
      <c r="H32" s="129"/>
      <c r="I32" s="129"/>
    </row>
    <row r="33" spans="1:15" ht="15">
      <c r="A33" s="786" t="s">
        <v>1306</v>
      </c>
      <c r="B33" s="1776"/>
      <c r="C33" s="1777" t="s">
        <v>3414</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2652</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45028</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f ca="1">H101</f>
        <v>2652</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2652</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141</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f ca="1">ROUND(D45*'数据-取费表'!B41/(1+'数据-取费表'!C42),0)</f>
        <v>141</v>
      </c>
      <c r="E53" s="2334" t="s">
        <v>1354</v>
      </c>
      <c r="F53" s="2554">
        <f>'数据-取费表'!B41</f>
        <v>5.6000000000000001E-2</v>
      </c>
      <c r="G53" s="2555"/>
      <c r="H53" s="2544"/>
      <c r="I53" s="1807"/>
      <c r="J53" s="2523">
        <v>2</v>
      </c>
      <c r="K53" s="3605" t="s">
        <v>1357</v>
      </c>
      <c r="L53" s="3605"/>
      <c r="M53" s="2525">
        <f t="shared" ref="M53:O54" ca="1" si="0">D55</f>
        <v>1</v>
      </c>
      <c r="N53" s="2523" t="str">
        <f t="shared" si="0"/>
        <v>销售额×税（费）率</v>
      </c>
      <c r="O53" s="2526" t="str">
        <f t="shared" si="0"/>
        <v>免征</v>
      </c>
    </row>
    <row r="54" spans="1:35" ht="12" customHeight="1">
      <c r="A54" s="2335" t="s">
        <v>1358</v>
      </c>
      <c r="B54" s="3566" t="s">
        <v>2292</v>
      </c>
      <c r="C54" s="3567"/>
      <c r="D54" s="1087">
        <f ca="1">C68</f>
        <v>141</v>
      </c>
      <c r="E54" s="327" t="s">
        <v>1359</v>
      </c>
      <c r="F54" s="2554">
        <f>'数据-取费表'!B41</f>
        <v>5.6000000000000001E-2</v>
      </c>
      <c r="G54" s="2555"/>
      <c r="H54" s="2556"/>
      <c r="I54" s="1807"/>
      <c r="J54" s="2523">
        <v>3</v>
      </c>
      <c r="K54" s="3605" t="s">
        <v>1360</v>
      </c>
      <c r="L54" s="3605"/>
      <c r="M54" s="2525">
        <f t="shared" ca="1" si="0"/>
        <v>1501</v>
      </c>
      <c r="N54" s="2523" t="str">
        <f t="shared" si="0"/>
        <v>增值额×税（费）率</v>
      </c>
      <c r="O54" s="2527" t="str">
        <f t="shared" si="0"/>
        <v>免征</v>
      </c>
    </row>
    <row r="55" spans="1:35" ht="24" customHeight="1">
      <c r="A55" s="3555" t="s">
        <v>1361</v>
      </c>
      <c r="B55" s="3556"/>
      <c r="C55" s="3556"/>
      <c r="D55" s="2324">
        <f ca="1">IF(H55="个人住宅",0,ROUND(D45*I55,0))</f>
        <v>1</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25</v>
      </c>
      <c r="N55" s="2040" t="str">
        <f>E59</f>
        <v>差额计税</v>
      </c>
      <c r="O55" s="2529">
        <f>F59</f>
        <v>0.01</v>
      </c>
    </row>
    <row r="56" spans="1:35" ht="24.75">
      <c r="A56" s="3555" t="s">
        <v>1363</v>
      </c>
      <c r="B56" s="3556"/>
      <c r="C56" s="3556"/>
      <c r="D56" s="2324">
        <f ca="1">IF(H56="个人住宅",D57,D58)</f>
        <v>1501</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1527</v>
      </c>
      <c r="O57" s="2533"/>
      <c r="P57" s="2690">
        <f ca="1">N57/M49</f>
        <v>0.57579185520361986</v>
      </c>
    </row>
    <row r="58" spans="1:35" ht="24.75">
      <c r="A58" s="2335" t="s">
        <v>1352</v>
      </c>
      <c r="B58" s="3566" t="s">
        <v>1369</v>
      </c>
      <c r="C58" s="3540"/>
      <c r="D58" s="2324">
        <f ca="1">IF(H58="转让取得",C81,C97)</f>
        <v>1501</v>
      </c>
      <c r="E58" s="2334" t="s">
        <v>1364</v>
      </c>
      <c r="F58" s="302" t="s">
        <v>28</v>
      </c>
      <c r="G58" s="2555"/>
      <c r="H58" s="2558"/>
      <c r="I58" s="1808"/>
      <c r="J58" s="3605"/>
      <c r="K58" s="3605"/>
      <c r="L58" s="2530" t="s">
        <v>1370</v>
      </c>
      <c r="M58" s="2534"/>
      <c r="N58" s="2535" t="str">
        <f ca="1">NUMBERSTRING(INT(N57*10000),2)&amp;"元整"</f>
        <v>壹仟伍佰贰拾柒万元整</v>
      </c>
      <c r="O58" s="2536"/>
    </row>
    <row r="59" spans="1:35" ht="24.75" thickBot="1">
      <c r="A59" s="3608" t="s">
        <v>1371</v>
      </c>
      <c r="B59" s="3609"/>
      <c r="C59" s="3609"/>
      <c r="D59" s="2560">
        <f ca="1">IF(H59="非个人房产","——",IF(H59="个人住宅（满五唯一有凭证）",0,IF(H59="个人其他（无凭证）",ROUND(D45*F59,0),ROUND(C67*F59,0))))</f>
        <v>25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1125</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壹仟壹佰贰拾伍万元整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14942</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2526</v>
      </c>
      <c r="D63" s="167"/>
      <c r="E63" s="168"/>
      <c r="F63" s="1808"/>
      <c r="G63" s="1808"/>
      <c r="H63" s="1810"/>
      <c r="I63" s="129"/>
      <c r="J63" s="3630" t="s">
        <v>1379</v>
      </c>
      <c r="K63" s="1332" t="s">
        <v>1380</v>
      </c>
      <c r="L63" s="1332">
        <f ca="1">IF(M49&gt;10000,M49*0.5%,IF(AND(M49&gt;1000,M49&lt;=10000),M49*1%,IF(AND(M49&gt;100,M49&lt;=1000),M49*3%,IF(AND(M49&gt;10,M49&lt;=100),M49*5%,M49*8%))))</f>
        <v>26.52</v>
      </c>
      <c r="M63" s="302">
        <f ca="1">ROUND(L63,1)</f>
        <v>26.5</v>
      </c>
      <c r="N63" s="2543"/>
      <c r="Z63" s="1752"/>
      <c r="AI63" s="1753"/>
    </row>
    <row r="64" spans="1:35" ht="14.25" customHeight="1">
      <c r="A64" s="169" t="s">
        <v>325</v>
      </c>
      <c r="B64" s="170" t="s">
        <v>1381</v>
      </c>
      <c r="C64" s="2565">
        <f ca="1">D45</f>
        <v>2652</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13.26</v>
      </c>
      <c r="M64" s="302">
        <f t="shared" ref="M64:M65" ca="1" si="1">ROUND(L64,1)</f>
        <v>13.3</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2.6520000000000001</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13.26</v>
      </c>
      <c r="M66" s="302">
        <f ca="1">IF(L66&gt;0.5,0.5,ROUND(L66,0))</f>
        <v>0.5</v>
      </c>
      <c r="N66" s="2544" t="s">
        <v>1388</v>
      </c>
      <c r="Z66" s="1752"/>
      <c r="AI66" s="1753"/>
    </row>
    <row r="67" spans="1:35" ht="14.25" customHeight="1">
      <c r="A67" s="173" t="s">
        <v>328</v>
      </c>
      <c r="B67" s="174" t="s">
        <v>1389</v>
      </c>
      <c r="C67" s="2568">
        <f ca="1">C63-C66</f>
        <v>2526</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141</v>
      </c>
      <c r="D68" s="2570">
        <f>'数据-取费表'!B41</f>
        <v>5.6000000000000001E-2</v>
      </c>
      <c r="E68" s="178"/>
      <c r="F68" s="1808"/>
      <c r="G68" s="1808"/>
      <c r="H68" s="1810"/>
      <c r="I68" s="129"/>
      <c r="J68" s="3630"/>
      <c r="K68" s="1332" t="s">
        <v>1392</v>
      </c>
      <c r="L68" s="1332">
        <f ca="1">IF(M49&gt;10000,M49*0.5%,IF(AND(M49&gt;5000,M49&lt;=10000),M49*1%,IF(AND(M49&gt;1000,M49&lt;=5000),M49*2%,IF(AND(M49&gt;200,M49&lt;=1000),M49*3%,M49*5%))))</f>
        <v>53.04</v>
      </c>
      <c r="M68" s="302">
        <f ca="1">ROUND(L68,1)</f>
        <v>53</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98</v>
      </c>
      <c r="N69" s="2545">
        <f ca="1">M69/M49</f>
        <v>3.6953242835595777E-2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2526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2511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1501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2526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1501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 (元)</v>
      </c>
      <c r="D101" s="2586" t="str">
        <f>D4</f>
        <v>收益法 (元)</v>
      </c>
      <c r="E101" s="3627" t="s">
        <v>1431</v>
      </c>
      <c r="F101" s="3584"/>
      <c r="G101" s="1827" t="s">
        <v>1432</v>
      </c>
      <c r="H101" s="2595">
        <f ca="1">H118</f>
        <v>2652</v>
      </c>
      <c r="I101" s="129"/>
    </row>
    <row r="102" spans="1:35" ht="18.75" customHeight="1">
      <c r="A102" s="3586" t="s">
        <v>1433</v>
      </c>
      <c r="B102" s="2584" t="s">
        <v>1432</v>
      </c>
      <c r="C102" s="2585">
        <f ca="1">IF(D32="楼面单价",ROUND(C19,0),C19)</f>
        <v>2782.4721</v>
      </c>
      <c r="D102" s="2586">
        <f ca="1">IF(D32="楼面单价",ROUND(D19,0),D19)</f>
        <v>2522.2280999999998</v>
      </c>
      <c r="E102" s="3627"/>
      <c r="F102" s="3584"/>
      <c r="G102" s="1827" t="s">
        <v>1434</v>
      </c>
      <c r="H102" s="2555">
        <f ca="1">I118</f>
        <v>35224</v>
      </c>
      <c r="I102" s="129"/>
    </row>
    <row r="103" spans="1:35" ht="42.75" customHeight="1">
      <c r="A103" s="3586"/>
      <c r="B103" s="2584" t="s">
        <v>1434</v>
      </c>
      <c r="C103" s="2587">
        <f ca="1">C20</f>
        <v>36957</v>
      </c>
      <c r="D103" s="2588">
        <f ca="1">D20</f>
        <v>33500</v>
      </c>
      <c r="E103" s="3621" t="s">
        <v>1435</v>
      </c>
      <c r="F103" s="3622"/>
      <c r="G103" s="1828" t="s">
        <v>1436</v>
      </c>
      <c r="H103" s="2595">
        <f>IF(D36="正常操作",H104+H105+H106,H105+H106)</f>
        <v>0</v>
      </c>
      <c r="I103" s="129"/>
    </row>
    <row r="104" spans="1:35" ht="18.75" customHeight="1">
      <c r="A104" s="3586" t="s">
        <v>1437</v>
      </c>
      <c r="B104" s="2589" t="s">
        <v>1432</v>
      </c>
      <c r="C104" s="2590">
        <f ca="1">H118</f>
        <v>2652</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35224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2652</v>
      </c>
      <c r="I107" s="129"/>
    </row>
    <row r="108" spans="1:35" ht="18.75" customHeight="1">
      <c r="A108" s="129"/>
      <c r="B108" s="129"/>
      <c r="C108" s="129"/>
      <c r="D108" s="129"/>
      <c r="E108" s="3583"/>
      <c r="F108" s="3584"/>
      <c r="G108" s="1827" t="s">
        <v>1434</v>
      </c>
      <c r="H108" s="2555">
        <f ca="1">IF(H107=H101,H102,ROUND(H107*10000/'数据-汇总表'!E3,0))</f>
        <v>35224</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752.9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2652</v>
      </c>
      <c r="I118" s="2329">
        <f ca="1">ROUND(IF(D32="楼面单价",C32,H118*10000/B118),0)</f>
        <v>35224</v>
      </c>
    </row>
    <row r="119" spans="1:27" ht="18.75" customHeight="1">
      <c r="A119" s="3554" t="s">
        <v>1452</v>
      </c>
      <c r="B119" s="3554"/>
      <c r="C119" s="3554"/>
      <c r="D119" s="3594" t="str">
        <f>NUMBERSTRING(INT(D118*10000),2)&amp;"元整"</f>
        <v>零元整</v>
      </c>
      <c r="E119" s="3596"/>
      <c r="F119" s="3594" t="str">
        <f>NUMBERSTRING(INT(F118*10000),2)&amp;"元整"</f>
        <v>零元整</v>
      </c>
      <c r="G119" s="3596"/>
      <c r="H119" s="3594" t="str">
        <f ca="1">NUMBERSTRING(INT(H118*10000),2)&amp;"元整"</f>
        <v>贰仟陆佰伍拾贰万元整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2652</v>
      </c>
      <c r="E122" s="3619"/>
      <c r="F122" s="3619"/>
      <c r="G122" s="3619"/>
      <c r="H122" s="3619"/>
      <c r="I122" s="3620"/>
      <c r="AA122" s="725"/>
    </row>
    <row r="123" spans="1:27" ht="18.75" customHeight="1">
      <c r="A123" s="3554" t="s">
        <v>1452</v>
      </c>
      <c r="B123" s="3554"/>
      <c r="C123" s="3554"/>
      <c r="D123" s="3594" t="str">
        <f ca="1">NUMBERSTRING(INT(D122*10000),2)&amp;"元整"</f>
        <v>贰仟陆佰伍拾贰万元整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205692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2731996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150580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150580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15</v>
      </c>
      <c r="D10" s="845">
        <f ca="1">IF(B1="",'数据-汇总表'!E6,IF(INDIRECT("'数据-取费表'!c"&amp;$G$1)="住宅",INDIRECT("'数据-取费表'!s"&amp;$G$1),INDIRECT("'数据-取费表'!k"&amp;$G$1)+INDIRECT("'数据-取费表'!s"&amp;$G$1)))</f>
        <v>752.9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15</v>
      </c>
      <c r="D19" s="849">
        <f ca="1">D9+D10</f>
        <v>752.9</v>
      </c>
      <c r="E19" s="211">
        <f>'数据-取费表'!B31</f>
        <v>200</v>
      </c>
      <c r="F19" s="231"/>
      <c r="G19" s="1856"/>
    </row>
    <row r="20" spans="1:7" s="214" customFormat="1" ht="13.5" customHeight="1">
      <c r="A20" s="255" t="s">
        <v>1493</v>
      </c>
      <c r="B20" s="210" t="s">
        <v>1494</v>
      </c>
      <c r="C20" s="232">
        <f ca="1">ROUND((C5+C19)*F20,0)</f>
        <v>3012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12883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12757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125</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23041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23041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205365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301</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15</v>
      </c>
      <c r="D37" s="217">
        <f ca="1">D19</f>
        <v>752.9</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51</v>
      </c>
      <c r="D45" s="235">
        <f ca="1">C47</f>
        <v>3.0000000000000001E-3</v>
      </c>
      <c r="E45" s="236" t="s">
        <v>1539</v>
      </c>
      <c r="F45" s="246">
        <f ca="1">F27</f>
        <v>0.15</v>
      </c>
      <c r="G45" s="247" t="s">
        <v>1548</v>
      </c>
    </row>
    <row r="46" spans="1:7" s="214" customFormat="1" ht="13.5" customHeight="1">
      <c r="A46" s="780" t="s">
        <v>346</v>
      </c>
      <c r="B46" s="248" t="s">
        <v>1549</v>
      </c>
      <c r="C46" s="249">
        <f ca="1">ROUND((C33+C39)*F27,0)</f>
        <v>51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436</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327</v>
      </c>
      <c r="D51" s="232"/>
      <c r="E51" s="232"/>
      <c r="F51" s="264"/>
      <c r="G51" s="234" t="s">
        <v>1560</v>
      </c>
    </row>
    <row r="52" spans="1:7" s="208" customFormat="1" ht="16.5" thickBot="1">
      <c r="A52" s="265" t="s">
        <v>1561</v>
      </c>
      <c r="B52" s="266"/>
      <c r="C52" s="267">
        <f ca="1">C31+C51</f>
        <v>205692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7" sqref="G6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2782.4721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36957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18015611.399999999</v>
      </c>
      <c r="D5" s="211" t="s">
        <v>1469</v>
      </c>
      <c r="E5" s="212" t="s">
        <v>1470</v>
      </c>
      <c r="F5" s="212" t="s">
        <v>1471</v>
      </c>
      <c r="G5" s="213"/>
    </row>
    <row r="6" spans="1:8" s="214" customFormat="1" ht="13.5" customHeight="1">
      <c r="A6" s="778" t="s">
        <v>1472</v>
      </c>
      <c r="B6" s="215" t="s">
        <v>1473</v>
      </c>
      <c r="C6" s="216">
        <f ca="1">D19*基准地价修正!C33</f>
        <v>17336275.399999999</v>
      </c>
      <c r="D6" s="217"/>
      <c r="E6" s="218"/>
      <c r="F6" s="218"/>
      <c r="G6" s="219"/>
    </row>
    <row r="7" spans="1:8" s="214" customFormat="1" ht="13.5" customHeight="1">
      <c r="A7" s="778" t="s">
        <v>1474</v>
      </c>
      <c r="B7" s="215" t="s">
        <v>1475</v>
      </c>
      <c r="C7" s="220">
        <f ca="1">ROUND(C6*F7,0)</f>
        <v>528756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150580</v>
      </c>
      <c r="D8" s="222"/>
      <c r="E8" s="220"/>
      <c r="F8" s="221"/>
      <c r="G8" s="1856" t="s">
        <v>3410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150580</v>
      </c>
      <c r="D10" s="845">
        <f ca="1">IF(B1="",'数据-汇总表'!E6,IF(INDIRECT("'数据-取费表'!c"&amp;$G$1)="住宅",INDIRECT("'数据-取费表'!s"&amp;$G$1),INDIRECT("'数据-取费表'!k"&amp;$G$1)+INDIRECT("'数据-取费表'!s"&amp;$G$1)))</f>
        <v>752.9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752.9</v>
      </c>
      <c r="E19" s="211">
        <f>'数据-取费表'!B31</f>
        <v>200</v>
      </c>
      <c r="F19" s="231"/>
      <c r="G19" s="1856" t="s">
        <v>3411</v>
      </c>
    </row>
    <row r="20" spans="1:7" s="214" customFormat="1" ht="13.5" customHeight="1">
      <c r="A20" s="255" t="s">
        <v>1574</v>
      </c>
      <c r="B20" s="210" t="s">
        <v>1575</v>
      </c>
      <c r="C20" s="232">
        <f ca="1">ROUND((C5+C19)*F20,0)</f>
        <v>360312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1541276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1526323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14953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2756389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2756389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24567763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3297702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3011600</v>
      </c>
      <c r="D34" s="217"/>
      <c r="E34" s="220"/>
      <c r="F34" s="257"/>
      <c r="G34" s="219"/>
    </row>
    <row r="35" spans="1:7" ht="13.5" customHeight="1">
      <c r="A35" s="780" t="s">
        <v>351</v>
      </c>
      <c r="B35" s="215" t="s">
        <v>1527</v>
      </c>
      <c r="C35" s="220">
        <f ca="1">ROUND(C34*F35,0)</f>
        <v>90348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150580</v>
      </c>
      <c r="D37" s="217">
        <f ca="1">D19</f>
        <v>752.9</v>
      </c>
      <c r="E37" s="249">
        <f>'数据-取费表'!B35</f>
        <v>200</v>
      </c>
      <c r="F37" s="259"/>
      <c r="G37" s="261"/>
    </row>
    <row r="38" spans="1:7" ht="13.5" customHeight="1">
      <c r="A38" s="780" t="s">
        <v>354</v>
      </c>
      <c r="B38" s="215" t="s">
        <v>1533</v>
      </c>
      <c r="C38" s="220">
        <f ca="1">ROUND(C34*F38,0)</f>
        <v>45174</v>
      </c>
      <c r="D38" s="220"/>
      <c r="E38" s="220"/>
      <c r="F38" s="259">
        <f>'数据-取费表'!B36</f>
        <v>1.4999999999999999E-2</v>
      </c>
      <c r="G38" s="219" t="s">
        <v>1528</v>
      </c>
    </row>
    <row r="39" spans="1:7" s="214" customFormat="1" ht="13.5" customHeight="1">
      <c r="A39" s="255" t="s">
        <v>1534</v>
      </c>
      <c r="B39" s="210" t="s">
        <v>1535</v>
      </c>
      <c r="C39" s="232">
        <f ca="1">ROUND(C33*F20,0)</f>
        <v>65954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139592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136855</v>
      </c>
      <c r="D42" s="238"/>
      <c r="E42" s="238"/>
      <c r="F42" s="239"/>
      <c r="G42" s="3634" t="s">
        <v>1591</v>
      </c>
    </row>
    <row r="43" spans="1:7" ht="13.5" customHeight="1">
      <c r="A43" s="780" t="s">
        <v>347</v>
      </c>
      <c r="B43" s="215" t="s">
        <v>1545</v>
      </c>
      <c r="C43" s="238">
        <f ca="1">ROUND(IF('数据-取费表'!B22&lt;=1,C39*F22*'数据-取费表'!B20/2,C39*(POWER((1+F22),'数据-取费表'!B20/2)-1)),0)</f>
        <v>2737</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504548</v>
      </c>
      <c r="D45" s="235">
        <f ca="1">C47</f>
        <v>3.0000000000000001E-3</v>
      </c>
      <c r="E45" s="236" t="s">
        <v>1539</v>
      </c>
      <c r="F45" s="246">
        <f ca="1">F27</f>
        <v>0.15</v>
      </c>
      <c r="G45" s="247" t="s">
        <v>1548</v>
      </c>
    </row>
    <row r="46" spans="1:7" s="214" customFormat="1" ht="13.5" customHeight="1">
      <c r="A46" s="780" t="s">
        <v>346</v>
      </c>
      <c r="B46" s="248" t="s">
        <v>1549</v>
      </c>
      <c r="C46" s="249">
        <f ca="1">ROUND((C33+C39)*F27,0)</f>
        <v>504548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4342611</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3256958</v>
      </c>
      <c r="D51" s="232"/>
      <c r="E51" s="232"/>
      <c r="F51" s="264"/>
      <c r="G51" s="234" t="s">
        <v>1560</v>
      </c>
    </row>
    <row r="52" spans="1:7" s="208" customFormat="1" ht="16.5" thickBot="1">
      <c r="A52" s="265" t="s">
        <v>1561</v>
      </c>
      <c r="B52" s="266"/>
      <c r="C52" s="267">
        <f ca="1">C31+C51</f>
        <v>27824721</v>
      </c>
      <c r="D52" s="266"/>
      <c r="E52" s="266"/>
      <c r="F52" s="266"/>
      <c r="G52" s="268"/>
    </row>
    <row r="55" spans="1:7" ht="15">
      <c r="B55" s="270" t="s">
        <v>1562</v>
      </c>
      <c r="C55" s="271"/>
    </row>
    <row r="56" spans="1:7">
      <c r="B56" s="273" t="s">
        <v>802</v>
      </c>
      <c r="C56" s="275">
        <f ca="1">1-C57</f>
        <v>0.88300000000000001</v>
      </c>
    </row>
    <row r="57" spans="1:7">
      <c r="B57" s="273" t="s">
        <v>803</v>
      </c>
      <c r="C57" s="274">
        <f ca="1">ROUND(C51/C52,3)</f>
        <v>0.11700000000000001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171635</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-150565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15</v>
      </c>
      <c r="D20" s="846">
        <f ca="1">IF(C1="",'数据-汇总表'!E6,IF(INDIRECT("'数据-取费表'!c"&amp;$K$1)="住宅",INDIRECT("'数据-取费表'!s"&amp;$K$1),INDIRECT("'数据-取费表'!k"&amp;$K$1)+INDIRECT("'数据-取费表'!s"&amp;$K$1)))</f>
        <v>752.9</v>
      </c>
      <c r="E20" s="21">
        <f>'数据-取费表'!B28</f>
        <v>200</v>
      </c>
      <c r="F20" s="804"/>
      <c r="G20" s="12"/>
      <c r="H20" s="809"/>
      <c r="I20" s="809"/>
      <c r="J20" s="809"/>
      <c r="K20" s="810"/>
    </row>
    <row r="21" spans="1:33" s="803" customFormat="1" ht="13.5" customHeight="1">
      <c r="A21" s="790" t="s">
        <v>357</v>
      </c>
      <c r="B21" s="813" t="s">
        <v>1628</v>
      </c>
      <c r="C21" s="814">
        <f ca="1">C16+C17+C18</f>
        <v>-150565</v>
      </c>
      <c r="D21" s="815"/>
      <c r="E21" s="281"/>
      <c r="F21" s="281"/>
      <c r="G21" s="131" t="s">
        <v>1629</v>
      </c>
      <c r="H21" s="807"/>
      <c r="I21" s="807"/>
      <c r="J21" s="807"/>
      <c r="K21" s="808"/>
    </row>
    <row r="22" spans="1:33" s="803" customFormat="1" ht="13.5" customHeight="1">
      <c r="A22" s="790" t="s">
        <v>1601</v>
      </c>
      <c r="B22" s="813" t="s">
        <v>1630</v>
      </c>
      <c r="C22" s="814">
        <f ca="1">ROUND(C21*F22,0)</f>
        <v>-3011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-23036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-23036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171635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56" sqref="D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2522.2280999999998</v>
      </c>
      <c r="C2" s="1387" t="s">
        <v>879</v>
      </c>
      <c r="D2" s="1471">
        <f ca="1">C40+J29+L46</f>
        <v>25222281</v>
      </c>
      <c r="E2" s="1388" t="s">
        <v>880</v>
      </c>
      <c r="F2" s="1389"/>
      <c r="G2" s="2706"/>
      <c r="H2" s="2695"/>
      <c r="I2" s="2695"/>
      <c r="J2" s="2695"/>
      <c r="K2" s="2696"/>
      <c r="L2" s="2695"/>
      <c r="M2" s="2695"/>
    </row>
    <row r="3" spans="1:37" ht="18" customHeight="1" thickBot="1">
      <c r="A3" s="1390" t="s">
        <v>881</v>
      </c>
      <c r="B3" s="1391">
        <f ca="1">IF(ISERROR(D2/F43),0,ROUND(D2/F43,0))</f>
        <v>33500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1782985</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1780759</v>
      </c>
      <c r="D6" s="155" t="s">
        <v>2106</v>
      </c>
      <c r="E6" s="302" t="s">
        <v>696</v>
      </c>
      <c r="F6" s="303">
        <f ca="1">INDIRECT("'数据-取费表'!u"&amp;$G$1)</f>
        <v>7.2</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752.9</v>
      </c>
      <c r="G7" s="1384"/>
      <c r="H7" s="304"/>
      <c r="I7" s="3640"/>
      <c r="J7" s="306"/>
      <c r="K7" s="307"/>
      <c r="L7" s="302" t="s">
        <v>697</v>
      </c>
      <c r="M7" s="303">
        <f ca="1">F7</f>
        <v>752.9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2226</v>
      </c>
      <c r="D10" s="1366" t="s">
        <v>2116</v>
      </c>
      <c r="E10" s="313" t="s">
        <v>701</v>
      </c>
      <c r="F10" s="1116" t="s">
        <v>3393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3256958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3011600</v>
      </c>
      <c r="D14" s="1345" t="s">
        <v>708</v>
      </c>
      <c r="E14" s="1342"/>
      <c r="F14" s="319"/>
      <c r="G14" s="1384"/>
      <c r="H14" s="982" t="s">
        <v>398</v>
      </c>
      <c r="I14" s="302" t="s">
        <v>709</v>
      </c>
      <c r="J14" s="21">
        <f ca="1">C29</f>
        <v>4342611</v>
      </c>
      <c r="K14" s="12"/>
      <c r="L14" s="807"/>
      <c r="M14" s="808"/>
    </row>
    <row r="15" spans="1:37" s="1397" customFormat="1" ht="18" customHeight="1" thickBot="1">
      <c r="A15" s="982" t="s">
        <v>399</v>
      </c>
      <c r="B15" s="302" t="s">
        <v>710</v>
      </c>
      <c r="C15" s="21">
        <f ca="1">ROUND(C14*F15,0)</f>
        <v>90348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43426</v>
      </c>
      <c r="K16" s="1087" t="s">
        <v>715</v>
      </c>
      <c r="L16" s="1088"/>
      <c r="M16" s="1072"/>
    </row>
    <row r="17" spans="1:37" s="1397" customFormat="1" ht="18" customHeight="1">
      <c r="A17" s="982" t="s">
        <v>681</v>
      </c>
      <c r="B17" s="302" t="s">
        <v>716</v>
      </c>
      <c r="C17" s="21">
        <f ca="1">ROUND(F17*(F43+INDIRECT("'数据-取费表'!S"&amp;$G$1)),0)</f>
        <v>150580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45174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3297702</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65954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43426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139592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-43426</v>
      </c>
      <c r="K25" s="1095" t="s">
        <v>753</v>
      </c>
      <c r="L25" s="1096"/>
      <c r="M25" s="1097"/>
    </row>
    <row r="26" spans="1:37" ht="18" customHeight="1">
      <c r="A26" s="982" t="s">
        <v>397</v>
      </c>
      <c r="B26" s="302" t="s">
        <v>754</v>
      </c>
      <c r="C26" s="21">
        <f ca="1">ROUND((C19+C20)*F26,0)</f>
        <v>504548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4342611</v>
      </c>
      <c r="D29" s="1092"/>
      <c r="E29" s="1090"/>
      <c r="F29" s="1093"/>
      <c r="G29" s="1396"/>
      <c r="H29" s="334" t="s">
        <v>396</v>
      </c>
      <c r="I29" s="335" t="s">
        <v>768</v>
      </c>
      <c r="J29" s="336">
        <f ca="1">ROUND(J26/(1+F40)^F41,0)</f>
        <v>0</v>
      </c>
      <c r="K29" s="337" t="s">
        <v>769</v>
      </c>
      <c r="L29" s="338"/>
      <c r="M29" s="339">
        <f ca="1">INDIRECT("'数据-取费表'!k"&amp;$G$1)</f>
        <v>752.9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364630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298489</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IF(项目基本情况!B11="自然人","——",ROUND(C6*F32/(1+'数据-取费表'!C42),0))</f>
        <v>94974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203515</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43426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4885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17830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1418355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24916079</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33093</v>
      </c>
      <c r="D43" s="337" t="s">
        <v>777</v>
      </c>
      <c r="E43" s="338" t="s">
        <v>778</v>
      </c>
      <c r="F43" s="339">
        <f ca="1">INDIRECT("'数据-取费表'!k"&amp;$G$1)</f>
        <v>752.9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-2558.2705000000001</v>
      </c>
      <c r="D45" s="3432" t="s">
        <v>3360</v>
      </c>
      <c r="E45" s="1400"/>
      <c r="F45" s="1400"/>
      <c r="O45" s="1403" t="s">
        <v>808</v>
      </c>
      <c r="P45" s="1461"/>
      <c r="Q45" s="1461"/>
      <c r="R45" s="1461"/>
    </row>
    <row r="46" spans="1:18" s="1384" customFormat="1" ht="13.5" thickBot="1">
      <c r="A46" s="1404" t="s">
        <v>809</v>
      </c>
      <c r="C46" s="1405">
        <f ca="1">ROUND(C45,0)</f>
        <v>-2558</v>
      </c>
      <c r="D46" s="1406" t="str">
        <f>C2</f>
        <v>万元</v>
      </c>
      <c r="I46" s="1407" t="s">
        <v>810</v>
      </c>
      <c r="J46" s="1408"/>
      <c r="K46" s="1409"/>
      <c r="L46" s="1410">
        <f ca="1">IF(M47="住宅",0,IF(L48&gt;J51,L60,J60))</f>
        <v>306202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3394</v>
      </c>
      <c r="K47" s="1416" t="s">
        <v>816</v>
      </c>
      <c r="L47" s="1417">
        <f ca="1">INDIRECT("'数据-取费表'!d"&amp;$G$1)</f>
        <v>50</v>
      </c>
      <c r="M47" s="1380" t="str">
        <f>IF(ISNUMBER(FIND("住宅",C1)),"住宅","非住宅")</f>
        <v>非住宅</v>
      </c>
      <c r="O47" s="1418" t="s">
        <v>403</v>
      </c>
      <c r="P47" s="1419" t="s">
        <v>817</v>
      </c>
      <c r="Q47" s="1420">
        <f ca="1">C40+J29</f>
        <v>24916079</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24</v>
      </c>
      <c r="O48" s="1418" t="s">
        <v>404</v>
      </c>
      <c r="P48" s="1419" t="s">
        <v>821</v>
      </c>
      <c r="Q48" s="1420">
        <f ca="1">J60</f>
        <v>306202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4342611</v>
      </c>
      <c r="R49" s="1420" t="s">
        <v>818</v>
      </c>
    </row>
    <row r="50" spans="1:18" s="1384" customFormat="1" ht="13.5" thickBot="1">
      <c r="A50" s="976"/>
      <c r="B50" s="979"/>
      <c r="C50" s="980"/>
      <c r="D50" s="953"/>
      <c r="E50" s="1056" t="s">
        <v>697</v>
      </c>
      <c r="F50" s="1057">
        <f ca="1">F7</f>
        <v>752.9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21029088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24</v>
      </c>
      <c r="K53" s="3637" t="s">
        <v>837</v>
      </c>
      <c r="L53" s="3638"/>
      <c r="O53" s="1418" t="s">
        <v>409</v>
      </c>
      <c r="P53" s="1419" t="s">
        <v>838</v>
      </c>
      <c r="Q53" s="1420">
        <f ca="1">Q47+Q48</f>
        <v>25222281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3256958</v>
      </c>
      <c r="D56" s="1447"/>
      <c r="E56" s="1448"/>
      <c r="F56" s="1440"/>
      <c r="I56" s="1449" t="s">
        <v>842</v>
      </c>
      <c r="J56" s="1450" t="s">
        <v>3396</v>
      </c>
      <c r="K56" s="1421" t="s">
        <v>843</v>
      </c>
      <c r="L56" s="1424" t="str">
        <f ca="1">IF(L48&lt;J51,"——",L48-J51)</f>
        <v>——</v>
      </c>
      <c r="O56" s="1418" t="s">
        <v>403</v>
      </c>
      <c r="P56" s="1419" t="s">
        <v>817</v>
      </c>
      <c r="Q56" s="1420">
        <f ca="1">C40+J29</f>
        <v>24916079</v>
      </c>
      <c r="R56" s="1420" t="s">
        <v>818</v>
      </c>
    </row>
    <row r="57" spans="1:18" s="1384" customFormat="1" ht="24.75" thickBot="1">
      <c r="A57" s="1451"/>
      <c r="B57" s="950" t="s">
        <v>767</v>
      </c>
      <c r="C57" s="238">
        <f ca="1">C29</f>
        <v>4342611</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48311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1737044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306202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24916079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43426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4885</v>
      </c>
      <c r="D65" s="964" t="s">
        <v>743</v>
      </c>
      <c r="E65" s="950" t="s">
        <v>744</v>
      </c>
      <c r="F65" s="330">
        <f t="shared" ca="1" si="0"/>
        <v>1.5E-3</v>
      </c>
      <c r="I65" s="1462" t="s">
        <v>867</v>
      </c>
      <c r="J65" s="1463">
        <v>40</v>
      </c>
      <c r="K65" s="1463">
        <v>30</v>
      </c>
      <c r="L65" s="1463">
        <v>50</v>
      </c>
      <c r="M65" s="1465">
        <v>0.02</v>
      </c>
      <c r="O65" s="1418" t="s">
        <v>403</v>
      </c>
      <c r="P65" s="1419" t="s">
        <v>868</v>
      </c>
      <c r="Q65" s="1420">
        <f ca="1">C40+J29</f>
        <v>24916079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-48311</v>
      </c>
      <c r="D67" s="963" t="s">
        <v>753</v>
      </c>
      <c r="E67" s="968"/>
      <c r="F67" s="969"/>
      <c r="O67" s="1428" t="s">
        <v>405</v>
      </c>
      <c r="P67" s="1419" t="s">
        <v>850</v>
      </c>
      <c r="Q67" s="1466">
        <f ca="1">L51</f>
        <v>21029088</v>
      </c>
      <c r="R67" s="1420" t="s">
        <v>870</v>
      </c>
    </row>
    <row r="68" spans="1:18" s="1384" customFormat="1" ht="16.5" thickBot="1">
      <c r="A68" s="947" t="s">
        <v>395</v>
      </c>
      <c r="B68" s="948" t="s">
        <v>774</v>
      </c>
      <c r="C68" s="301">
        <f ca="1">ROUND(C67*(1-((1+F70)/(1+F68))^F69)/(F68-F70),0)</f>
        <v>-666626</v>
      </c>
      <c r="D68" s="965" t="s">
        <v>758</v>
      </c>
      <c r="E68" s="950" t="s">
        <v>759</v>
      </c>
      <c r="F68" s="312">
        <f ca="1">F40</f>
        <v>0.05</v>
      </c>
      <c r="O68" s="1428" t="s">
        <v>406</v>
      </c>
      <c r="P68" s="1467" t="s">
        <v>871</v>
      </c>
      <c r="Q68" s="1420">
        <f ca="1">ROUND(Q69-Q70*Q71,0)</f>
        <v>1190368</v>
      </c>
      <c r="R68" s="1420" t="s">
        <v>414</v>
      </c>
    </row>
    <row r="69" spans="1:18" s="1384" customFormat="1" ht="13.5" thickBot="1">
      <c r="A69" s="951"/>
      <c r="B69" s="952"/>
      <c r="C69" s="306"/>
      <c r="D69" s="970" t="s">
        <v>762</v>
      </c>
      <c r="E69" s="950" t="s">
        <v>763</v>
      </c>
      <c r="F69" s="333">
        <f ca="1">F41</f>
        <v>24</v>
      </c>
      <c r="O69" s="1428" t="s">
        <v>411</v>
      </c>
      <c r="P69" s="1467" t="s">
        <v>872</v>
      </c>
      <c r="Q69" s="1420">
        <f ca="1">C39</f>
        <v>1418355</v>
      </c>
      <c r="R69" s="1420" t="s">
        <v>818</v>
      </c>
    </row>
    <row r="70" spans="1:18" s="1384" customFormat="1" ht="13.5" thickBot="1">
      <c r="A70" s="954"/>
      <c r="B70" s="955"/>
      <c r="C70" s="310"/>
      <c r="D70" s="966"/>
      <c r="E70" s="950" t="s">
        <v>766</v>
      </c>
      <c r="F70" s="1054"/>
      <c r="O70" s="1428" t="s">
        <v>412</v>
      </c>
      <c r="P70" s="1467" t="s">
        <v>873</v>
      </c>
      <c r="Q70" s="1420">
        <f ca="1">C13</f>
        <v>3256958</v>
      </c>
      <c r="R70" s="1420" t="s">
        <v>818</v>
      </c>
    </row>
    <row r="71" spans="1:18" s="1384" customFormat="1" ht="13.5" thickBot="1">
      <c r="A71" s="971" t="s">
        <v>396</v>
      </c>
      <c r="B71" s="972" t="s">
        <v>776</v>
      </c>
      <c r="C71" s="336">
        <f ca="1">ROUND(C68/F71,0)</f>
        <v>-885</v>
      </c>
      <c r="D71" s="973" t="s">
        <v>777</v>
      </c>
      <c r="E71" s="974" t="s">
        <v>778</v>
      </c>
      <c r="F71" s="339">
        <f ca="1">F43</f>
        <v>752.9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227987</v>
      </c>
      <c r="D75" s="1384"/>
      <c r="E75" s="1384"/>
      <c r="F75" s="1384"/>
      <c r="K75" s="1402"/>
      <c r="L75" s="1384"/>
      <c r="O75" s="1418" t="s">
        <v>409</v>
      </c>
      <c r="P75" s="1419" t="s">
        <v>838</v>
      </c>
      <c r="Q75" s="1420">
        <f ca="1">Q65+Q66</f>
        <v>24916079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0.83899999999999997</v>
      </c>
    </row>
    <row r="80" spans="1:18">
      <c r="B80" s="340" t="s">
        <v>800</v>
      </c>
      <c r="C80" s="274">
        <f ca="1">ROUND(C75/C39,3)</f>
        <v>0.161</v>
      </c>
    </row>
    <row r="81" spans="2:3">
      <c r="B81" s="270" t="s">
        <v>801</v>
      </c>
      <c r="C81" s="238"/>
    </row>
    <row r="82" spans="2:3">
      <c r="B82" s="273" t="s">
        <v>802</v>
      </c>
      <c r="C82" s="275">
        <f ca="1">1-C83</f>
        <v>0.86899999999999999</v>
      </c>
    </row>
    <row r="83" spans="2:3">
      <c r="B83" s="273" t="s">
        <v>803</v>
      </c>
      <c r="C83" s="274">
        <f ca="1">ROUND(C13/C40,3)</f>
        <v>0.13100000000000001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18" sqref="N1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8" t="s">
        <v>2320</v>
      </c>
      <c r="K2" s="364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0" t="s">
        <v>2330</v>
      </c>
      <c r="K3" s="365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0" t="s">
        <v>2332</v>
      </c>
      <c r="K4" s="365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6" t="s">
        <v>2336</v>
      </c>
      <c r="B6" s="3657"/>
      <c r="C6" s="3658"/>
      <c r="D6" s="2870"/>
      <c r="E6" s="2871"/>
      <c r="F6" s="2872"/>
      <c r="G6" s="2873"/>
      <c r="H6" s="2848"/>
      <c r="I6" s="2849"/>
      <c r="J6" s="3642">
        <v>1</v>
      </c>
      <c r="K6" s="364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2"/>
      <c r="K7" s="364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9" t="s">
        <v>2350</v>
      </c>
      <c r="C8" s="3660"/>
      <c r="D8" s="2889" t="s">
        <v>2351</v>
      </c>
      <c r="E8" s="2890" t="s">
        <v>2352</v>
      </c>
      <c r="F8" s="2891" t="s">
        <v>2353</v>
      </c>
      <c r="G8" s="2892"/>
      <c r="H8" s="2848"/>
      <c r="I8" s="2849"/>
      <c r="J8" s="3642"/>
      <c r="K8" s="364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9" t="s">
        <v>2356</v>
      </c>
      <c r="C9" s="3660"/>
      <c r="D9" s="2889">
        <f>ROUND(D6*E9,0)</f>
        <v>0</v>
      </c>
      <c r="E9" s="2893"/>
      <c r="F9" s="2894" t="s">
        <v>2357</v>
      </c>
      <c r="G9" s="2873"/>
      <c r="H9" s="2848"/>
      <c r="I9" s="2849"/>
      <c r="J9" s="3642"/>
      <c r="K9" s="3644"/>
      <c r="L9" s="2883" t="s">
        <v>2358</v>
      </c>
      <c r="M9" s="2884"/>
      <c r="N9" s="2860"/>
      <c r="O9" s="2885"/>
      <c r="P9" s="2885"/>
      <c r="Q9" s="2886">
        <v>365</v>
      </c>
      <c r="R9" s="2887">
        <f t="shared" si="0"/>
        <v>0</v>
      </c>
      <c r="S9" s="2841"/>
      <c r="T9" s="2841"/>
      <c r="U9" s="2841"/>
      <c r="V9" s="2849"/>
    </row>
    <row r="10" spans="1:22" s="2853" customFormat="1" ht="13.15" customHeight="1">
      <c r="A10" s="2888">
        <v>2</v>
      </c>
      <c r="B10" s="3659" t="s">
        <v>2359</v>
      </c>
      <c r="C10" s="3660"/>
      <c r="D10" s="2889">
        <f>ROUND(D6*E10,0)</f>
        <v>0</v>
      </c>
      <c r="E10" s="2893"/>
      <c r="F10" s="2894" t="s">
        <v>2360</v>
      </c>
      <c r="G10" s="2873"/>
      <c r="H10" s="2848"/>
      <c r="I10" s="2849"/>
      <c r="J10" s="3642"/>
      <c r="K10" s="3644"/>
      <c r="L10" s="2883" t="s">
        <v>2361</v>
      </c>
      <c r="M10" s="2884"/>
      <c r="N10" s="2860"/>
      <c r="O10" s="2885"/>
      <c r="P10" s="2885"/>
      <c r="Q10" s="2886">
        <v>365</v>
      </c>
      <c r="R10" s="2887">
        <f t="shared" si="0"/>
        <v>0</v>
      </c>
      <c r="S10" s="2841"/>
      <c r="T10" s="2841"/>
      <c r="U10" s="2841"/>
      <c r="V10" s="2849"/>
    </row>
    <row r="11" spans="1:22" s="2853" customFormat="1" ht="13.15" customHeight="1">
      <c r="A11" s="2888">
        <v>3</v>
      </c>
      <c r="B11" s="3659" t="s">
        <v>2362</v>
      </c>
      <c r="C11" s="3660"/>
      <c r="D11" s="2889">
        <f>D12+D14+D15+D16</f>
        <v>0</v>
      </c>
      <c r="E11" s="2895" t="e">
        <f>D11/D6</f>
        <v>#DIV/0!</v>
      </c>
      <c r="F11" s="2891"/>
      <c r="G11" s="2892"/>
      <c r="H11" s="2848"/>
      <c r="I11" s="2849"/>
      <c r="J11" s="3642"/>
      <c r="K11" s="364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2" t="s">
        <v>2365</v>
      </c>
      <c r="C12" s="3653"/>
      <c r="D12" s="2897">
        <f>ROUND(D13*1.2%*(1-30%),0)</f>
        <v>0</v>
      </c>
      <c r="E12" s="2898">
        <v>1.2E-2</v>
      </c>
      <c r="F12" s="2891" t="s">
        <v>2366</v>
      </c>
      <c r="G12" s="2892"/>
      <c r="H12" s="2848"/>
      <c r="I12" s="2849"/>
      <c r="J12" s="3642"/>
      <c r="K12" s="364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2"/>
      <c r="K13" s="364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2" t="s">
        <v>2371</v>
      </c>
      <c r="C14" s="3653"/>
      <c r="D14" s="2897">
        <f>ROUND(E14*B5/10000,0)</f>
        <v>0</v>
      </c>
      <c r="E14" s="2886"/>
      <c r="F14" s="2891" t="s">
        <v>2372</v>
      </c>
      <c r="G14" s="2892"/>
      <c r="H14" s="2848"/>
      <c r="I14" s="2849"/>
      <c r="J14" s="3642"/>
      <c r="K14" s="364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2" t="s">
        <v>2375</v>
      </c>
      <c r="C15" s="3653"/>
      <c r="D15" s="2897">
        <f>ROUND(D6*E15,0)</f>
        <v>0</v>
      </c>
      <c r="E15" s="2898">
        <v>5.5E-2</v>
      </c>
      <c r="F15" s="2891" t="s">
        <v>2376</v>
      </c>
      <c r="G15" s="2873"/>
      <c r="H15" s="2848"/>
      <c r="I15" s="2849"/>
      <c r="J15" s="3642">
        <v>2</v>
      </c>
      <c r="K15" s="364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2" t="s">
        <v>2384</v>
      </c>
      <c r="C16" s="3653"/>
      <c r="D16" s="2908">
        <f>D6*E16</f>
        <v>0</v>
      </c>
      <c r="E16" s="2909"/>
      <c r="F16" s="2894" t="s">
        <v>2385</v>
      </c>
      <c r="G16" s="2873"/>
      <c r="H16" s="2848"/>
      <c r="I16" s="2849"/>
      <c r="J16" s="3642"/>
      <c r="K16" s="364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2387</v>
      </c>
      <c r="C17" s="3655"/>
      <c r="D17" s="2911">
        <f>ROUND(D6*E17,0)</f>
        <v>0</v>
      </c>
      <c r="E17" s="2912"/>
      <c r="F17" s="2913" t="s">
        <v>2388</v>
      </c>
      <c r="G17" s="2873"/>
      <c r="H17" s="2848"/>
      <c r="I17" s="2849"/>
      <c r="J17" s="3642"/>
      <c r="K17" s="364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2"/>
      <c r="K18" s="364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2"/>
      <c r="K19" s="364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2"/>
      <c r="K21" s="364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2"/>
      <c r="K22" s="364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2"/>
      <c r="K23" s="364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2"/>
      <c r="K24" s="364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8" t="s">
        <v>2320</v>
      </c>
      <c r="K32" s="364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0" t="s">
        <v>2330</v>
      </c>
      <c r="K33" s="365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0" t="s">
        <v>2332</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2">
        <v>1</v>
      </c>
      <c r="K36" s="364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2"/>
      <c r="K40" s="364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18" sqref="N1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2522.2280999999998</v>
      </c>
      <c r="C2" s="1872" t="s">
        <v>1651</v>
      </c>
      <c r="D2" s="1873" t="s">
        <v>1652</v>
      </c>
      <c r="E2" s="2607">
        <f>SUM(E6:E13)</f>
        <v>752.9</v>
      </c>
      <c r="F2" s="2707"/>
      <c r="G2" s="1489"/>
      <c r="H2" s="1489"/>
      <c r="I2" s="1489"/>
      <c r="J2" s="1489"/>
      <c r="K2" s="1489"/>
      <c r="L2" s="1489"/>
      <c r="M2" s="1489"/>
      <c r="N2" s="1489"/>
      <c r="O2" s="1489"/>
      <c r="P2" s="1489"/>
      <c r="Q2" s="1489"/>
      <c r="R2" s="1489"/>
      <c r="S2" s="1489"/>
    </row>
    <row r="3" spans="1:22" ht="15.75">
      <c r="A3" s="1870" t="s">
        <v>686</v>
      </c>
      <c r="B3" s="2601">
        <f ca="1">ROUND(B2*10000/E2,0)</f>
        <v>33500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2522.2280999999998</v>
      </c>
      <c r="C6" s="1872" t="s">
        <v>1651</v>
      </c>
      <c r="D6" s="2709"/>
      <c r="E6" s="2606">
        <f>IF(OR(A6=0,F6="否"),0,'数据-取费表'!K6+'数据-取费表'!S6)</f>
        <v>752.9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18" sqref="N1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752.9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45028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752.9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45028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752.9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45028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45028</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估价对象为北京市房地产，为所有。根据《国有土地使用证》[]，估价对象（分摊）出让国有建设用地使用权面积为0平方米，建筑面积为752.9平方米。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估价对象为北京市房地产,属开发建设的，该项目尚在开发建设中。根据《国有土地使用证》[]，估价对象（分摊）出让国有建设用地使用权面积为0平方米，规划建筑面积为752.9平方米。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45028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45028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45028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20"/>
      <c r="L10" s="2719"/>
      <c r="M10" s="2720"/>
      <c r="N10" s="2720"/>
      <c r="O10" s="2773"/>
      <c r="P10" s="3666"/>
      <c r="Q10" s="1343" t="str">
        <f t="shared" si="6"/>
        <v>土地使用年限（年）</v>
      </c>
      <c r="R10" s="701" t="s">
        <v>14</v>
      </c>
      <c r="S10" s="702">
        <f t="shared" si="0"/>
        <v>136</v>
      </c>
      <c r="T10" s="701" t="s">
        <v>14</v>
      </c>
      <c r="U10" s="702">
        <f t="shared" si="1"/>
        <v>136</v>
      </c>
      <c r="V10" s="701" t="s">
        <v>14</v>
      </c>
      <c r="W10" s="702">
        <f t="shared" si="2"/>
        <v>136</v>
      </c>
      <c r="X10" s="703"/>
      <c r="Y10" s="3541"/>
      <c r="Z10" s="52" t="str">
        <f t="shared" si="7"/>
        <v>土地使用年限（年）</v>
      </c>
      <c r="AA10" s="704">
        <f t="shared" si="3"/>
        <v>0.73529411764705888</v>
      </c>
      <c r="AB10" s="704">
        <f t="shared" si="4"/>
        <v>0.73529411764705888</v>
      </c>
      <c r="AC10" s="704">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752.9</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752.9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45028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20"/>
      <c r="L10" s="2719"/>
      <c r="M10" s="2720"/>
      <c r="N10" s="2720"/>
      <c r="O10" s="2773"/>
      <c r="P10" s="3666"/>
      <c r="Q10" s="1343" t="str">
        <f t="shared" si="6"/>
        <v>土地使用年限（年）</v>
      </c>
      <c r="R10" s="701" t="s">
        <v>14</v>
      </c>
      <c r="S10" s="702">
        <f t="shared" si="0"/>
        <v>136</v>
      </c>
      <c r="T10" s="701" t="s">
        <v>14</v>
      </c>
      <c r="U10" s="702">
        <f t="shared" si="1"/>
        <v>136</v>
      </c>
      <c r="V10" s="701" t="s">
        <v>14</v>
      </c>
      <c r="W10" s="702">
        <f t="shared" si="2"/>
        <v>136</v>
      </c>
      <c r="X10" s="703"/>
      <c r="Y10" s="3541"/>
      <c r="Z10" s="52" t="str">
        <f t="shared" si="7"/>
        <v>土地使用年限（年）</v>
      </c>
      <c r="AA10" s="704">
        <f t="shared" si="3"/>
        <v>0.73529411764705888</v>
      </c>
      <c r="AB10" s="704">
        <f t="shared" si="4"/>
        <v>0.73529411764705888</v>
      </c>
      <c r="AC10" s="704">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752.9</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Ⅱ—03</v>
      </c>
      <c r="J2" s="2002"/>
      <c r="K2" s="1119"/>
      <c r="L2" s="2003" t="s">
        <v>1939</v>
      </c>
      <c r="M2" s="864">
        <f>SUMPRODUCT((区片价!B10:B29=I2)*(区片价!C3:G3=E2)*(区片价!C10:G29))</f>
        <v>27550</v>
      </c>
      <c r="N2" s="866">
        <f>SUMPRODUCT((因素修正幅度!B10:B29=I2)*(因素修正幅度!C3:G3=E2)*(因素修正幅度!C10:G29))</f>
        <v>0.09</v>
      </c>
      <c r="O2" s="1119"/>
      <c r="P2" s="1119"/>
      <c r="Q2" s="1119"/>
      <c r="R2" s="1212">
        <v>1</v>
      </c>
      <c r="S2" s="3361">
        <f>ROUND(SUMPRODUCT((B106:B110=R2)*(C105:N105=G2)*(C106:N110)),4)</f>
        <v>1.5206</v>
      </c>
      <c r="T2" s="3361">
        <f t="shared" ref="T2:T16" si="0">ROUND($C$5*$C$22*$C$23*$C$24*S2*$C$28,0)</f>
        <v>35014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3397</v>
      </c>
      <c r="F3" s="2004" t="s">
        <v>3398</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27797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24019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28087</v>
      </c>
      <c r="D5" s="1339">
        <f>ROUND(C6*C17+C20,0)</f>
        <v>27536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21735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27550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20715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1.02</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3261</v>
      </c>
      <c r="B20" s="167" t="s">
        <v>1994</v>
      </c>
      <c r="C20" s="3325">
        <f>ROUND(IF(F21="与级别开发程度一致",0,(G21-E21)/C21),0)</f>
        <v>-14</v>
      </c>
      <c r="D20" s="3341" t="s">
        <v>1998</v>
      </c>
      <c r="E20" s="3342"/>
      <c r="F20" s="3756" t="s">
        <v>1995</v>
      </c>
      <c r="G20" s="3757"/>
      <c r="H20" s="3326" t="s">
        <v>3401</v>
      </c>
      <c r="I20" s="3326" t="s">
        <v>3402</v>
      </c>
      <c r="J20" s="3327" t="s">
        <v>3403</v>
      </c>
      <c r="K20" s="2047" t="s">
        <v>3404</v>
      </c>
      <c r="L20" s="2047" t="s">
        <v>3405</v>
      </c>
      <c r="M20" s="2047" t="s">
        <v>3406</v>
      </c>
      <c r="N20" s="2047" t="s">
        <v>3407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3400</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20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45028</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0.77680000000000005</v>
      </c>
      <c r="D24" s="2060" t="s">
        <v>2007</v>
      </c>
      <c r="E24" s="1335">
        <f>存贷款利率!E22/100</f>
        <v>4.3499999999999997E-2</v>
      </c>
      <c r="F24" s="2060" t="s">
        <v>1999</v>
      </c>
      <c r="G24" s="768">
        <f>SUMIF(M30:Q30,E2,M33:Q33)</f>
        <v>5.5E-2</v>
      </c>
      <c r="H24" s="2060" t="s">
        <v>2008</v>
      </c>
      <c r="I24" s="769">
        <f>SUMIF('数据-取费表'!C6:C15,E2,'数据-取费表'!F6:F15)/COUNTIF('数据-取费表'!C6:C15,E2)</f>
        <v>24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23026</v>
      </c>
      <c r="D33" s="2098"/>
      <c r="E33" s="773">
        <f>ROUND(C33*D33/10000,0)</f>
        <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5757</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15802</v>
      </c>
      <c r="D37" s="2098"/>
      <c r="E37" s="171">
        <f>ROUND(C37*D37/10000,0)</f>
        <v>0</v>
      </c>
      <c r="F37" s="171">
        <f>SUMIF(修正!A57:A68,G2,修正!B57:B68)</f>
        <v>0.7</v>
      </c>
      <c r="G37" s="171">
        <f>ROUND(IF(E2="工业",C37*$M$42,C37*$M$41),0)</f>
        <v>3951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9030</v>
      </c>
      <c r="D38" s="2098"/>
      <c r="E38" s="171">
        <f t="shared" ref="E38:E42" si="4">ROUND(C38*D38/10000,0)</f>
        <v>0</v>
      </c>
      <c r="F38" s="171">
        <f>SUMIF(修正!A57:A68,G2,修正!C57:C68)</f>
        <v>0.4</v>
      </c>
      <c r="G38" s="171">
        <f>ROUND(IF(E2="工业",C38*$M$42,C38*$M$41),0)</f>
        <v>2258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3266</v>
      </c>
      <c r="C39" s="175">
        <f>ROUND(D5*C22*C23*C24*C28*F39,0)</f>
        <v>6772</v>
      </c>
      <c r="D39" s="2098"/>
      <c r="E39" s="171">
        <f t="shared" si="4"/>
        <v>0</v>
      </c>
      <c r="F39" s="171">
        <f>SUMIF(修正!A57:A68,G2,修正!D57:D68)</f>
        <v>0.3</v>
      </c>
      <c r="G39" s="171">
        <f>ROUND(IF(E2="工业",C39*$M$42,C39*$M$41),0)</f>
        <v>1693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6772</v>
      </c>
      <c r="D40" s="2098"/>
      <c r="E40" s="171">
        <f t="shared" si="4"/>
        <v>0</v>
      </c>
      <c r="F40" s="175">
        <f>SUMIF(修正!A57:A68,G2,修正!E57:E68)</f>
        <v>0.3</v>
      </c>
      <c r="G40" s="171">
        <f>ROUND(IF(E2="工业",C40*$M$42,C40*$M$41),0)</f>
        <v>1693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1.0403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3408</v>
      </c>
      <c r="D61" s="1065">
        <f t="shared" ref="D61:D69" si="12">SUMIF($J$60:$N$60,C61,J61:N61)</f>
        <v>1.12E-2</v>
      </c>
      <c r="E61" s="744">
        <f>ROUND(SUM(D61:D69),4)</f>
        <v>4.0300000000000002E-2</v>
      </c>
      <c r="F61" s="1814">
        <f>IF(E2="办公",SUMIF(L1:L12,G2,N1:N12),"——")</f>
        <v>0.09</v>
      </c>
      <c r="G61" s="1063">
        <v>1.12E-2</v>
      </c>
      <c r="H61" s="1066">
        <f t="shared" ref="H61:H69" si="13">IFERROR(ROUNDDOWN($F$61*I61/2,4),"——")</f>
        <v>1.12E-2</v>
      </c>
      <c r="I61" s="3367">
        <v>0.25</v>
      </c>
      <c r="J61" s="1064">
        <f t="shared" ref="J61:J69" si="14">K61+$G61</f>
        <v>2.24E-2</v>
      </c>
      <c r="K61" s="1064">
        <f t="shared" ref="K61:K69" si="15">$L61+$G61</f>
        <v>1.12E-2</v>
      </c>
      <c r="L61" s="1064">
        <v>0</v>
      </c>
      <c r="M61" s="1064">
        <f t="shared" ref="M61:N69" si="16">L61-$G61</f>
        <v>-1.12E-2</v>
      </c>
      <c r="N61" s="1064">
        <f t="shared" si="16"/>
        <v>-2.24E-2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3408</v>
      </c>
      <c r="D62" s="1065">
        <f t="shared" si="12"/>
        <v>1.17E-2</v>
      </c>
      <c r="E62" s="745"/>
      <c r="F62" s="1814"/>
      <c r="G62" s="1063">
        <v>1.17E-2</v>
      </c>
      <c r="H62" s="1066">
        <f t="shared" si="13"/>
        <v>1.17E-2</v>
      </c>
      <c r="I62" s="3367">
        <v>0.26</v>
      </c>
      <c r="J62" s="1064">
        <f t="shared" si="14"/>
        <v>2.3400000000000001E-2</v>
      </c>
      <c r="K62" s="1064">
        <f t="shared" si="15"/>
        <v>1.17E-2</v>
      </c>
      <c r="L62" s="1064">
        <v>0</v>
      </c>
      <c r="M62" s="1064">
        <f t="shared" si="16"/>
        <v>-1.17E-2</v>
      </c>
      <c r="N62" s="1064">
        <f t="shared" si="16"/>
        <v>-2.3400000000000001E-2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3408</v>
      </c>
      <c r="D63" s="1065">
        <f t="shared" si="12"/>
        <v>4.8999999999999998E-3</v>
      </c>
      <c r="E63" s="745"/>
      <c r="F63" s="1814"/>
      <c r="G63" s="1063">
        <v>4.8999999999999998E-3</v>
      </c>
      <c r="H63" s="1066">
        <f t="shared" si="13"/>
        <v>4.8999999999999998E-3</v>
      </c>
      <c r="I63" s="3367">
        <v>0.11</v>
      </c>
      <c r="J63" s="1064">
        <f t="shared" si="14"/>
        <v>9.7999999999999997E-3</v>
      </c>
      <c r="K63" s="1064">
        <f t="shared" si="15"/>
        <v>4.8999999999999998E-3</v>
      </c>
      <c r="L63" s="1064">
        <v>0</v>
      </c>
      <c r="M63" s="1064">
        <f t="shared" si="16"/>
        <v>-4.8999999999999998E-3</v>
      </c>
      <c r="N63" s="1064">
        <f t="shared" si="16"/>
        <v>-9.7999999999999997E-3</v>
      </c>
      <c r="AA63" s="1120"/>
      <c r="AB63" s="1120"/>
      <c r="AC63" s="1120"/>
      <c r="AD63" s="1120"/>
      <c r="AE63" s="1120"/>
      <c r="AF63" s="1120"/>
      <c r="AG63" s="1120"/>
      <c r="AH63" s="1120"/>
      <c r="AI63" s="1120"/>
      <c r="AJ63" s="1120"/>
      <c r="AK63" s="1120"/>
    </row>
    <row r="64" spans="1:37" s="1119" customFormat="1" ht="36.75">
      <c r="A64" s="2130" t="s">
        <v>2054</v>
      </c>
      <c r="B64" s="2135" t="s">
        <v>2055</v>
      </c>
      <c r="C64" s="2044" t="s">
        <v>3408</v>
      </c>
      <c r="D64" s="1065">
        <f t="shared" si="12"/>
        <v>2.2000000000000001E-3</v>
      </c>
      <c r="E64" s="745"/>
      <c r="F64" s="1814"/>
      <c r="G64" s="1063">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2"/>
        <v>-2.2000000000000001E-3</v>
      </c>
      <c r="E65" s="745"/>
      <c r="F65" s="1814"/>
      <c r="G65" s="1063">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3408</v>
      </c>
      <c r="D66" s="1065">
        <f t="shared" si="12"/>
        <v>2.7000000000000001E-3</v>
      </c>
      <c r="E66" s="745"/>
      <c r="F66" s="1814"/>
      <c r="G66" s="1063">
        <v>2.7000000000000001E-3</v>
      </c>
      <c r="H66" s="1066">
        <f t="shared" si="13"/>
        <v>2.7000000000000001E-3</v>
      </c>
      <c r="I66" s="3367">
        <v>0.06</v>
      </c>
      <c r="J66" s="1064">
        <f t="shared" si="14"/>
        <v>5.4000000000000003E-3</v>
      </c>
      <c r="K66" s="1064">
        <f t="shared" si="15"/>
        <v>2.7000000000000001E-3</v>
      </c>
      <c r="L66" s="1064">
        <v>0</v>
      </c>
      <c r="M66" s="1064">
        <f t="shared" si="16"/>
        <v>-2.7000000000000001E-3</v>
      </c>
      <c r="N66" s="1064">
        <f t="shared" si="16"/>
        <v>-5.4000000000000003E-3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3408</v>
      </c>
      <c r="D67" s="1065">
        <f t="shared" si="12"/>
        <v>2.7000000000000001E-3</v>
      </c>
      <c r="E67" s="745"/>
      <c r="F67" s="1814"/>
      <c r="G67" s="1063">
        <v>2.7000000000000001E-3</v>
      </c>
      <c r="H67" s="1066">
        <f t="shared" si="13"/>
        <v>2.7000000000000001E-3</v>
      </c>
      <c r="I67" s="3367">
        <v>0.06</v>
      </c>
      <c r="J67" s="1064">
        <f t="shared" si="14"/>
        <v>5.4000000000000003E-3</v>
      </c>
      <c r="K67" s="1064">
        <f t="shared" si="15"/>
        <v>2.7000000000000001E-3</v>
      </c>
      <c r="L67" s="1064">
        <v>0</v>
      </c>
      <c r="M67" s="1064">
        <f t="shared" si="16"/>
        <v>-2.7000000000000001E-3</v>
      </c>
      <c r="N67" s="1064">
        <f t="shared" si="16"/>
        <v>-5.4000000000000003E-3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3408</v>
      </c>
      <c r="D68" s="1065">
        <f t="shared" si="12"/>
        <v>4.0000000000000001E-3</v>
      </c>
      <c r="E68" s="745"/>
      <c r="F68" s="1814"/>
      <c r="G68" s="1063">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3408</v>
      </c>
      <c r="D69" s="1065">
        <f t="shared" si="12"/>
        <v>3.0999999999999999E-3</v>
      </c>
      <c r="E69" s="746"/>
      <c r="F69" s="1814"/>
      <c r="G69" s="1063">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3301</v>
      </c>
      <c r="B103" s="3752"/>
      <c r="C103" s="3752"/>
      <c r="D103" s="3752"/>
      <c r="E103" s="3752"/>
      <c r="F103" s="3752"/>
      <c r="G103" s="3752"/>
      <c r="H103" s="3752"/>
      <c r="I103" s="3752"/>
      <c r="J103" s="3752"/>
      <c r="K103" s="3390"/>
      <c r="L103" s="3390"/>
      <c r="M103" s="3390"/>
      <c r="N103" s="3390"/>
    </row>
    <row r="104" spans="1:14">
      <c r="A104" s="3753" t="s">
        <v>3302</v>
      </c>
      <c r="B104" s="3753" t="s">
        <v>3303</v>
      </c>
      <c r="C104" s="3391" t="s">
        <v>3304</v>
      </c>
      <c r="D104" s="3392"/>
      <c r="E104" s="3392"/>
      <c r="F104" s="3392"/>
      <c r="G104" s="3392"/>
      <c r="H104" s="3392"/>
      <c r="I104" s="3392"/>
      <c r="J104" s="3393"/>
      <c r="K104" s="3394"/>
      <c r="L104" s="3394"/>
      <c r="M104" s="3394"/>
      <c r="N104" s="3394"/>
    </row>
    <row r="105" spans="1:14">
      <c r="A105" s="3753"/>
      <c r="B105" s="3753"/>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9"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2" t="s">
        <v>3318</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3.5</v>
      </c>
      <c r="C116" s="3400" t="s">
        <v>3320</v>
      </c>
      <c r="D116" s="3401">
        <f>SUMPRODUCT((A118:A122=F116)*(B117:M117=H116)*B118:M122)</f>
        <v>0.95379999999999998</v>
      </c>
      <c r="E116" s="2000" t="s">
        <v>3321</v>
      </c>
      <c r="F116" s="3402" t="str">
        <f>E2</f>
        <v>办公</v>
      </c>
      <c r="G116" s="2000" t="s">
        <v>3322</v>
      </c>
      <c r="H116" s="3402" t="str">
        <f>G2</f>
        <v>二级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5">I118</f>
        <v>0.78559999999999997</v>
      </c>
      <c r="K118" s="3388">
        <f t="shared" si="35"/>
        <v>0.78559999999999997</v>
      </c>
      <c r="L118" s="3388">
        <f t="shared" si="35"/>
        <v>0.78559999999999997</v>
      </c>
      <c r="M118" s="3411">
        <f t="shared" si="35"/>
        <v>0.78559999999999997</v>
      </c>
      <c r="N118" s="3398"/>
    </row>
    <row r="119" spans="1:14">
      <c r="A119" s="3410" t="s">
        <v>3336</v>
      </c>
      <c r="B119" s="3388">
        <f>ROUND(0.993-0.0112*B116,4)</f>
        <v>0.95379999999999998</v>
      </c>
      <c r="C119" s="3388">
        <f>B119</f>
        <v>0.95379999999999998</v>
      </c>
      <c r="D119" s="3388">
        <f>ROUND(0.9415-0.0142*B116,4)</f>
        <v>0.89180000000000004</v>
      </c>
      <c r="E119" s="3388">
        <f t="shared" ref="E119:H120" si="36">D119</f>
        <v>0.89180000000000004</v>
      </c>
      <c r="F119" s="3388">
        <f t="shared" si="36"/>
        <v>0.89180000000000004</v>
      </c>
      <c r="G119" s="3388">
        <f t="shared" si="36"/>
        <v>0.89180000000000004</v>
      </c>
      <c r="H119" s="3388">
        <f t="shared" si="36"/>
        <v>0.89180000000000004</v>
      </c>
      <c r="I119" s="3388">
        <f>ROUND(0.838-0.0182*B116,4)</f>
        <v>0.77429999999999999</v>
      </c>
      <c r="J119" s="3388">
        <f t="shared" si="35"/>
        <v>0.77429999999999999</v>
      </c>
      <c r="K119" s="3388">
        <f t="shared" si="35"/>
        <v>0.77429999999999999</v>
      </c>
      <c r="L119" s="3388">
        <f t="shared" si="35"/>
        <v>0.77429999999999999</v>
      </c>
      <c r="M119" s="3411">
        <f t="shared" si="35"/>
        <v>0.77429999999999999</v>
      </c>
      <c r="N119" s="3398"/>
    </row>
    <row r="120" spans="1:14">
      <c r="A120" s="3410" t="s">
        <v>3337</v>
      </c>
      <c r="B120" s="3388">
        <f>ROUND(0.9448-0.0115*B116,4)</f>
        <v>0.90459999999999996</v>
      </c>
      <c r="C120" s="3388">
        <f>B120</f>
        <v>0.90459999999999996</v>
      </c>
      <c r="D120" s="3388">
        <f>ROUND(0.937-0.0145*B116,4)</f>
        <v>0.88629999999999998</v>
      </c>
      <c r="E120" s="3388">
        <f t="shared" si="36"/>
        <v>0.88629999999999998</v>
      </c>
      <c r="F120" s="3388">
        <f t="shared" si="36"/>
        <v>0.88629999999999998</v>
      </c>
      <c r="G120" s="3388">
        <f t="shared" si="36"/>
        <v>0.88629999999999998</v>
      </c>
      <c r="H120" s="3388">
        <f t="shared" si="36"/>
        <v>0.88629999999999998</v>
      </c>
      <c r="I120" s="3388">
        <f>ROUND(0.7965-0.0185*B116,4)</f>
        <v>0.73180000000000001</v>
      </c>
      <c r="J120" s="3388">
        <f t="shared" si="35"/>
        <v>0.73180000000000001</v>
      </c>
      <c r="K120" s="3388">
        <f t="shared" si="35"/>
        <v>0.73180000000000001</v>
      </c>
      <c r="L120" s="3388">
        <f t="shared" si="35"/>
        <v>0.73180000000000001</v>
      </c>
      <c r="M120" s="3411">
        <f t="shared" si="35"/>
        <v>0.73180000000000001</v>
      </c>
      <c r="N120" s="3398"/>
    </row>
    <row r="121" spans="1:14" ht="13.5" thickBot="1">
      <c r="A121" s="3412" t="s">
        <v>3338</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5"/>
        <v>0.52400000000000002</v>
      </c>
      <c r="K121" s="3413">
        <f t="shared" si="35"/>
        <v>0.52400000000000002</v>
      </c>
      <c r="L121" s="3413">
        <f t="shared" si="35"/>
        <v>0.52400000000000002</v>
      </c>
      <c r="M121" s="3414">
        <f t="shared" si="35"/>
        <v>0.52400000000000002</v>
      </c>
      <c r="N121" s="3398"/>
    </row>
    <row r="122" spans="1:14">
      <c r="A122" s="3415" t="s">
        <v>2615</v>
      </c>
      <c r="B122" s="3388">
        <f>ROUND(0.9404-0.0106*B116,4)</f>
        <v>0.90329999999999999</v>
      </c>
      <c r="C122" s="3388">
        <f>B122</f>
        <v>0.90329999999999999</v>
      </c>
      <c r="D122" s="3388">
        <f>ROUND(0.8955-0.0135*B116,4)</f>
        <v>0.84830000000000005</v>
      </c>
      <c r="E122" s="3388">
        <f t="shared" ref="E122:H122" si="37">D122</f>
        <v>0.84830000000000005</v>
      </c>
      <c r="F122" s="3388">
        <f t="shared" si="37"/>
        <v>0.84830000000000005</v>
      </c>
      <c r="G122" s="3388">
        <f t="shared" si="37"/>
        <v>0.84830000000000005</v>
      </c>
      <c r="H122" s="3388">
        <f t="shared" si="37"/>
        <v>0.84830000000000005</v>
      </c>
      <c r="I122" s="3388">
        <f>ROUND(0.7632-0.0166*B116,4)</f>
        <v>0.70509999999999995</v>
      </c>
      <c r="J122" s="3388">
        <f t="shared" si="35"/>
        <v>0.70509999999999995</v>
      </c>
      <c r="K122" s="3388">
        <f t="shared" si="35"/>
        <v>0.70509999999999995</v>
      </c>
      <c r="L122" s="3388">
        <f t="shared" si="35"/>
        <v>0.70509999999999995</v>
      </c>
      <c r="M122" s="3411">
        <f t="shared" si="35"/>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2"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2" t="s">
        <v>2615</v>
      </c>
      <c r="C27" s="3103" t="s">
        <v>2455</v>
      </c>
      <c r="D27" s="3104"/>
      <c r="E27" s="3105">
        <v>1</v>
      </c>
      <c r="F27" s="3106" t="s">
        <v>2456</v>
      </c>
      <c r="G27" s="3106"/>
    </row>
    <row r="28" spans="1:13" ht="19.5" customHeight="1">
      <c r="A28" s="3765"/>
      <c r="B28" s="3761"/>
      <c r="C28" s="3107" t="s">
        <v>2457</v>
      </c>
      <c r="D28" s="3108"/>
      <c r="E28" s="3109">
        <v>1</v>
      </c>
      <c r="F28" s="3106" t="s">
        <v>2458</v>
      </c>
      <c r="G28" s="3106"/>
    </row>
    <row r="29" spans="1:13" ht="19.5" customHeight="1">
      <c r="A29" s="3765"/>
      <c r="B29" s="3761"/>
      <c r="C29" s="3107" t="s">
        <v>2459</v>
      </c>
      <c r="D29" s="3108"/>
      <c r="E29" s="3109">
        <v>0.8</v>
      </c>
      <c r="F29" s="3106" t="s">
        <v>2460</v>
      </c>
      <c r="G29" s="3106"/>
    </row>
    <row r="30" spans="1:13" ht="19.5" customHeight="1">
      <c r="A30" s="3765"/>
      <c r="B30" s="3761"/>
      <c r="C30" s="3107" t="s">
        <v>2461</v>
      </c>
      <c r="D30" s="3108"/>
      <c r="E30" s="3109">
        <v>0.8</v>
      </c>
      <c r="F30" s="3106" t="s">
        <v>2462</v>
      </c>
      <c r="G30" s="3106"/>
    </row>
    <row r="31" spans="1:13" ht="19.5" customHeight="1">
      <c r="A31" s="3765"/>
      <c r="B31" s="3761"/>
      <c r="C31" s="3107" t="s">
        <v>2463</v>
      </c>
      <c r="D31" s="3108"/>
      <c r="E31" s="3109">
        <v>0.8</v>
      </c>
      <c r="F31" s="3106" t="s">
        <v>2464</v>
      </c>
      <c r="G31" s="3106"/>
    </row>
    <row r="32" spans="1:13" ht="19.5" customHeight="1">
      <c r="A32" s="3765"/>
      <c r="B32" s="3761"/>
      <c r="C32" s="3107" t="s">
        <v>2465</v>
      </c>
      <c r="D32" s="3108"/>
      <c r="E32" s="3109">
        <v>0.7</v>
      </c>
      <c r="F32" s="3106" t="s">
        <v>2466</v>
      </c>
      <c r="G32" s="3106"/>
    </row>
    <row r="33" spans="1:7" ht="19.5" customHeight="1">
      <c r="A33" s="3765"/>
      <c r="B33" s="3761"/>
      <c r="C33" s="3107" t="s">
        <v>2467</v>
      </c>
      <c r="D33" s="3108"/>
      <c r="E33" s="3109">
        <v>0.8</v>
      </c>
      <c r="F33" s="3106" t="s">
        <v>2468</v>
      </c>
      <c r="G33" s="3106"/>
    </row>
    <row r="34" spans="1:7" ht="19.5" customHeight="1">
      <c r="A34" s="3765"/>
      <c r="B34" s="3761"/>
      <c r="C34" s="3107" t="s">
        <v>2469</v>
      </c>
      <c r="D34" s="3108"/>
      <c r="E34" s="3109">
        <v>0.6</v>
      </c>
      <c r="F34" s="3106" t="s">
        <v>2470</v>
      </c>
      <c r="G34" s="3106"/>
    </row>
    <row r="35" spans="1:7" ht="19.5" customHeight="1">
      <c r="A35" s="3765"/>
      <c r="B35" s="3761"/>
      <c r="C35" s="3107" t="s">
        <v>2471</v>
      </c>
      <c r="D35" s="3108"/>
      <c r="E35" s="3109">
        <v>0.2</v>
      </c>
      <c r="F35" s="3106" t="s">
        <v>2472</v>
      </c>
      <c r="G35" s="3106"/>
    </row>
    <row r="36" spans="1:7" ht="19.5" customHeight="1">
      <c r="A36" s="3765"/>
      <c r="B36" s="3761"/>
      <c r="C36" s="3107" t="s">
        <v>2473</v>
      </c>
      <c r="D36" s="3108"/>
      <c r="E36" s="3109">
        <v>0.2</v>
      </c>
      <c r="F36" s="3106" t="s">
        <v>2474</v>
      </c>
      <c r="G36" s="3106"/>
    </row>
    <row r="37" spans="1:7" ht="19.5" customHeight="1">
      <c r="A37" s="3765"/>
      <c r="B37" s="3759" t="s">
        <v>2635</v>
      </c>
      <c r="C37" s="3107" t="s">
        <v>2475</v>
      </c>
      <c r="D37" s="3108"/>
      <c r="E37" s="3109">
        <v>0.6</v>
      </c>
      <c r="F37" s="3106" t="s">
        <v>2476</v>
      </c>
      <c r="G37" s="3106"/>
    </row>
    <row r="38" spans="1:7" ht="19.5" customHeight="1">
      <c r="A38" s="3765"/>
      <c r="B38" s="3761"/>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2"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6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59"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9"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60"/>
      <c r="C89" s="3092" t="s">
        <v>2687</v>
      </c>
      <c r="D89" s="3092" t="s">
        <v>2688</v>
      </c>
      <c r="E89" s="3118">
        <v>0.1</v>
      </c>
      <c r="F89" s="3118">
        <v>15</v>
      </c>
    </row>
    <row r="90" spans="1:6" ht="13.5">
      <c r="A90" s="3118">
        <v>18</v>
      </c>
      <c r="B90" s="3759"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60"/>
      <c r="C106" s="3092" t="s">
        <v>2722</v>
      </c>
      <c r="D106" s="3092" t="s">
        <v>2723</v>
      </c>
      <c r="E106" s="3118">
        <v>0.1</v>
      </c>
      <c r="F106" s="3118">
        <v>15</v>
      </c>
    </row>
    <row r="107" spans="1:6" ht="24">
      <c r="A107" s="3118">
        <v>35</v>
      </c>
      <c r="B107" s="3759"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60"/>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9" t="s">
        <v>2744</v>
      </c>
      <c r="C116" s="3118" t="s">
        <v>2745</v>
      </c>
      <c r="D116" s="3092" t="s">
        <v>2746</v>
      </c>
      <c r="E116" s="3118">
        <v>0.1</v>
      </c>
      <c r="F116" s="3118">
        <v>15</v>
      </c>
    </row>
    <row r="117" spans="1:6" ht="24">
      <c r="A117" s="3118">
        <v>45</v>
      </c>
      <c r="B117" s="3760"/>
      <c r="C117" s="3092" t="s">
        <v>2747</v>
      </c>
      <c r="D117" s="3092" t="s">
        <v>2748</v>
      </c>
      <c r="E117" s="3118">
        <v>0.1</v>
      </c>
      <c r="F117" s="3118">
        <v>15</v>
      </c>
    </row>
    <row r="118" spans="1:6" ht="24">
      <c r="A118" s="3118">
        <v>46</v>
      </c>
      <c r="B118" s="3759" t="s">
        <v>2749</v>
      </c>
      <c r="C118" s="3118" t="s">
        <v>2750</v>
      </c>
      <c r="D118" s="3092" t="s">
        <v>2751</v>
      </c>
      <c r="E118" s="3118">
        <v>0.1</v>
      </c>
      <c r="F118" s="3118">
        <v>15</v>
      </c>
    </row>
    <row r="119" spans="1:6" ht="24">
      <c r="A119" s="3118">
        <v>47</v>
      </c>
      <c r="B119" s="3760"/>
      <c r="C119" s="3118" t="s">
        <v>2752</v>
      </c>
      <c r="D119" s="3092" t="s">
        <v>2753</v>
      </c>
      <c r="E119" s="3118">
        <v>0.1</v>
      </c>
      <c r="F119" s="3118">
        <v>15</v>
      </c>
    </row>
    <row r="120" spans="1:6" ht="13.5">
      <c r="A120" s="3118">
        <v>48</v>
      </c>
      <c r="B120" s="3759" t="s">
        <v>2754</v>
      </c>
      <c r="C120" s="3118" t="s">
        <v>2755</v>
      </c>
      <c r="D120" s="3092" t="s">
        <v>2756</v>
      </c>
      <c r="E120" s="3118">
        <v>0.1</v>
      </c>
      <c r="F120" s="3118">
        <v>15</v>
      </c>
    </row>
    <row r="121" spans="1:6" ht="13.5">
      <c r="A121" s="3118">
        <v>49</v>
      </c>
      <c r="B121" s="3760"/>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9" t="s">
        <v>2784</v>
      </c>
      <c r="C132" s="3118" t="s">
        <v>2785</v>
      </c>
      <c r="D132" s="3092" t="s">
        <v>2786</v>
      </c>
      <c r="E132" s="3118">
        <v>0.1</v>
      </c>
      <c r="F132" s="3118">
        <v>15</v>
      </c>
    </row>
    <row r="133" spans="1:6" ht="13.5">
      <c r="A133" s="3118">
        <v>61</v>
      </c>
      <c r="B133" s="376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0.94710000000000005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28455</v>
      </c>
      <c r="C2" s="2" t="s">
        <v>106</v>
      </c>
      <c r="D2" s="199"/>
      <c r="E2" s="199"/>
      <c r="F2" s="199"/>
      <c r="G2" s="199"/>
    </row>
    <row r="3" spans="1:7" s="200" customFormat="1" ht="18" customHeight="1" thickBot="1">
      <c r="A3" s="203" t="s">
        <v>58</v>
      </c>
      <c r="B3" s="204">
        <f ca="1">ROUND(B2*10000/'数据-汇总表'!E3,0)</f>
        <v>377939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15</v>
      </c>
      <c r="D10" s="845">
        <f>'数据-汇总表'!E6</f>
        <v>752.9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15</v>
      </c>
      <c r="D19" s="849">
        <f>'数据-汇总表'!E3</f>
        <v>752.9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301</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v>
      </c>
      <c r="D37" s="217">
        <f>'数据-汇总表'!E3</f>
        <v>752.9</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51</v>
      </c>
      <c r="D45" s="235">
        <f>C47</f>
        <v>3.0000000000000001E-3</v>
      </c>
      <c r="E45" s="236" t="s">
        <v>102</v>
      </c>
      <c r="F45" s="246"/>
      <c r="G45" s="247" t="s">
        <v>434</v>
      </c>
    </row>
    <row r="46" spans="1:7" s="214" customFormat="1" ht="13.5" customHeight="1">
      <c r="A46" s="780" t="s">
        <v>349</v>
      </c>
      <c r="B46" s="248" t="s">
        <v>427</v>
      </c>
      <c r="C46" s="249">
        <f>ROUND((C33+C39)*F27,0)</f>
        <v>51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436</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327</v>
      </c>
      <c r="D51" s="232"/>
      <c r="E51" s="232"/>
      <c r="F51" s="264"/>
      <c r="G51" s="234" t="s">
        <v>37</v>
      </c>
    </row>
    <row r="52" spans="1:7" s="208" customFormat="1" ht="16.5" thickBot="1">
      <c r="A52" s="265" t="s">
        <v>38</v>
      </c>
      <c r="B52" s="266"/>
      <c r="C52" s="267">
        <f ca="1">C31+C51</f>
        <v>28455</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2652</v>
      </c>
      <c r="E5" s="1491"/>
    </row>
    <row r="6" spans="1:5" ht="15.75">
      <c r="A6" s="1491"/>
      <c r="B6" s="3453"/>
      <c r="C6" s="1494" t="s">
        <v>911</v>
      </c>
      <c r="D6" s="850" t="str">
        <f ca="1">NUMBERSTRING(INT(D5*10000),2)&amp;"元整"</f>
        <v>贰仟陆佰伍拾贰万元整</v>
      </c>
      <c r="E6" s="1491"/>
    </row>
    <row r="7" spans="1:5" ht="15.75">
      <c r="A7" s="1491"/>
      <c r="B7" s="3458"/>
      <c r="C7" s="1495" t="s">
        <v>912</v>
      </c>
      <c r="D7" s="851">
        <f ca="1">结果表!H102</f>
        <v>35224</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2652</v>
      </c>
      <c r="E13" s="1491"/>
    </row>
    <row r="14" spans="1:5" ht="15.75">
      <c r="A14" s="1491"/>
      <c r="B14" s="3453"/>
      <c r="C14" s="1494" t="s">
        <v>911</v>
      </c>
      <c r="D14" s="850" t="str">
        <f ca="1">NUMBERSTRING(INT(D13*10000),2)&amp;"元整"</f>
        <v>贰仟陆佰伍拾贰万元整</v>
      </c>
      <c r="E14" s="1491"/>
    </row>
    <row r="15" spans="1:5" ht="15">
      <c r="A15" s="1491"/>
      <c r="B15" s="3458"/>
      <c r="C15" s="1495" t="s">
        <v>921</v>
      </c>
      <c r="D15" s="859">
        <f ca="1">结果表!H108</f>
        <v>35224</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2846</v>
      </c>
      <c r="B1" s="3772"/>
      <c r="C1" s="3772"/>
      <c r="D1" s="3772"/>
      <c r="E1" s="3772"/>
      <c r="F1" s="3772"/>
      <c r="G1" s="3773"/>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0"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1"/>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3188</v>
      </c>
      <c r="B1" s="3774"/>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3239</v>
      </c>
      <c r="B1" s="3775"/>
      <c r="C1" s="3775"/>
      <c r="D1" s="3775"/>
      <c r="E1" s="3775"/>
      <c r="F1" s="3776"/>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45028</v>
      </c>
      <c r="B1" s="3210" t="s">
        <v>2845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7" t="s">
        <v>2833</v>
      </c>
      <c r="S21" s="3778"/>
      <c r="T21" s="3778"/>
      <c r="U21" s="3778"/>
      <c r="V21" s="3778"/>
      <c r="W21" s="3778"/>
      <c r="X21" s="3165"/>
      <c r="Y21" s="3777" t="s">
        <v>2834</v>
      </c>
      <c r="Z21" s="3778"/>
      <c r="AA21" s="3778"/>
      <c r="AB21" s="3778"/>
      <c r="AC21" s="3778"/>
      <c r="AD21" s="3778"/>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752.9</v>
      </c>
      <c r="C4" s="854">
        <f>项目基本情况!C18</f>
        <v>0</v>
      </c>
      <c r="D4" s="854">
        <f>结果表!D118</f>
        <v>0</v>
      </c>
      <c r="E4" s="854">
        <f>结果表!E118</f>
        <v>0</v>
      </c>
      <c r="F4" s="854">
        <f>结果表!F118</f>
        <v>0</v>
      </c>
      <c r="G4" s="854">
        <f>结果表!G118</f>
        <v>0</v>
      </c>
      <c r="H4" s="854">
        <f ca="1">结果表!H118</f>
        <v>2652</v>
      </c>
      <c r="I4" s="854">
        <f ca="1">结果表!I118</f>
        <v>35224</v>
      </c>
    </row>
    <row r="5" spans="1:9" ht="30" customHeight="1">
      <c r="A5" s="3465" t="s">
        <v>927</v>
      </c>
      <c r="B5" s="3465"/>
      <c r="C5" s="3465"/>
      <c r="D5" s="3465" t="str">
        <f>结果表!D119</f>
        <v>零元整</v>
      </c>
      <c r="E5" s="3465"/>
      <c r="F5" s="3465" t="str">
        <f>结果表!F119</f>
        <v>零元整</v>
      </c>
      <c r="G5" s="3465"/>
      <c r="H5" s="3465" t="str">
        <f ca="1">结果表!H119</f>
        <v>贰仟陆佰伍拾贰万元整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2652</v>
      </c>
      <c r="E8" s="3464"/>
      <c r="F8" s="3464"/>
      <c r="G8" s="3464"/>
      <c r="H8" s="3464"/>
      <c r="I8" s="3464"/>
    </row>
    <row r="9" spans="1:9" ht="15">
      <c r="A9" s="3465" t="s">
        <v>927</v>
      </c>
      <c r="B9" s="3465"/>
      <c r="C9" s="3465"/>
      <c r="D9" s="3465" t="str">
        <f ca="1">结果表!D123</f>
        <v>贰仟陆佰伍拾贰万元整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2023-08-01T07:04:40Z</dcterms:modified>
</cp:coreProperties>
</file>