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F:\北保询价-宋家庄20250214\"/>
    </mc:Choice>
  </mc:AlternateContent>
  <xr:revisionPtr revIDLastSave="0" documentId="13_ncr:1_{BC4E3360-1E58-4E43-8D34-659C52F346A1}" xr6:coauthVersionLast="47" xr6:coauthVersionMax="47" xr10:uidLastSave="{00000000-0000-0000-0000-000000000000}"/>
  <bookViews>
    <workbookView xWindow="0" yWindow="0" windowWidth="19200" windowHeight="21000" tabRatio="899" firstSheet="25"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住宅" sheetId="82" r:id="rId36"/>
    <sheet name="基准地价修正-商业" sheetId="43" r:id="rId37"/>
    <sheet name="基准地价修正-办公" sheetId="81" r:id="rId38"/>
    <sheet name="基准地价修正-交通" sheetId="84" r:id="rId39"/>
    <sheet name="Sheet1" sheetId="80" r:id="rId40"/>
    <sheet name="案例" sheetId="83"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'基准地价修正-办公'!$A$1:$J$44,'基准地价修正-办公'!$A$47:$H$101,'基准地价修正-办公'!$R$1:$V$16</definedName>
    <definedName name="_xlnm.Print_Area" localSheetId="38">'基准地价修正-交通'!$A$1:$J$44,'基准地价修正-交通'!$A$47:$H$101,'基准地价修正-交通'!$R$1:$V$16</definedName>
    <definedName name="_xlnm.Print_Area" localSheetId="36">'基准地价修正-商业'!$A$1:$J$44,'基准地价修正-商业'!$A$47:$H$101,'基准地价修正-商业'!$R$1:$V$16</definedName>
    <definedName name="_xlnm.Print_Area" localSheetId="35">'基准地价修正-住宅'!$A$1:$J$44,'基准地价修正-住宅'!$A$47:$H$101,'基准地价修正-住宅'!$R$1:$V$16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7">'基准地价修正-办公'!$Q$19:$AD$19</definedName>
    <definedName name="季度" localSheetId="38">'基准地价修正-交通'!$Q$19:$AD$19</definedName>
    <definedName name="季度" localSheetId="35">'基准地价修正-住宅'!$Q$19:$AD$19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46" i="80" l="1"/>
  <c r="N49" i="80"/>
  <c r="M49" i="80"/>
  <c r="D14" i="74"/>
  <c r="E14" i="74"/>
  <c r="M46" i="80"/>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c r="D101" i="84"/>
  <c r="B101" i="84"/>
  <c r="N100" i="84"/>
  <c r="M100" i="84"/>
  <c r="K100" i="84"/>
  <c r="J100" i="84" s="1"/>
  <c r="D100" i="84"/>
  <c r="B100" i="84"/>
  <c r="M99" i="84"/>
  <c r="N99" i="84" s="1"/>
  <c r="K99" i="84"/>
  <c r="J99" i="84"/>
  <c r="D99" i="84"/>
  <c r="B99" i="84"/>
  <c r="N98" i="84"/>
  <c r="M98" i="84"/>
  <c r="K98" i="84"/>
  <c r="J98" i="84" s="1"/>
  <c r="D98" i="84"/>
  <c r="N97" i="84"/>
  <c r="M97" i="84"/>
  <c r="K97" i="84"/>
  <c r="J97" i="84" s="1"/>
  <c r="D97" i="84"/>
  <c r="B97" i="84"/>
  <c r="M96" i="84"/>
  <c r="N96" i="84" s="1"/>
  <c r="K96" i="84"/>
  <c r="J96" i="84" s="1"/>
  <c r="D96" i="84"/>
  <c r="N95" i="84"/>
  <c r="M95" i="84"/>
  <c r="K95" i="84"/>
  <c r="J95" i="84"/>
  <c r="D95" i="84"/>
  <c r="B95" i="84"/>
  <c r="N94" i="84"/>
  <c r="M94" i="84"/>
  <c r="K94" i="84"/>
  <c r="J94" i="84" s="1"/>
  <c r="D94" i="84"/>
  <c r="B94" i="84"/>
  <c r="M93" i="84"/>
  <c r="N93" i="84" s="1"/>
  <c r="K93" i="84"/>
  <c r="J93" i="84" s="1"/>
  <c r="F93" i="84"/>
  <c r="D93" i="84"/>
  <c r="E93" i="84" s="1"/>
  <c r="B91" i="84" s="1"/>
  <c r="N90" i="84"/>
  <c r="M90" i="84"/>
  <c r="K90" i="84"/>
  <c r="J90" i="84" s="1"/>
  <c r="D90" i="84"/>
  <c r="B90" i="84"/>
  <c r="M89" i="84"/>
  <c r="N89" i="84" s="1"/>
  <c r="K89" i="84"/>
  <c r="J89" i="84" s="1"/>
  <c r="D89" i="84"/>
  <c r="N88" i="84"/>
  <c r="M88" i="84"/>
  <c r="K88" i="84"/>
  <c r="J88" i="84"/>
  <c r="D88" i="84"/>
  <c r="B88" i="84"/>
  <c r="M87" i="84"/>
  <c r="N87" i="84" s="1"/>
  <c r="K87" i="84"/>
  <c r="J87" i="84" s="1"/>
  <c r="D87" i="84"/>
  <c r="B87" i="84"/>
  <c r="M86" i="84"/>
  <c r="N86" i="84" s="1"/>
  <c r="K86" i="84"/>
  <c r="J86" i="84" s="1"/>
  <c r="D86" i="84"/>
  <c r="B86" i="84"/>
  <c r="M85" i="84"/>
  <c r="N85" i="84" s="1"/>
  <c r="K85" i="84"/>
  <c r="J85" i="84" s="1"/>
  <c r="D85" i="84"/>
  <c r="B85" i="84"/>
  <c r="N84" i="84"/>
  <c r="M84" i="84"/>
  <c r="K84" i="84"/>
  <c r="J84" i="84"/>
  <c r="D84" i="84"/>
  <c r="B84" i="84"/>
  <c r="M83" i="84"/>
  <c r="N83" i="84" s="1"/>
  <c r="K83" i="84"/>
  <c r="J83" i="84" s="1"/>
  <c r="D83" i="84"/>
  <c r="B83" i="84"/>
  <c r="M80" i="84"/>
  <c r="N80" i="84" s="1"/>
  <c r="K80" i="84"/>
  <c r="M79" i="84"/>
  <c r="N79" i="84" s="1"/>
  <c r="K79" i="84"/>
  <c r="D79" i="84" s="1"/>
  <c r="B79" i="84"/>
  <c r="M78" i="84"/>
  <c r="N78" i="84" s="1"/>
  <c r="K78" i="84"/>
  <c r="J78" i="84"/>
  <c r="D78" i="84"/>
  <c r="M77" i="84"/>
  <c r="N77" i="84" s="1"/>
  <c r="K77" i="84"/>
  <c r="J77" i="84"/>
  <c r="D77" i="84" s="1"/>
  <c r="B77" i="84"/>
  <c r="M76" i="84"/>
  <c r="N76" i="84" s="1"/>
  <c r="K76" i="84"/>
  <c r="J76" i="84" s="1"/>
  <c r="D76" i="84" s="1"/>
  <c r="B76" i="84"/>
  <c r="M75" i="84"/>
  <c r="N75" i="84" s="1"/>
  <c r="K75" i="84"/>
  <c r="J75" i="84"/>
  <c r="D75" i="84"/>
  <c r="B75" i="84"/>
  <c r="M74" i="84"/>
  <c r="N74" i="84" s="1"/>
  <c r="K74" i="84"/>
  <c r="B74" i="84"/>
  <c r="M73" i="84"/>
  <c r="N73" i="84" s="1"/>
  <c r="K73" i="84"/>
  <c r="J73" i="84"/>
  <c r="D73" i="84" s="1"/>
  <c r="B73" i="84"/>
  <c r="M72" i="84"/>
  <c r="N72" i="84" s="1"/>
  <c r="K72" i="84"/>
  <c r="J72" i="84" s="1"/>
  <c r="B72" i="84"/>
  <c r="N69" i="84"/>
  <c r="M69" i="84"/>
  <c r="K69" i="84"/>
  <c r="J69" i="84" s="1"/>
  <c r="D69" i="84"/>
  <c r="B69" i="84"/>
  <c r="M68" i="84"/>
  <c r="N68" i="84" s="1"/>
  <c r="K68" i="84"/>
  <c r="J68" i="84"/>
  <c r="D68" i="84"/>
  <c r="B68" i="84"/>
  <c r="N67" i="84"/>
  <c r="M67" i="84"/>
  <c r="K67" i="84"/>
  <c r="J67" i="84" s="1"/>
  <c r="D67" i="84"/>
  <c r="B67" i="84"/>
  <c r="M66" i="84"/>
  <c r="N66" i="84" s="1"/>
  <c r="K66" i="84"/>
  <c r="J66" i="84"/>
  <c r="D66" i="84"/>
  <c r="E61" i="84" s="1"/>
  <c r="B59" i="84" s="1"/>
  <c r="M65" i="84"/>
  <c r="N65" i="84" s="1"/>
  <c r="K65" i="84"/>
  <c r="J65" i="84"/>
  <c r="D65" i="84"/>
  <c r="B65" i="84"/>
  <c r="N64" i="84"/>
  <c r="M64" i="84"/>
  <c r="K64" i="84"/>
  <c r="J64" i="84" s="1"/>
  <c r="D64" i="84"/>
  <c r="N63" i="84"/>
  <c r="M63" i="84"/>
  <c r="K63" i="84"/>
  <c r="J63" i="84" s="1"/>
  <c r="D63" i="84"/>
  <c r="B63" i="84"/>
  <c r="M62" i="84"/>
  <c r="N62" i="84" s="1"/>
  <c r="K62" i="84"/>
  <c r="J62" i="84"/>
  <c r="D62" i="84"/>
  <c r="B62" i="84"/>
  <c r="N61" i="84"/>
  <c r="M61" i="84"/>
  <c r="K61" i="84"/>
  <c r="J61" i="84" s="1"/>
  <c r="F61" i="84"/>
  <c r="H68" i="84" s="1"/>
  <c r="D61" i="84"/>
  <c r="B61" i="84"/>
  <c r="N58" i="84"/>
  <c r="M58" i="84"/>
  <c r="K58" i="84"/>
  <c r="J58" i="84" s="1"/>
  <c r="D58" i="84"/>
  <c r="B58" i="84"/>
  <c r="M57" i="84"/>
  <c r="N57" i="84" s="1"/>
  <c r="K57" i="84"/>
  <c r="J57" i="84"/>
  <c r="D57" i="84"/>
  <c r="B57" i="84"/>
  <c r="N56" i="84"/>
  <c r="M56" i="84"/>
  <c r="K56" i="84"/>
  <c r="J56" i="84" s="1"/>
  <c r="D56" i="84"/>
  <c r="B56" i="84"/>
  <c r="M55" i="84"/>
  <c r="N55" i="84" s="1"/>
  <c r="K55" i="84"/>
  <c r="J55" i="84"/>
  <c r="D55" i="84"/>
  <c r="E50" i="84" s="1"/>
  <c r="B48" i="84" s="1"/>
  <c r="M54" i="84"/>
  <c r="N54" i="84" s="1"/>
  <c r="K54" i="84"/>
  <c r="J54" i="84"/>
  <c r="D54" i="84"/>
  <c r="B54" i="84"/>
  <c r="N53" i="84"/>
  <c r="M53" i="84"/>
  <c r="K53" i="84"/>
  <c r="J53" i="84" s="1"/>
  <c r="D53" i="84"/>
  <c r="N52" i="84"/>
  <c r="M52" i="84"/>
  <c r="K52" i="84"/>
  <c r="J52" i="84" s="1"/>
  <c r="D52" i="84"/>
  <c r="B52" i="84"/>
  <c r="M51" i="84"/>
  <c r="N51" i="84" s="1"/>
  <c r="K51" i="84"/>
  <c r="J51" i="84"/>
  <c r="D51" i="84"/>
  <c r="B51" i="84"/>
  <c r="N50" i="84"/>
  <c r="M50" i="84"/>
  <c r="K50" i="84"/>
  <c r="J50" i="84" s="1"/>
  <c r="F50" i="84"/>
  <c r="H57" i="84" s="1"/>
  <c r="D50" i="84"/>
  <c r="B50" i="84"/>
  <c r="H42" i="84"/>
  <c r="H41" i="84"/>
  <c r="H40" i="84"/>
  <c r="H39" i="84"/>
  <c r="H38" i="84"/>
  <c r="H37" i="84"/>
  <c r="Q32" i="84"/>
  <c r="O32" i="84"/>
  <c r="M32" i="84"/>
  <c r="J24" i="84"/>
  <c r="G24" i="84"/>
  <c r="E44" i="84" s="1"/>
  <c r="C44" i="84" s="1"/>
  <c r="E24" i="84"/>
  <c r="P32" i="84" s="1"/>
  <c r="M23" i="84"/>
  <c r="I23" i="84"/>
  <c r="G23" i="84"/>
  <c r="P27" i="84" s="1"/>
  <c r="C22" i="84"/>
  <c r="L21" i="84"/>
  <c r="E21" i="84"/>
  <c r="C20" i="84"/>
  <c r="I18" i="84"/>
  <c r="G18" i="84"/>
  <c r="G17" i="84"/>
  <c r="C17" i="84"/>
  <c r="C13" i="84"/>
  <c r="N12" i="84"/>
  <c r="M11" i="84"/>
  <c r="AI10" i="84"/>
  <c r="AH10" i="84"/>
  <c r="AE10" i="84"/>
  <c r="AD10" i="84"/>
  <c r="AB10" i="84"/>
  <c r="AA10" i="84"/>
  <c r="Y10" i="84"/>
  <c r="C10" i="84"/>
  <c r="C11" i="84" s="1"/>
  <c r="E11" i="84" s="1"/>
  <c r="AJ9" i="84"/>
  <c r="AJ10" i="84" s="1"/>
  <c r="AI9" i="84"/>
  <c r="AH9" i="84"/>
  <c r="AG9" i="84"/>
  <c r="AG10" i="84" s="1"/>
  <c r="AF9" i="84"/>
  <c r="AF10" i="84" s="1"/>
  <c r="AE9" i="84"/>
  <c r="AD9" i="84"/>
  <c r="AC9" i="84"/>
  <c r="AC10" i="84" s="1"/>
  <c r="AB9" i="84"/>
  <c r="AA9" i="84"/>
  <c r="Z9" i="84"/>
  <c r="Z10" i="84" s="1"/>
  <c r="C9" i="84"/>
  <c r="M8" i="84"/>
  <c r="M6" i="84"/>
  <c r="S5" i="84"/>
  <c r="M4" i="84"/>
  <c r="C6" i="84" s="1"/>
  <c r="S3" i="84"/>
  <c r="G3" i="84"/>
  <c r="N2" i="84"/>
  <c r="M2" i="84"/>
  <c r="I2" i="84"/>
  <c r="M12" i="84" s="1"/>
  <c r="G2" i="84"/>
  <c r="N1" i="84"/>
  <c r="M1" i="84"/>
  <c r="D1" i="84"/>
  <c r="I5" i="33"/>
  <c r="G5" i="33"/>
  <c r="E5" i="33"/>
  <c r="I5" i="35"/>
  <c r="G5" i="35"/>
  <c r="E5" i="35"/>
  <c r="I33" i="33"/>
  <c r="G33" i="33"/>
  <c r="E33" i="33"/>
  <c r="I47" i="21"/>
  <c r="I33" i="21"/>
  <c r="I5" i="21"/>
  <c r="G47" i="21"/>
  <c r="G33" i="21"/>
  <c r="G5" i="21"/>
  <c r="E47" i="21"/>
  <c r="E33" i="21"/>
  <c r="E5" i="21"/>
  <c r="S40" i="83"/>
  <c r="S39" i="83"/>
  <c r="S38" i="83"/>
  <c r="S37" i="83"/>
  <c r="S36" i="83"/>
  <c r="S35" i="83"/>
  <c r="S34" i="83"/>
  <c r="S33" i="83"/>
  <c r="S32" i="83"/>
  <c r="S31" i="83"/>
  <c r="S30" i="83"/>
  <c r="S29" i="83"/>
  <c r="S28" i="83"/>
  <c r="S27" i="83"/>
  <c r="S26" i="83"/>
  <c r="S25" i="83"/>
  <c r="S24" i="83"/>
  <c r="S23" i="83"/>
  <c r="S22" i="83"/>
  <c r="S21" i="83"/>
  <c r="S20" i="83"/>
  <c r="S19" i="83"/>
  <c r="S18" i="83"/>
  <c r="S17" i="83"/>
  <c r="S16" i="83"/>
  <c r="S15" i="83"/>
  <c r="S14" i="83"/>
  <c r="S13" i="83"/>
  <c r="S12" i="83"/>
  <c r="S11" i="83"/>
  <c r="S10" i="83"/>
  <c r="S9" i="83"/>
  <c r="S8" i="83"/>
  <c r="S7" i="83"/>
  <c r="S6" i="83"/>
  <c r="S3" i="83"/>
  <c r="S4" i="83"/>
  <c r="S5" i="83"/>
  <c r="S2"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c r="D101" i="82"/>
  <c r="B101" i="82"/>
  <c r="N100" i="82"/>
  <c r="M100" i="82"/>
  <c r="K100" i="82"/>
  <c r="J100" i="82" s="1"/>
  <c r="D100" i="82"/>
  <c r="B100" i="82"/>
  <c r="M99" i="82"/>
  <c r="N99" i="82" s="1"/>
  <c r="K99" i="82"/>
  <c r="J99" i="82" s="1"/>
  <c r="D99" i="82"/>
  <c r="B99" i="82"/>
  <c r="N98" i="82"/>
  <c r="M98" i="82"/>
  <c r="K98" i="82"/>
  <c r="J98" i="82" s="1"/>
  <c r="D98" i="82"/>
  <c r="N97" i="82"/>
  <c r="M97" i="82"/>
  <c r="K97" i="82"/>
  <c r="J97" i="82"/>
  <c r="D97" i="82"/>
  <c r="B97" i="82"/>
  <c r="M96" i="82"/>
  <c r="N96" i="82" s="1"/>
  <c r="K96" i="82"/>
  <c r="J96" i="82" s="1"/>
  <c r="D96" i="82"/>
  <c r="N95" i="82"/>
  <c r="M95" i="82"/>
  <c r="K95" i="82"/>
  <c r="J95" i="82"/>
  <c r="D95" i="82"/>
  <c r="B95" i="82"/>
  <c r="N94" i="82"/>
  <c r="M94" i="82"/>
  <c r="K94" i="82"/>
  <c r="J94" i="82" s="1"/>
  <c r="D94" i="82"/>
  <c r="B94" i="82"/>
  <c r="M93" i="82"/>
  <c r="N93" i="82" s="1"/>
  <c r="K93" i="82"/>
  <c r="J93" i="82" s="1"/>
  <c r="F93" i="82"/>
  <c r="H100" i="82" s="1"/>
  <c r="D93" i="82"/>
  <c r="N90" i="82"/>
  <c r="M90" i="82"/>
  <c r="K90" i="82"/>
  <c r="J90" i="82" s="1"/>
  <c r="D90" i="82"/>
  <c r="B90" i="82"/>
  <c r="M89" i="82"/>
  <c r="N89" i="82" s="1"/>
  <c r="K89" i="82"/>
  <c r="J89" i="82" s="1"/>
  <c r="D89" i="82"/>
  <c r="N88" i="82"/>
  <c r="M88" i="82"/>
  <c r="K88" i="82"/>
  <c r="J88" i="82"/>
  <c r="D88" i="82"/>
  <c r="B88" i="82"/>
  <c r="N87" i="82"/>
  <c r="M87" i="82"/>
  <c r="K87" i="82"/>
  <c r="J87" i="82" s="1"/>
  <c r="D87" i="82"/>
  <c r="B87" i="82"/>
  <c r="M86" i="82"/>
  <c r="N86" i="82" s="1"/>
  <c r="K86" i="82"/>
  <c r="J86" i="82" s="1"/>
  <c r="D86" i="82"/>
  <c r="E83" i="82" s="1"/>
  <c r="B81" i="82" s="1"/>
  <c r="B86" i="82"/>
  <c r="N85" i="82"/>
  <c r="M85" i="82"/>
  <c r="K85" i="82"/>
  <c r="J85" i="82" s="1"/>
  <c r="D85" i="82"/>
  <c r="B85" i="82"/>
  <c r="N84" i="82"/>
  <c r="M84" i="82"/>
  <c r="K84" i="82"/>
  <c r="J84" i="82"/>
  <c r="D84" i="82"/>
  <c r="B84" i="82"/>
  <c r="N83" i="82"/>
  <c r="M83" i="82"/>
  <c r="K83" i="82"/>
  <c r="J83" i="82" s="1"/>
  <c r="F83" i="82"/>
  <c r="H88" i="82" s="1"/>
  <c r="D83" i="82"/>
  <c r="B83" i="82"/>
  <c r="M80" i="82"/>
  <c r="N80" i="82" s="1"/>
  <c r="K80" i="82"/>
  <c r="J80" i="82" s="1"/>
  <c r="D80" i="82"/>
  <c r="M79" i="82"/>
  <c r="N79" i="82" s="1"/>
  <c r="K79" i="82"/>
  <c r="J79" i="82" s="1"/>
  <c r="D79" i="82"/>
  <c r="B79" i="82"/>
  <c r="M78" i="82"/>
  <c r="N78" i="82" s="1"/>
  <c r="K78" i="82"/>
  <c r="J78" i="82" s="1"/>
  <c r="D78" i="82"/>
  <c r="M77" i="82"/>
  <c r="N77" i="82" s="1"/>
  <c r="K77" i="82"/>
  <c r="J77" i="82"/>
  <c r="D77" i="82" s="1"/>
  <c r="B77" i="82"/>
  <c r="M76" i="82"/>
  <c r="N76" i="82" s="1"/>
  <c r="K76" i="82"/>
  <c r="J76" i="82" s="1"/>
  <c r="D76" i="82"/>
  <c r="B76" i="82"/>
  <c r="M75" i="82"/>
  <c r="N75" i="82" s="1"/>
  <c r="K75" i="82"/>
  <c r="J75" i="82" s="1"/>
  <c r="D75" i="82"/>
  <c r="B75" i="82"/>
  <c r="N74" i="82"/>
  <c r="M74" i="82"/>
  <c r="K74" i="82"/>
  <c r="J74" i="82" s="1"/>
  <c r="B74" i="82"/>
  <c r="M73" i="82"/>
  <c r="N73" i="82" s="1"/>
  <c r="K73" i="82"/>
  <c r="J73" i="82"/>
  <c r="D73" i="82" s="1"/>
  <c r="B73" i="82"/>
  <c r="M72" i="82"/>
  <c r="N72" i="82" s="1"/>
  <c r="K72" i="82"/>
  <c r="J72" i="82" s="1"/>
  <c r="D72" i="82"/>
  <c r="B72" i="82"/>
  <c r="N69" i="82"/>
  <c r="M69" i="82"/>
  <c r="K69" i="82"/>
  <c r="J69" i="82" s="1"/>
  <c r="D69" i="82"/>
  <c r="B69" i="82"/>
  <c r="M68" i="82"/>
  <c r="N68" i="82" s="1"/>
  <c r="K68" i="82"/>
  <c r="J68" i="82"/>
  <c r="D68" i="82"/>
  <c r="B68" i="82"/>
  <c r="M67" i="82"/>
  <c r="N67" i="82" s="1"/>
  <c r="K67" i="82"/>
  <c r="J67" i="82" s="1"/>
  <c r="D67" i="82"/>
  <c r="B67" i="82"/>
  <c r="M66" i="82"/>
  <c r="N66" i="82" s="1"/>
  <c r="K66" i="82"/>
  <c r="J66" i="82" s="1"/>
  <c r="D66" i="82"/>
  <c r="M65" i="82"/>
  <c r="N65" i="82" s="1"/>
  <c r="K65" i="82"/>
  <c r="J65" i="82"/>
  <c r="D65" i="82"/>
  <c r="B65" i="82"/>
  <c r="M64" i="82"/>
  <c r="N64" i="82" s="1"/>
  <c r="K64" i="82"/>
  <c r="J64" i="82" s="1"/>
  <c r="D64" i="82"/>
  <c r="M63" i="82"/>
  <c r="N63" i="82" s="1"/>
  <c r="K63" i="82"/>
  <c r="J63" i="82" s="1"/>
  <c r="D63" i="82"/>
  <c r="B63" i="82"/>
  <c r="M62" i="82"/>
  <c r="N62" i="82" s="1"/>
  <c r="K62" i="82"/>
  <c r="J62" i="82"/>
  <c r="D62" i="82"/>
  <c r="B62" i="82"/>
  <c r="M61" i="82"/>
  <c r="N61" i="82" s="1"/>
  <c r="K61" i="82"/>
  <c r="J61" i="82" s="1"/>
  <c r="F61" i="82"/>
  <c r="H68" i="82" s="1"/>
  <c r="D61" i="82"/>
  <c r="B61" i="82"/>
  <c r="N58" i="82"/>
  <c r="M58" i="82"/>
  <c r="K58" i="82"/>
  <c r="J58" i="82" s="1"/>
  <c r="D58" i="82"/>
  <c r="B58" i="82"/>
  <c r="M57" i="82"/>
  <c r="N57" i="82" s="1"/>
  <c r="K57" i="82"/>
  <c r="J57" i="82"/>
  <c r="D57" i="82"/>
  <c r="B57" i="82"/>
  <c r="M56" i="82"/>
  <c r="N56" i="82" s="1"/>
  <c r="K56" i="82"/>
  <c r="J56" i="82" s="1"/>
  <c r="D56" i="82"/>
  <c r="B56" i="82"/>
  <c r="M55" i="82"/>
  <c r="N55" i="82" s="1"/>
  <c r="K55" i="82"/>
  <c r="J55" i="82" s="1"/>
  <c r="D55" i="82"/>
  <c r="M54" i="82"/>
  <c r="N54" i="82" s="1"/>
  <c r="K54" i="82"/>
  <c r="J54" i="82" s="1"/>
  <c r="D54" i="82"/>
  <c r="B54" i="82"/>
  <c r="N53" i="82"/>
  <c r="M53" i="82"/>
  <c r="K53" i="82"/>
  <c r="J53" i="82" s="1"/>
  <c r="D53" i="82"/>
  <c r="M52" i="82"/>
  <c r="N52" i="82" s="1"/>
  <c r="K52" i="82"/>
  <c r="J52" i="82" s="1"/>
  <c r="D52" i="82"/>
  <c r="B52" i="82"/>
  <c r="M51" i="82"/>
  <c r="N51" i="82" s="1"/>
  <c r="K51" i="82"/>
  <c r="J51" i="82"/>
  <c r="D51" i="82"/>
  <c r="B51" i="82"/>
  <c r="M50" i="82"/>
  <c r="N50" i="82" s="1"/>
  <c r="K50" i="82"/>
  <c r="J50" i="82" s="1"/>
  <c r="H50" i="82"/>
  <c r="F50" i="82"/>
  <c r="H57" i="82" s="1"/>
  <c r="D50" i="82"/>
  <c r="B50" i="82"/>
  <c r="H42" i="82"/>
  <c r="H41" i="82"/>
  <c r="H40" i="82"/>
  <c r="H39" i="82"/>
  <c r="H38" i="82"/>
  <c r="H37" i="82"/>
  <c r="P28" i="82"/>
  <c r="P26" i="82"/>
  <c r="M24" i="82"/>
  <c r="J24" i="82"/>
  <c r="G24" i="82"/>
  <c r="G18" i="82" s="1"/>
  <c r="E24" i="82"/>
  <c r="O23" i="82"/>
  <c r="M23" i="82"/>
  <c r="I23" i="82"/>
  <c r="G23" i="82"/>
  <c r="P27" i="82" s="1"/>
  <c r="C23" i="82"/>
  <c r="C22" i="82"/>
  <c r="L21" i="82"/>
  <c r="G17" i="82"/>
  <c r="C17" i="82"/>
  <c r="C13" i="82"/>
  <c r="AI10" i="82"/>
  <c r="AH10" i="82"/>
  <c r="AD10" i="82"/>
  <c r="Z10" i="82"/>
  <c r="Y10" i="82"/>
  <c r="C10" i="82"/>
  <c r="C11" i="82" s="1"/>
  <c r="AJ9" i="82"/>
  <c r="AJ10" i="82" s="1"/>
  <c r="AI9" i="82"/>
  <c r="AH9" i="82"/>
  <c r="AG9" i="82"/>
  <c r="AG10" i="82" s="1"/>
  <c r="AF9" i="82"/>
  <c r="AF10" i="82" s="1"/>
  <c r="AE9" i="82"/>
  <c r="AE10" i="82" s="1"/>
  <c r="AD9" i="82"/>
  <c r="AC9" i="82"/>
  <c r="AC10" i="82" s="1"/>
  <c r="AB9" i="82"/>
  <c r="AB10" i="82" s="1"/>
  <c r="AA9" i="82"/>
  <c r="AA10" i="82" s="1"/>
  <c r="Z9" i="82"/>
  <c r="C9" i="82"/>
  <c r="G3" i="82"/>
  <c r="J26" i="82" s="1"/>
  <c r="I2" i="82"/>
  <c r="G2" i="82"/>
  <c r="K21" i="82" s="1"/>
  <c r="D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c r="D101" i="81"/>
  <c r="B101" i="81"/>
  <c r="N100" i="81"/>
  <c r="M100" i="81"/>
  <c r="K100" i="81"/>
  <c r="J100" i="81" s="1"/>
  <c r="D100" i="81"/>
  <c r="B100" i="81"/>
  <c r="M99" i="81"/>
  <c r="N99" i="81" s="1"/>
  <c r="K99" i="81"/>
  <c r="J99" i="81"/>
  <c r="D99" i="81"/>
  <c r="B99" i="81"/>
  <c r="N98" i="81"/>
  <c r="M98" i="81"/>
  <c r="K98" i="81"/>
  <c r="J98" i="81" s="1"/>
  <c r="D98" i="81"/>
  <c r="N97" i="81"/>
  <c r="M97" i="81"/>
  <c r="K97" i="81"/>
  <c r="J97" i="81" s="1"/>
  <c r="D97" i="81"/>
  <c r="B97" i="81"/>
  <c r="M96" i="81"/>
  <c r="N96" i="81" s="1"/>
  <c r="K96" i="81"/>
  <c r="J96" i="81" s="1"/>
  <c r="D96" i="81"/>
  <c r="N95" i="81"/>
  <c r="M95" i="81"/>
  <c r="K95" i="81"/>
  <c r="J95" i="81"/>
  <c r="D95" i="81"/>
  <c r="B95" i="81"/>
  <c r="N94" i="81"/>
  <c r="M94" i="81"/>
  <c r="K94" i="81"/>
  <c r="J94" i="81" s="1"/>
  <c r="D94" i="81"/>
  <c r="B94" i="81"/>
  <c r="M93" i="81"/>
  <c r="N93" i="81" s="1"/>
  <c r="K93" i="81"/>
  <c r="J93" i="81" s="1"/>
  <c r="F93" i="81"/>
  <c r="H94" i="81" s="1"/>
  <c r="D93" i="81"/>
  <c r="N90" i="81"/>
  <c r="M90" i="81"/>
  <c r="K90" i="81"/>
  <c r="J90" i="81" s="1"/>
  <c r="D90" i="81"/>
  <c r="B90" i="81"/>
  <c r="M89" i="81"/>
  <c r="N89" i="81" s="1"/>
  <c r="K89" i="81"/>
  <c r="J89" i="81" s="1"/>
  <c r="D89" i="81"/>
  <c r="N88" i="81"/>
  <c r="M88" i="81"/>
  <c r="K88" i="81"/>
  <c r="J88" i="81"/>
  <c r="D88" i="81"/>
  <c r="B88" i="81"/>
  <c r="N87" i="81"/>
  <c r="M87" i="81"/>
  <c r="K87" i="81"/>
  <c r="J87" i="81" s="1"/>
  <c r="D87" i="81"/>
  <c r="B87" i="81"/>
  <c r="M86" i="81"/>
  <c r="N86" i="81" s="1"/>
  <c r="K86" i="81"/>
  <c r="J86" i="81" s="1"/>
  <c r="D86" i="81"/>
  <c r="E83" i="81" s="1"/>
  <c r="B81" i="81" s="1"/>
  <c r="B86" i="81"/>
  <c r="N85" i="81"/>
  <c r="M85" i="81"/>
  <c r="K85" i="81"/>
  <c r="J85" i="81" s="1"/>
  <c r="D85" i="81"/>
  <c r="B85" i="81"/>
  <c r="N84" i="81"/>
  <c r="M84" i="81"/>
  <c r="K84" i="81"/>
  <c r="J84" i="81"/>
  <c r="D84" i="81"/>
  <c r="B84" i="81"/>
  <c r="N83" i="81"/>
  <c r="M83" i="81"/>
  <c r="K83" i="81"/>
  <c r="J83" i="81" s="1"/>
  <c r="F83" i="81"/>
  <c r="H88" i="81" s="1"/>
  <c r="D83" i="81"/>
  <c r="B83" i="81"/>
  <c r="N80" i="81"/>
  <c r="M80" i="81"/>
  <c r="K80" i="81"/>
  <c r="J80" i="81" s="1"/>
  <c r="D80" i="81"/>
  <c r="N79" i="81"/>
  <c r="M79" i="81"/>
  <c r="K79" i="81"/>
  <c r="J79" i="81" s="1"/>
  <c r="D79" i="81"/>
  <c r="B79" i="81"/>
  <c r="M78" i="81"/>
  <c r="N78" i="81" s="1"/>
  <c r="K78" i="81"/>
  <c r="J78" i="81" s="1"/>
  <c r="D78" i="81"/>
  <c r="N77" i="81"/>
  <c r="M77" i="81"/>
  <c r="K77" i="81"/>
  <c r="J77" i="81"/>
  <c r="D77" i="81"/>
  <c r="B77" i="81"/>
  <c r="N76" i="81"/>
  <c r="M76" i="81"/>
  <c r="K76" i="81"/>
  <c r="J76" i="81" s="1"/>
  <c r="D76" i="81"/>
  <c r="B76" i="81"/>
  <c r="M75" i="81"/>
  <c r="N75" i="81" s="1"/>
  <c r="K75" i="81"/>
  <c r="J75" i="81" s="1"/>
  <c r="D75" i="81"/>
  <c r="B75" i="81"/>
  <c r="N74" i="81"/>
  <c r="M74" i="81"/>
  <c r="K74" i="81"/>
  <c r="J74" i="81" s="1"/>
  <c r="D74" i="81"/>
  <c r="B74" i="81"/>
  <c r="N73" i="81"/>
  <c r="M73" i="81"/>
  <c r="K73" i="81"/>
  <c r="J73" i="81"/>
  <c r="D73" i="81"/>
  <c r="B73" i="81"/>
  <c r="N72" i="81"/>
  <c r="M72" i="81"/>
  <c r="K72" i="81"/>
  <c r="J72" i="81" s="1"/>
  <c r="F72" i="81"/>
  <c r="H77" i="81" s="1"/>
  <c r="D72" i="81"/>
  <c r="B72" i="81"/>
  <c r="M69" i="81"/>
  <c r="N69" i="81" s="1"/>
  <c r="K69" i="81"/>
  <c r="J69" i="81" s="1"/>
  <c r="B69" i="81"/>
  <c r="M68" i="81"/>
  <c r="N68" i="81" s="1"/>
  <c r="K68" i="81"/>
  <c r="J68" i="81" s="1"/>
  <c r="D68" i="81" s="1"/>
  <c r="B68" i="81"/>
  <c r="N67" i="81"/>
  <c r="M67" i="81"/>
  <c r="K67" i="81"/>
  <c r="J67" i="81" s="1"/>
  <c r="D67" i="81" s="1"/>
  <c r="B67" i="81"/>
  <c r="M66" i="81"/>
  <c r="N66" i="81" s="1"/>
  <c r="K66" i="81"/>
  <c r="J66" i="81" s="1"/>
  <c r="D66" i="81" s="1"/>
  <c r="M65" i="81"/>
  <c r="N65" i="81" s="1"/>
  <c r="K65" i="81"/>
  <c r="J65" i="81" s="1"/>
  <c r="D65" i="81"/>
  <c r="B65" i="81"/>
  <c r="M64" i="81"/>
  <c r="N64" i="81" s="1"/>
  <c r="K64" i="81"/>
  <c r="J64" i="81" s="1"/>
  <c r="M63" i="81"/>
  <c r="N63" i="81" s="1"/>
  <c r="K63" i="81"/>
  <c r="J63" i="81" s="1"/>
  <c r="B63" i="81"/>
  <c r="M62" i="81"/>
  <c r="N62" i="81" s="1"/>
  <c r="K62" i="81"/>
  <c r="J62" i="81" s="1"/>
  <c r="D62" i="81" s="1"/>
  <c r="B62" i="81"/>
  <c r="N61" i="81"/>
  <c r="M61" i="81"/>
  <c r="K61" i="81"/>
  <c r="J61" i="81" s="1"/>
  <c r="D61" i="81"/>
  <c r="B61" i="81"/>
  <c r="M58" i="81"/>
  <c r="N58" i="81" s="1"/>
  <c r="K58" i="81"/>
  <c r="J58" i="81" s="1"/>
  <c r="D58" i="81"/>
  <c r="B58" i="81"/>
  <c r="M57" i="81"/>
  <c r="N57" i="81" s="1"/>
  <c r="K57" i="81"/>
  <c r="J57" i="81" s="1"/>
  <c r="D57" i="81"/>
  <c r="B57" i="81"/>
  <c r="N56" i="81"/>
  <c r="M56" i="81"/>
  <c r="K56" i="81"/>
  <c r="J56" i="81" s="1"/>
  <c r="D56" i="81"/>
  <c r="B56" i="81"/>
  <c r="M55" i="81"/>
  <c r="N55" i="81" s="1"/>
  <c r="K55" i="81"/>
  <c r="J55" i="81"/>
  <c r="D55" i="81"/>
  <c r="M54" i="81"/>
  <c r="N54" i="81" s="1"/>
  <c r="K54" i="81"/>
  <c r="J54" i="81"/>
  <c r="D54" i="81"/>
  <c r="B54" i="81"/>
  <c r="M53" i="81"/>
  <c r="N53" i="81" s="1"/>
  <c r="K53" i="81"/>
  <c r="J53" i="81" s="1"/>
  <c r="D53" i="81"/>
  <c r="M52" i="81"/>
  <c r="N52" i="81" s="1"/>
  <c r="K52" i="81"/>
  <c r="J52" i="81" s="1"/>
  <c r="D52" i="81"/>
  <c r="B52" i="81"/>
  <c r="M51" i="81"/>
  <c r="N51" i="81" s="1"/>
  <c r="K51" i="81"/>
  <c r="J51" i="81"/>
  <c r="D51" i="81"/>
  <c r="B51" i="81"/>
  <c r="M50" i="81"/>
  <c r="N50" i="81" s="1"/>
  <c r="K50" i="81"/>
  <c r="J50" i="81" s="1"/>
  <c r="F50" i="81"/>
  <c r="H57" i="81" s="1"/>
  <c r="D50" i="81"/>
  <c r="B50" i="81"/>
  <c r="H42" i="81"/>
  <c r="H41" i="81"/>
  <c r="H40" i="81"/>
  <c r="H39" i="81"/>
  <c r="H38" i="81"/>
  <c r="H37" i="81"/>
  <c r="P28" i="81"/>
  <c r="P26" i="81"/>
  <c r="M24" i="81"/>
  <c r="J24" i="81"/>
  <c r="G24" i="81"/>
  <c r="E24" i="81"/>
  <c r="Q32" i="81" s="1"/>
  <c r="O23" i="81"/>
  <c r="M23" i="81"/>
  <c r="I23" i="81"/>
  <c r="G23" i="81"/>
  <c r="P27" i="81" s="1"/>
  <c r="C23" i="81"/>
  <c r="C22" i="81"/>
  <c r="G17" i="81"/>
  <c r="C17" i="81"/>
  <c r="C13" i="81"/>
  <c r="AI10" i="81"/>
  <c r="AH10" i="81"/>
  <c r="AD10" i="81"/>
  <c r="Z10" i="81"/>
  <c r="Y10" i="81"/>
  <c r="C10" i="81"/>
  <c r="C11" i="81" s="1"/>
  <c r="AJ9" i="81"/>
  <c r="AJ10" i="81" s="1"/>
  <c r="AI9" i="81"/>
  <c r="AH9" i="81"/>
  <c r="AG9" i="81"/>
  <c r="AG10" i="81" s="1"/>
  <c r="AF9" i="81"/>
  <c r="AF10" i="81" s="1"/>
  <c r="AE9" i="81"/>
  <c r="AE10" i="81" s="1"/>
  <c r="AD9" i="81"/>
  <c r="AC9" i="81"/>
  <c r="AC10" i="81" s="1"/>
  <c r="AB9" i="81"/>
  <c r="AB10" i="81" s="1"/>
  <c r="AA9" i="81"/>
  <c r="AA10" i="81" s="1"/>
  <c r="Z9" i="81"/>
  <c r="C9" i="81"/>
  <c r="G3" i="81"/>
  <c r="J26" i="81" s="1"/>
  <c r="I2" i="81"/>
  <c r="M10" i="81" s="1"/>
  <c r="G2" i="81"/>
  <c r="O21" i="81" s="1"/>
  <c r="D1" i="81"/>
  <c r="C60" i="78"/>
  <c r="D60" i="78" s="1"/>
  <c r="D53" i="78"/>
  <c r="D52" i="78"/>
  <c r="D51" i="78" s="1"/>
  <c r="B51" i="78"/>
  <c r="B56" i="78" s="1"/>
  <c r="E83" i="84" l="1"/>
  <c r="B81" i="84" s="1"/>
  <c r="H52" i="84"/>
  <c r="H56" i="84"/>
  <c r="H63" i="84"/>
  <c r="H67" i="84"/>
  <c r="N4" i="84"/>
  <c r="F83" i="84" s="1"/>
  <c r="N6" i="84"/>
  <c r="N11" i="84"/>
  <c r="H50" i="84"/>
  <c r="H53" i="84"/>
  <c r="H61" i="84"/>
  <c r="H64" i="84"/>
  <c r="N3" i="84"/>
  <c r="N5" i="84"/>
  <c r="N7" i="84"/>
  <c r="C5" i="84"/>
  <c r="D5" i="84"/>
  <c r="H101" i="84"/>
  <c r="H95" i="84"/>
  <c r="H98" i="84"/>
  <c r="H99" i="84"/>
  <c r="H96" i="84"/>
  <c r="H93" i="84"/>
  <c r="H97" i="84"/>
  <c r="H116" i="84"/>
  <c r="F72" i="84"/>
  <c r="F41" i="84"/>
  <c r="F39" i="84"/>
  <c r="O21" i="84"/>
  <c r="K21" i="84"/>
  <c r="F42" i="84"/>
  <c r="F40" i="84"/>
  <c r="F38" i="84"/>
  <c r="F37" i="84"/>
  <c r="C27" i="84"/>
  <c r="S2" i="84"/>
  <c r="J26" i="84"/>
  <c r="E26" i="84"/>
  <c r="G26" i="84"/>
  <c r="S4" i="84"/>
  <c r="E9" i="84"/>
  <c r="E10" i="84"/>
  <c r="H21" i="84"/>
  <c r="M21" i="84"/>
  <c r="J80" i="84"/>
  <c r="D80" i="84"/>
  <c r="H94" i="84"/>
  <c r="M24" i="84"/>
  <c r="P29" i="84"/>
  <c r="P25" i="84"/>
  <c r="O23" i="84"/>
  <c r="C23" i="84"/>
  <c r="P26" i="84"/>
  <c r="M10" i="84"/>
  <c r="N9" i="84"/>
  <c r="M3" i="84"/>
  <c r="M5" i="84"/>
  <c r="S6" i="84"/>
  <c r="M7" i="84"/>
  <c r="X7" i="84"/>
  <c r="N8" i="84"/>
  <c r="M9" i="84"/>
  <c r="N10" i="84"/>
  <c r="C21" i="84"/>
  <c r="I21" i="84"/>
  <c r="N21" i="84"/>
  <c r="F26" i="84"/>
  <c r="P28" i="84"/>
  <c r="E8" i="84"/>
  <c r="Z7" i="84"/>
  <c r="E17" i="84"/>
  <c r="D21" i="84"/>
  <c r="J21" i="84"/>
  <c r="H26" i="84"/>
  <c r="J74" i="84"/>
  <c r="D74" i="84"/>
  <c r="H100" i="84"/>
  <c r="B116" i="84"/>
  <c r="N32" i="84"/>
  <c r="H55" i="84"/>
  <c r="H66" i="84"/>
  <c r="D72" i="84"/>
  <c r="E72" i="84" s="1"/>
  <c r="B70" i="84" s="1"/>
  <c r="C28" i="84" s="1"/>
  <c r="J79" i="84"/>
  <c r="H86" i="84"/>
  <c r="H89" i="84"/>
  <c r="H58" i="84"/>
  <c r="H69" i="84"/>
  <c r="H85" i="84"/>
  <c r="H51" i="84"/>
  <c r="H54" i="84"/>
  <c r="H62" i="84"/>
  <c r="H65" i="84"/>
  <c r="H84" i="84"/>
  <c r="H52" i="81"/>
  <c r="H53" i="81"/>
  <c r="H87" i="82"/>
  <c r="H50" i="81"/>
  <c r="H56" i="81"/>
  <c r="H83" i="81"/>
  <c r="H100" i="81"/>
  <c r="H53" i="82"/>
  <c r="H61" i="82"/>
  <c r="D21" i="82"/>
  <c r="H83" i="82"/>
  <c r="H90" i="82"/>
  <c r="H90" i="81"/>
  <c r="H64" i="82"/>
  <c r="H94" i="82"/>
  <c r="D63" i="81"/>
  <c r="D64" i="81"/>
  <c r="D69" i="81"/>
  <c r="S2" i="81"/>
  <c r="C21" i="81"/>
  <c r="H72" i="81"/>
  <c r="H79" i="81"/>
  <c r="H87" i="81"/>
  <c r="H21" i="81"/>
  <c r="H76" i="81"/>
  <c r="S5" i="81"/>
  <c r="L21" i="81"/>
  <c r="E61" i="81"/>
  <c r="B59" i="81" s="1"/>
  <c r="C28" i="81" s="1"/>
  <c r="E50" i="81"/>
  <c r="B48" i="81" s="1"/>
  <c r="D74" i="82"/>
  <c r="E50" i="82"/>
  <c r="B48" i="82" s="1"/>
  <c r="E61" i="82"/>
  <c r="B59" i="82" s="1"/>
  <c r="E93" i="82"/>
  <c r="B91" i="82" s="1"/>
  <c r="E26" i="82"/>
  <c r="S2" i="82"/>
  <c r="H52" i="82"/>
  <c r="H56" i="82"/>
  <c r="H67" i="82"/>
  <c r="S5" i="82"/>
  <c r="H21" i="82"/>
  <c r="E10" i="82"/>
  <c r="E11" i="82"/>
  <c r="E9" i="82"/>
  <c r="E8" i="82"/>
  <c r="C7" i="82" s="1"/>
  <c r="N12" i="82"/>
  <c r="N11" i="82"/>
  <c r="M9" i="82"/>
  <c r="N7" i="82"/>
  <c r="N5" i="82"/>
  <c r="M4" i="82"/>
  <c r="N3" i="82"/>
  <c r="M2" i="82"/>
  <c r="N1" i="82"/>
  <c r="N6" i="82"/>
  <c r="M7" i="82"/>
  <c r="M1" i="82"/>
  <c r="N2" i="82"/>
  <c r="H26" i="82"/>
  <c r="Z7" i="82"/>
  <c r="G26" i="82"/>
  <c r="S6" i="82"/>
  <c r="M8" i="82"/>
  <c r="M10" i="82"/>
  <c r="C21" i="82"/>
  <c r="F26" i="82"/>
  <c r="M3" i="82"/>
  <c r="N8" i="82"/>
  <c r="N9" i="82"/>
  <c r="N10" i="82"/>
  <c r="M12" i="82"/>
  <c r="P32" i="82"/>
  <c r="O32" i="82"/>
  <c r="N32" i="82"/>
  <c r="M32" i="82"/>
  <c r="N4" i="82"/>
  <c r="F72" i="82" s="1"/>
  <c r="H116" i="82"/>
  <c r="F41" i="82"/>
  <c r="F39" i="82"/>
  <c r="N21" i="82"/>
  <c r="J21" i="82"/>
  <c r="E21" i="82"/>
  <c r="C6" i="82"/>
  <c r="M21" i="82"/>
  <c r="I21" i="82"/>
  <c r="F42" i="82"/>
  <c r="F40" i="82"/>
  <c r="F38" i="82"/>
  <c r="F37" i="82"/>
  <c r="C27" i="82"/>
  <c r="S3" i="82"/>
  <c r="S4" i="82"/>
  <c r="M5" i="82"/>
  <c r="M6" i="82"/>
  <c r="X7" i="82"/>
  <c r="M11" i="82"/>
  <c r="O21" i="82"/>
  <c r="E44" i="82"/>
  <c r="C44" i="82" s="1"/>
  <c r="I18" i="82"/>
  <c r="E17" i="82" s="1"/>
  <c r="Q32" i="82"/>
  <c r="E72" i="82"/>
  <c r="B70" i="82" s="1"/>
  <c r="C28" i="82" s="1"/>
  <c r="H101" i="82"/>
  <c r="H95" i="82"/>
  <c r="H98" i="82"/>
  <c r="H99" i="82"/>
  <c r="H96" i="82"/>
  <c r="H93" i="82"/>
  <c r="H97" i="82"/>
  <c r="B116" i="82"/>
  <c r="P25" i="82"/>
  <c r="P29" i="82"/>
  <c r="H55" i="82"/>
  <c r="H66" i="82"/>
  <c r="H86" i="82"/>
  <c r="H89" i="82"/>
  <c r="H58" i="82"/>
  <c r="H63" i="82"/>
  <c r="H69" i="82"/>
  <c r="H85" i="82"/>
  <c r="H51" i="82"/>
  <c r="H54" i="82"/>
  <c r="H62" i="82"/>
  <c r="H65" i="82"/>
  <c r="H84" i="82"/>
  <c r="E10" i="81"/>
  <c r="E11" i="81"/>
  <c r="E8" i="81"/>
  <c r="E9" i="81"/>
  <c r="M32" i="81"/>
  <c r="M1" i="81"/>
  <c r="N2" i="81"/>
  <c r="H26" i="81"/>
  <c r="Z7" i="81"/>
  <c r="G26" i="81"/>
  <c r="S6" i="81"/>
  <c r="M8" i="81"/>
  <c r="E44" i="81"/>
  <c r="C44" i="81" s="1"/>
  <c r="I18" i="81"/>
  <c r="G18" i="81"/>
  <c r="E17" i="81" s="1"/>
  <c r="N12" i="81"/>
  <c r="N11" i="81"/>
  <c r="M9" i="81"/>
  <c r="N7" i="81"/>
  <c r="N5" i="81"/>
  <c r="M4" i="81"/>
  <c r="C6" i="81" s="1"/>
  <c r="N3" i="81"/>
  <c r="M2" i="81"/>
  <c r="N1" i="81"/>
  <c r="N6" i="81"/>
  <c r="M7" i="81"/>
  <c r="E26" i="81"/>
  <c r="E93" i="81"/>
  <c r="B91" i="81" s="1"/>
  <c r="P32" i="81"/>
  <c r="O32" i="81"/>
  <c r="N32" i="81"/>
  <c r="M3" i="81"/>
  <c r="N4" i="81"/>
  <c r="F61" i="81" s="1"/>
  <c r="N8" i="81"/>
  <c r="N9" i="81"/>
  <c r="N10" i="81"/>
  <c r="M12" i="81"/>
  <c r="H116" i="81"/>
  <c r="F41" i="81"/>
  <c r="F39" i="81"/>
  <c r="N21" i="81"/>
  <c r="J21" i="81"/>
  <c r="E21" i="81"/>
  <c r="M21" i="81"/>
  <c r="I21" i="81"/>
  <c r="D21" i="81"/>
  <c r="F42" i="81"/>
  <c r="F40" i="81"/>
  <c r="F38" i="81"/>
  <c r="F37" i="81"/>
  <c r="C27" i="81"/>
  <c r="S3" i="81"/>
  <c r="S4" i="81"/>
  <c r="M5" i="81"/>
  <c r="M6" i="81"/>
  <c r="X7" i="81"/>
  <c r="M11" i="81"/>
  <c r="K21" i="81"/>
  <c r="F26" i="81"/>
  <c r="E72" i="81"/>
  <c r="B70" i="81" s="1"/>
  <c r="H101" i="81"/>
  <c r="H95" i="81"/>
  <c r="H98" i="81"/>
  <c r="H99" i="81"/>
  <c r="H96" i="81"/>
  <c r="H93" i="81"/>
  <c r="H97" i="81"/>
  <c r="B116" i="81"/>
  <c r="P25" i="81"/>
  <c r="P29" i="81"/>
  <c r="H55" i="81"/>
  <c r="H75" i="81"/>
  <c r="H78" i="81"/>
  <c r="H86" i="81"/>
  <c r="H89" i="81"/>
  <c r="H58" i="81"/>
  <c r="H74" i="81"/>
  <c r="H80" i="81"/>
  <c r="H85" i="81"/>
  <c r="H51" i="81"/>
  <c r="H54" i="81"/>
  <c r="H73" i="81"/>
  <c r="H84" i="81"/>
  <c r="B55" i="78"/>
  <c r="D55" i="78" s="1"/>
  <c r="C51" i="78"/>
  <c r="C56" i="78" s="1"/>
  <c r="C58" i="78" s="1"/>
  <c r="B62" i="78"/>
  <c r="B54" i="78"/>
  <c r="D54" i="78" s="1"/>
  <c r="D56" i="78" s="1"/>
  <c r="D26" i="84" l="1"/>
  <c r="C25" i="84" s="1"/>
  <c r="H88" i="84"/>
  <c r="H87" i="84"/>
  <c r="H90" i="84"/>
  <c r="H83" i="84"/>
  <c r="H77" i="84"/>
  <c r="H73" i="84"/>
  <c r="H80" i="84"/>
  <c r="H74" i="84"/>
  <c r="H78" i="84"/>
  <c r="H75" i="84"/>
  <c r="H72" i="84"/>
  <c r="H79" i="84"/>
  <c r="H76" i="84"/>
  <c r="C7" i="84"/>
  <c r="C42" i="84"/>
  <c r="C41"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C118" i="84" s="1"/>
  <c r="B119" i="84"/>
  <c r="C119" i="84" s="1"/>
  <c r="G21" i="84"/>
  <c r="D26" i="82"/>
  <c r="C25" i="82" s="1"/>
  <c r="H68" i="81"/>
  <c r="H61" i="81"/>
  <c r="H67" i="81"/>
  <c r="H64" i="81"/>
  <c r="H66" i="81"/>
  <c r="H63" i="81"/>
  <c r="H69" i="81"/>
  <c r="H62" i="81"/>
  <c r="H65" i="81"/>
  <c r="H77" i="82"/>
  <c r="H79" i="82"/>
  <c r="H72" i="82"/>
  <c r="H76" i="82"/>
  <c r="H75" i="82"/>
  <c r="H80" i="82"/>
  <c r="H74" i="82"/>
  <c r="H78" i="82"/>
  <c r="H73" i="82"/>
  <c r="G21" i="82"/>
  <c r="C20" i="82" s="1"/>
  <c r="D5"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G21" i="81"/>
  <c r="C20" i="81" s="1"/>
  <c r="D5" i="81" s="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C7" i="81"/>
  <c r="D26" i="81"/>
  <c r="C25" i="81" s="1"/>
  <c r="D58" i="78"/>
  <c r="D62" i="78" s="1"/>
  <c r="C62" i="78" s="1"/>
  <c r="E42" i="84" l="1"/>
  <c r="G42" i="84"/>
  <c r="I42" i="84" s="1"/>
  <c r="E41" i="84"/>
  <c r="G41" i="84"/>
  <c r="I41" i="84" s="1"/>
  <c r="D116" i="84"/>
  <c r="C5" i="81"/>
  <c r="D116" i="81"/>
  <c r="C5" i="82"/>
  <c r="D116" i="82"/>
  <c r="C42" i="82"/>
  <c r="C41" i="82"/>
  <c r="M45" i="80" s="1"/>
  <c r="N45" i="80" s="1"/>
  <c r="C42" i="81"/>
  <c r="C41" i="81"/>
  <c r="G14" i="73"/>
  <c r="F14" i="73"/>
  <c r="E14" i="73"/>
  <c r="E41" i="82" l="1"/>
  <c r="G41" i="82"/>
  <c r="I41" i="82" s="1"/>
  <c r="G42" i="82"/>
  <c r="I42" i="82" s="1"/>
  <c r="E42" i="82"/>
  <c r="E41" i="81"/>
  <c r="G41" i="81"/>
  <c r="I41" i="81" s="1"/>
  <c r="G42" i="81"/>
  <c r="I42" i="81" s="1"/>
  <c r="E42"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S42" i="79"/>
  <c r="AD45" i="79"/>
  <c r="Z3" i="79"/>
  <c r="T34" i="79"/>
  <c r="W34" i="79" s="1"/>
  <c r="U40" i="79"/>
  <c r="AD41" i="79"/>
  <c r="U44"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D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32" i="6"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AZ521" i="3" s="1"/>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A527" i="3" s="1"/>
  <c r="AZ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A538" i="3" s="1"/>
  <c r="AZ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L541" i="3" s="1"/>
  <c r="AZ541" i="3" s="1"/>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AZ568" i="3" s="1"/>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J14" i="40" s="1"/>
  <c r="W14" i="40" s="1"/>
  <c r="B79" i="40"/>
  <c r="F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s="1"/>
  <c r="B73" i="35"/>
  <c r="J23" i="35" s="1"/>
  <c r="AC23" i="35" s="1"/>
  <c r="B57" i="35"/>
  <c r="J11" i="35" s="1"/>
  <c r="W11" i="35" s="1"/>
  <c r="B61" i="35"/>
  <c r="F13" i="35" s="1"/>
  <c r="B59" i="35"/>
  <c r="F12" i="35" s="1"/>
  <c r="B131" i="34"/>
  <c r="B129" i="34"/>
  <c r="B127" i="34"/>
  <c r="F45" i="34" s="1"/>
  <c r="S45" i="34" s="1"/>
  <c r="B99" i="34"/>
  <c r="B97" i="34"/>
  <c r="B95" i="34"/>
  <c r="H30" i="34" s="1"/>
  <c r="B93" i="34"/>
  <c r="J29" i="34" s="1"/>
  <c r="B75" i="34"/>
  <c r="B73" i="34"/>
  <c r="B71" i="34"/>
  <c r="B130" i="33"/>
  <c r="H46" i="33" s="1"/>
  <c r="B128" i="33"/>
  <c r="B126" i="33"/>
  <c r="B98" i="33"/>
  <c r="B96" i="33"/>
  <c r="F30" i="33" s="1"/>
  <c r="B94" i="33"/>
  <c r="B74" i="33"/>
  <c r="B72" i="33"/>
  <c r="H13" i="33" s="1"/>
  <c r="U13" i="33" s="1"/>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c r="W45" i="21" s="1"/>
  <c r="B126" i="21"/>
  <c r="J44" i="21" s="1"/>
  <c r="AC44" i="21" s="1"/>
  <c r="B98" i="21"/>
  <c r="H31" i="21" s="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O5"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J35" i="39"/>
  <c r="AC35" i="39" s="1"/>
  <c r="F35" i="39"/>
  <c r="AA35"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U34" i="35"/>
  <c r="F36" i="34"/>
  <c r="J35" i="34"/>
  <c r="U34" i="34"/>
  <c r="H39" i="33"/>
  <c r="AB39" i="33" s="1"/>
  <c r="F26" i="33"/>
  <c r="AA26" i="33" s="1"/>
  <c r="U35" i="33"/>
  <c r="S40" i="33"/>
  <c r="W39" i="33"/>
  <c r="H39" i="37"/>
  <c r="AB39" i="37"/>
  <c r="F11" i="40"/>
  <c r="AA11" i="40"/>
  <c r="H11" i="40"/>
  <c r="AB11" i="40"/>
  <c r="W8" i="40"/>
  <c r="U9" i="40"/>
  <c r="W31" i="40"/>
  <c r="U34" i="40"/>
  <c r="S38" i="40"/>
  <c r="F42" i="39"/>
  <c r="AA42" i="39" s="1"/>
  <c r="F41" i="39"/>
  <c r="S41" i="39" s="1"/>
  <c r="H40" i="39"/>
  <c r="AB40" i="39" s="1"/>
  <c r="H39" i="39"/>
  <c r="U39" i="39" s="1"/>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F41" i="33"/>
  <c r="AA41" i="33" s="1"/>
  <c r="S38" i="33"/>
  <c r="E113" i="33"/>
  <c r="F32" i="33"/>
  <c r="AA32" i="33" s="1"/>
  <c r="J19" i="33"/>
  <c r="W19" i="33" s="1"/>
  <c r="J15" i="33"/>
  <c r="AC15" i="33" s="1"/>
  <c r="F11" i="33"/>
  <c r="AA11" i="33" s="1"/>
  <c r="S26" i="33"/>
  <c r="U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s="1"/>
  <c r="J19" i="34"/>
  <c r="AC19" i="34" s="1"/>
  <c r="F17" i="34"/>
  <c r="S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J37" i="34"/>
  <c r="AC37" i="34" s="1"/>
  <c r="J11" i="33"/>
  <c r="W11" i="33" s="1"/>
  <c r="J42" i="21"/>
  <c r="AC42" i="21" s="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H44" i="21"/>
  <c r="AB44" i="21" s="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AA31" i="21" s="1"/>
  <c r="F45" i="21"/>
  <c r="AA45" i="21" s="1"/>
  <c r="F27" i="33"/>
  <c r="AA27" i="33" s="1"/>
  <c r="J13" i="33"/>
  <c r="F13" i="33"/>
  <c r="S13" i="33"/>
  <c r="J29" i="33"/>
  <c r="H29" i="33"/>
  <c r="U29" i="33"/>
  <c r="F29" i="33"/>
  <c r="S29" i="33" s="1"/>
  <c r="J31" i="33"/>
  <c r="W31" i="33" s="1"/>
  <c r="H31" i="33"/>
  <c r="F31" i="33"/>
  <c r="H45" i="33"/>
  <c r="J45" i="33"/>
  <c r="W45" i="33" s="1"/>
  <c r="F45" i="33"/>
  <c r="AA45" i="33" s="1"/>
  <c r="J14" i="34"/>
  <c r="W14" i="34" s="1"/>
  <c r="F14" i="34"/>
  <c r="AA14" i="34" s="1"/>
  <c r="H14" i="34"/>
  <c r="F30" i="34"/>
  <c r="S30" i="34"/>
  <c r="J30" i="34"/>
  <c r="H32" i="34"/>
  <c r="F32" i="34"/>
  <c r="J32" i="34"/>
  <c r="W32" i="34" s="1"/>
  <c r="H46" i="34"/>
  <c r="U46" i="34" s="1"/>
  <c r="F46" i="34"/>
  <c r="J46" i="34"/>
  <c r="H11" i="35"/>
  <c r="AB11" i="35" s="1"/>
  <c r="AC11" i="35"/>
  <c r="F11" i="35"/>
  <c r="S11" i="35" s="1"/>
  <c r="J26" i="36"/>
  <c r="W26" i="36" s="1"/>
  <c r="H28" i="36"/>
  <c r="U28" i="36" s="1"/>
  <c r="H32" i="36"/>
  <c r="AB32" i="36" s="1"/>
  <c r="J32" i="36"/>
  <c r="W32" i="36" s="1"/>
  <c r="F11" i="36"/>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AC12" i="40"/>
  <c r="W12" i="40"/>
  <c r="H14" i="33"/>
  <c r="U14" i="33" s="1"/>
  <c r="F14" i="33"/>
  <c r="S14" i="33"/>
  <c r="J14" i="33"/>
  <c r="AC14" i="33" s="1"/>
  <c r="H30" i="33"/>
  <c r="AB30" i="33" s="1"/>
  <c r="H44" i="33"/>
  <c r="U44" i="33" s="1"/>
  <c r="J44" i="33"/>
  <c r="AC44" i="33"/>
  <c r="F44" i="33"/>
  <c r="S44" i="33" s="1"/>
  <c r="J46" i="33"/>
  <c r="AC46" i="33" s="1"/>
  <c r="F46" i="33"/>
  <c r="AA46" i="33" s="1"/>
  <c r="H13" i="34"/>
  <c r="U13" i="34" s="1"/>
  <c r="J13" i="34"/>
  <c r="W13" i="34" s="1"/>
  <c r="F13" i="34"/>
  <c r="AA13" i="34" s="1"/>
  <c r="F29" i="34"/>
  <c r="S29" i="34" s="1"/>
  <c r="J31" i="34"/>
  <c r="AC31" i="34"/>
  <c r="H31" i="34"/>
  <c r="F31" i="34"/>
  <c r="S31" i="34" s="1"/>
  <c r="J45" i="34"/>
  <c r="AC45" i="34" s="1"/>
  <c r="H47" i="34"/>
  <c r="U47" i="34"/>
  <c r="F47" i="34"/>
  <c r="S47" i="34" s="1"/>
  <c r="J47" i="34"/>
  <c r="AC47" i="34"/>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s="1"/>
  <c r="H33" i="40"/>
  <c r="U33" i="40" s="1"/>
  <c r="J35" i="40"/>
  <c r="AC35" i="40" s="1"/>
  <c r="J37" i="40"/>
  <c r="AC37" i="40" s="1"/>
  <c r="J13" i="40"/>
  <c r="W13" i="40" s="1"/>
  <c r="F14" i="37"/>
  <c r="S14" i="37" s="1"/>
  <c r="F27" i="37"/>
  <c r="AA27" i="37" s="1"/>
  <c r="F13" i="39"/>
  <c r="J13" i="39"/>
  <c r="W13" i="39" s="1"/>
  <c r="H13" i="39"/>
  <c r="U13" i="39" s="1"/>
  <c r="H14" i="40"/>
  <c r="AB14" i="40"/>
  <c r="F14" i="40"/>
  <c r="S14" i="40" s="1"/>
  <c r="J14" i="37"/>
  <c r="J27" i="37"/>
  <c r="AC27" i="37"/>
  <c r="AA44" i="33"/>
  <c r="AA14" i="33"/>
  <c r="J36" i="37"/>
  <c r="AC36" i="37" s="1"/>
  <c r="J10" i="36"/>
  <c r="AC10" i="36" s="1"/>
  <c r="AA14" i="37"/>
  <c r="W31" i="34"/>
  <c r="S45" i="33"/>
  <c r="AC28" i="21"/>
  <c r="F17" i="21"/>
  <c r="AA17" i="21" s="1"/>
  <c r="H17" i="21"/>
  <c r="AB17" i="21" s="1"/>
  <c r="F15" i="21"/>
  <c r="S15" i="21" s="1"/>
  <c r="J41" i="39"/>
  <c r="W41" i="39" s="1"/>
  <c r="W44" i="39"/>
  <c r="S35" i="39"/>
  <c r="G544" i="3"/>
  <c r="G540" i="3"/>
  <c r="G536" i="3"/>
  <c r="G535" i="3"/>
  <c r="G528" i="3"/>
  <c r="G527" i="3"/>
  <c r="G514" i="3"/>
  <c r="G510" i="3"/>
  <c r="G508" i="3"/>
  <c r="G500" i="3"/>
  <c r="G496" i="3"/>
  <c r="G584" i="3"/>
  <c r="G576" i="3"/>
  <c r="G572" i="3"/>
  <c r="G564" i="3"/>
  <c r="G560" i="3"/>
  <c r="G554" i="3"/>
  <c r="G550" i="3"/>
  <c r="BL584" i="3"/>
  <c r="BL568" i="3"/>
  <c r="BL564" i="3"/>
  <c r="BL560" i="3"/>
  <c r="BL542" i="3"/>
  <c r="BL538" i="3"/>
  <c r="BL522" i="3"/>
  <c r="BL512" i="3"/>
  <c r="BL502" i="3"/>
  <c r="BL494" i="3"/>
  <c r="BL582" i="3"/>
  <c r="BL566" i="3"/>
  <c r="BL562" i="3"/>
  <c r="BL556" i="3"/>
  <c r="BL544" i="3"/>
  <c r="BL540" i="3"/>
  <c r="G529" i="3"/>
  <c r="G525" i="3"/>
  <c r="BL510" i="3"/>
  <c r="BL504" i="3"/>
  <c r="BL500" i="3"/>
  <c r="G493" i="3"/>
  <c r="BA584" i="3"/>
  <c r="AZ584" i="3" s="1"/>
  <c r="BA582" i="3"/>
  <c r="AZ582" i="3" s="1"/>
  <c r="BA574" i="3"/>
  <c r="BA570" i="3"/>
  <c r="BA564" i="3"/>
  <c r="BA562" i="3"/>
  <c r="BA560" i="3"/>
  <c r="BA558" i="3"/>
  <c r="BA556" i="3"/>
  <c r="AZ556" i="3" s="1"/>
  <c r="BA548" i="3"/>
  <c r="BA542" i="3"/>
  <c r="AZ542" i="3" s="1"/>
  <c r="BA540" i="3"/>
  <c r="BA534" i="3"/>
  <c r="BA530" i="3"/>
  <c r="AZ530" i="3" s="1"/>
  <c r="BA528" i="3"/>
  <c r="BA520" i="3"/>
  <c r="BA516" i="3"/>
  <c r="BA510" i="3"/>
  <c r="AZ510" i="3" s="1"/>
  <c r="BA508" i="3"/>
  <c r="BA504" i="3"/>
  <c r="AZ504" i="3"/>
  <c r="BA502" i="3"/>
  <c r="BA498" i="3"/>
  <c r="BA496" i="3"/>
  <c r="BA587" i="3"/>
  <c r="BA579" i="3"/>
  <c r="BA577" i="3"/>
  <c r="BA569" i="3"/>
  <c r="BA567" i="3"/>
  <c r="BA565" i="3"/>
  <c r="BA563" i="3"/>
  <c r="BA561" i="3"/>
  <c r="BA559" i="3"/>
  <c r="BA547" i="3"/>
  <c r="BA543" i="3"/>
  <c r="BA535" i="3"/>
  <c r="BA533" i="3"/>
  <c r="BA525" i="3"/>
  <c r="BA523" i="3"/>
  <c r="BA513" i="3"/>
  <c r="BA507" i="3"/>
  <c r="BA505" i="3"/>
  <c r="BA503" i="3"/>
  <c r="BA499" i="3"/>
  <c r="BA497" i="3"/>
  <c r="BA495" i="3"/>
  <c r="AZ560" i="3"/>
  <c r="G583" i="3"/>
  <c r="G581" i="3"/>
  <c r="G577" i="3"/>
  <c r="G575" i="3"/>
  <c r="G573" i="3"/>
  <c r="G569" i="3"/>
  <c r="G567" i="3"/>
  <c r="G565" i="3"/>
  <c r="G563" i="3"/>
  <c r="G561" i="3"/>
  <c r="BL558" i="3"/>
  <c r="BA557" i="3"/>
  <c r="AC557" i="3"/>
  <c r="G557" i="3" s="1"/>
  <c r="BQ557" i="3"/>
  <c r="BL557" i="3" s="1"/>
  <c r="BQ583" i="3"/>
  <c r="BQ581" i="3"/>
  <c r="BQ579" i="3"/>
  <c r="BL579" i="3" s="1"/>
  <c r="BQ577" i="3"/>
  <c r="BQ575" i="3"/>
  <c r="BL575" i="3"/>
  <c r="BQ573" i="3"/>
  <c r="BL573" i="3" s="1"/>
  <c r="BQ571" i="3"/>
  <c r="BQ569" i="3"/>
  <c r="BQ567" i="3"/>
  <c r="BL567" i="3" s="1"/>
  <c r="BQ565" i="3"/>
  <c r="BL565" i="3" s="1"/>
  <c r="AZ565" i="3"/>
  <c r="BQ563" i="3"/>
  <c r="BL563" i="3" s="1"/>
  <c r="AZ563" i="3" s="1"/>
  <c r="BQ561" i="3"/>
  <c r="BL561" i="3"/>
  <c r="BQ559" i="3"/>
  <c r="BL559" i="3" s="1"/>
  <c r="AZ559" i="3" s="1"/>
  <c r="G559" i="3"/>
  <c r="G555" i="3"/>
  <c r="G553" i="3"/>
  <c r="G549" i="3"/>
  <c r="G545" i="3"/>
  <c r="G543" i="3"/>
  <c r="G541" i="3"/>
  <c r="G537" i="3"/>
  <c r="BQ555" i="3"/>
  <c r="BQ553" i="3"/>
  <c r="BQ551" i="3"/>
  <c r="BQ549" i="3"/>
  <c r="BQ547" i="3"/>
  <c r="BL547" i="3" s="1"/>
  <c r="BQ545" i="3"/>
  <c r="BQ543" i="3"/>
  <c r="BQ541" i="3"/>
  <c r="BQ539" i="3"/>
  <c r="BQ537" i="3"/>
  <c r="BQ535" i="3"/>
  <c r="BQ533" i="3"/>
  <c r="BL533" i="3"/>
  <c r="AZ533" i="3" s="1"/>
  <c r="BQ531" i="3"/>
  <c r="BQ529" i="3"/>
  <c r="BQ527" i="3"/>
  <c r="BL527" i="3" s="1"/>
  <c r="BQ525" i="3"/>
  <c r="BQ523" i="3"/>
  <c r="BA521" i="3"/>
  <c r="AC521" i="3"/>
  <c r="G521" i="3" s="1"/>
  <c r="BQ521" i="3"/>
  <c r="BL520" i="3"/>
  <c r="G519" i="3"/>
  <c r="G515" i="3"/>
  <c r="G513" i="3"/>
  <c r="G511" i="3"/>
  <c r="BQ519" i="3"/>
  <c r="BQ517" i="3"/>
  <c r="BQ515" i="3"/>
  <c r="BL515" i="3" s="1"/>
  <c r="BQ513" i="3"/>
  <c r="BL513" i="3" s="1"/>
  <c r="BQ511" i="3"/>
  <c r="BA509" i="3"/>
  <c r="AC509" i="3"/>
  <c r="AC5" i="3" s="1"/>
  <c r="BQ509" i="3"/>
  <c r="BL508" i="3"/>
  <c r="AZ508" i="3"/>
  <c r="G507" i="3"/>
  <c r="G503" i="3"/>
  <c r="G501" i="3"/>
  <c r="G499" i="3"/>
  <c r="G495" i="3"/>
  <c r="BQ507" i="3"/>
  <c r="BQ505" i="3"/>
  <c r="BQ503" i="3"/>
  <c r="BL503" i="3" s="1"/>
  <c r="AZ503" i="3" s="1"/>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s="1"/>
  <c r="J32" i="37"/>
  <c r="AC32" i="37" s="1"/>
  <c r="F36" i="37"/>
  <c r="AA36" i="37" s="1"/>
  <c r="F37" i="37"/>
  <c r="AA37" i="37" s="1"/>
  <c r="F31" i="40"/>
  <c r="S31" i="40" s="1"/>
  <c r="H31" i="40"/>
  <c r="U31" i="40" s="1"/>
  <c r="F32" i="40"/>
  <c r="S32" i="40" s="1"/>
  <c r="H32" i="40"/>
  <c r="AB32" i="40" s="1"/>
  <c r="J36" i="40"/>
  <c r="AC36" i="40" s="1"/>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W44" i="33"/>
  <c r="U19" i="21"/>
  <c r="AB38" i="21"/>
  <c r="F43" i="33"/>
  <c r="S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152"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335" i="3"/>
  <c r="G342" i="3"/>
  <c r="BL345" i="3"/>
  <c r="AZ345" i="3" s="1"/>
  <c r="G346" i="3"/>
  <c r="BL349" i="3"/>
  <c r="BL352" i="3"/>
  <c r="G353" i="3"/>
  <c r="BA357" i="3"/>
  <c r="BL358" i="3"/>
  <c r="G359" i="3"/>
  <c r="BA361" i="3"/>
  <c r="AZ361" i="3"/>
  <c r="BL362" i="3"/>
  <c r="AZ362" i="3" s="1"/>
  <c r="G363" i="3"/>
  <c r="BA365" i="3"/>
  <c r="BL366" i="3"/>
  <c r="G367" i="3"/>
  <c r="BA369" i="3"/>
  <c r="AZ369" i="3"/>
  <c r="BL370" i="3"/>
  <c r="G371" i="3"/>
  <c r="BA373" i="3"/>
  <c r="AZ373" i="3"/>
  <c r="BL374" i="3"/>
  <c r="G375" i="3"/>
  <c r="BA377" i="3"/>
  <c r="AZ377" i="3"/>
  <c r="AZ241" i="3"/>
  <c r="BA379" i="3"/>
  <c r="AZ379" i="3" s="1"/>
  <c r="BL380" i="3"/>
  <c r="G381" i="3"/>
  <c r="BA383" i="3"/>
  <c r="BL384" i="3"/>
  <c r="AZ384" i="3" s="1"/>
  <c r="G385" i="3"/>
  <c r="BA387" i="3"/>
  <c r="AZ387" i="3" s="1"/>
  <c r="BL388" i="3"/>
  <c r="G389" i="3"/>
  <c r="BA391" i="3"/>
  <c r="BL392" i="3"/>
  <c r="G393" i="3"/>
  <c r="AZ291" i="3"/>
  <c r="BM5" i="3"/>
  <c r="BJ5" i="3"/>
  <c r="BH5" i="3"/>
  <c r="BF5" i="3"/>
  <c r="BD5" i="3"/>
  <c r="AZ325" i="3"/>
  <c r="G548" i="3"/>
  <c r="G538" i="3"/>
  <c r="G520" i="3"/>
  <c r="G502" i="3"/>
  <c r="BS5" i="3"/>
  <c r="BP5" i="3"/>
  <c r="BN5" i="3"/>
  <c r="G29" i="6" s="1"/>
  <c r="BK5" i="3"/>
  <c r="BI5" i="3"/>
  <c r="BG5" i="3"/>
  <c r="BE5" i="3"/>
  <c r="BC5" i="3"/>
  <c r="G17" i="3"/>
  <c r="BA17" i="3"/>
  <c r="BT5" i="3"/>
  <c r="AZ350" i="3"/>
  <c r="AZ356" i="3"/>
  <c r="BA15" i="3"/>
  <c r="BB5" i="3"/>
  <c r="BR5" i="3"/>
  <c r="AZ499" i="3"/>
  <c r="BL493"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82" i="3"/>
  <c r="AZ11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A32" i="36"/>
  <c r="S32" i="36"/>
  <c r="BL14" i="3"/>
  <c r="U30" i="33"/>
  <c r="W28" i="37"/>
  <c r="S19" i="39"/>
  <c r="F12" i="33"/>
  <c r="H12" i="39"/>
  <c r="AB12" i="39"/>
  <c r="F39" i="40"/>
  <c r="AA39" i="40" s="1"/>
  <c r="BA14"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30" i="40"/>
  <c r="AA19" i="40"/>
  <c r="S28" i="40"/>
  <c r="AA27"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U12" i="39"/>
  <c r="S23" i="36"/>
  <c r="U26" i="36"/>
  <c r="S33" i="36"/>
  <c r="AA26" i="36"/>
  <c r="AA34" i="36"/>
  <c r="AC26" i="36"/>
  <c r="AA22" i="36"/>
  <c r="W14" i="36"/>
  <c r="U22" i="36"/>
  <c r="S16"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S32" i="37"/>
  <c r="W30" i="37"/>
  <c r="S36" i="37"/>
  <c r="AA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AC42" i="34"/>
  <c r="AB35" i="34"/>
  <c r="U39" i="34"/>
  <c r="AB41" i="34"/>
  <c r="AA45" i="34"/>
  <c r="AA25"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F91" i="33"/>
  <c r="G91" i="33" s="1"/>
  <c r="H91" i="33" s="1"/>
  <c r="I91" i="33" s="1"/>
  <c r="J91" i="33" s="1"/>
  <c r="K91" i="33" s="1"/>
  <c r="L91" i="33" s="1"/>
  <c r="M91" i="33" s="1"/>
  <c r="H27" i="33"/>
  <c r="AB27" i="33" s="1"/>
  <c r="F25" i="33"/>
  <c r="S25" i="33" s="1"/>
  <c r="J23" i="33"/>
  <c r="AC23" i="33" s="1"/>
  <c r="F85" i="33"/>
  <c r="H23" i="33"/>
  <c r="F81" i="33"/>
  <c r="G81" i="33" s="1"/>
  <c r="F19" i="33"/>
  <c r="S19" i="33" s="1"/>
  <c r="J17" i="33"/>
  <c r="AC17" i="33" s="1"/>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E5"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33" i="40"/>
  <c r="AA15" i="40"/>
  <c r="U11" i="40"/>
  <c r="U15" i="40"/>
  <c r="AB17" i="40"/>
  <c r="U8" i="40"/>
  <c r="S8" i="40"/>
  <c r="AA39" i="39"/>
  <c r="AC41" i="39"/>
  <c r="U42" i="39"/>
  <c r="W25" i="39"/>
  <c r="AC25"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A13" i="36"/>
  <c r="W9" i="36"/>
  <c r="W22" i="36"/>
  <c r="AB20" i="35"/>
  <c r="AC25" i="35"/>
  <c r="U25" i="35"/>
  <c r="S35" i="35"/>
  <c r="W35" i="35"/>
  <c r="AA16" i="35"/>
  <c r="AA35" i="37"/>
  <c r="W36" i="37"/>
  <c r="S27" i="37"/>
  <c r="S28" i="37"/>
  <c r="W32" i="37"/>
  <c r="U36" i="37"/>
  <c r="S40" i="37"/>
  <c r="U38" i="37"/>
  <c r="AB37" i="37"/>
  <c r="AC34" i="37"/>
  <c r="AB35" i="37"/>
  <c r="AA31" i="37"/>
  <c r="U19" i="37"/>
  <c r="AA29" i="37"/>
  <c r="U8" i="37"/>
  <c r="AA40" i="34"/>
  <c r="AB40" i="34"/>
  <c r="U19" i="34"/>
  <c r="W19"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S31" i="33"/>
  <c r="AA31" i="33"/>
  <c r="W13" i="33"/>
  <c r="AC13" i="33"/>
  <c r="S11" i="33"/>
  <c r="U37" i="33"/>
  <c r="AC28" i="33"/>
  <c r="S28" i="33"/>
  <c r="W9" i="33"/>
  <c r="W8" i="33"/>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U17" i="21"/>
  <c r="W29"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AC32" i="39" s="1"/>
  <c r="H32" i="39"/>
  <c r="AB32" i="39" s="1"/>
  <c r="S32" i="39"/>
  <c r="AB21" i="39"/>
  <c r="AA21" i="39"/>
  <c r="S21" i="39"/>
  <c r="AC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J36" i="33"/>
  <c r="W36" i="33" s="1"/>
  <c r="H36" i="33"/>
  <c r="U36" i="33" s="1"/>
  <c r="W32" i="33"/>
  <c r="J27" i="33"/>
  <c r="AC27" i="33" s="1"/>
  <c r="AB23" i="33"/>
  <c r="U23" i="33"/>
  <c r="F23" i="33"/>
  <c r="G85" i="33"/>
  <c r="H19" i="33"/>
  <c r="U19" i="33" s="1"/>
  <c r="H17" i="33"/>
  <c r="U17" i="33" s="1"/>
  <c r="F17" i="33"/>
  <c r="S17" i="33" s="1"/>
  <c r="J23" i="21"/>
  <c r="F85" i="21"/>
  <c r="G85" i="21" s="1"/>
  <c r="H23" i="21"/>
  <c r="U23" i="21" s="1"/>
  <c r="S13" i="21"/>
  <c r="AB45" i="21"/>
  <c r="AB9" i="21"/>
  <c r="U9" i="21"/>
  <c r="AA32" i="21"/>
  <c r="S32" i="21"/>
  <c r="W9" i="21"/>
  <c r="AB32" i="21"/>
  <c r="U32" i="21"/>
  <c r="A18" i="62"/>
  <c r="B64" i="72" s="1"/>
  <c r="U32" i="39"/>
  <c r="W23" i="37"/>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15"/>
  <c r="L47" i="15"/>
  <c r="E13" i="76"/>
  <c r="F42" i="15"/>
  <c r="M22" i="15"/>
  <c r="M29" i="15"/>
  <c r="F26" i="15"/>
  <c r="F6" i="15"/>
  <c r="F7" i="15"/>
  <c r="F9" i="15"/>
  <c r="F4" i="73"/>
  <c r="M24" i="15"/>
  <c r="E10" i="76"/>
  <c r="M9" i="15"/>
  <c r="M8" i="15"/>
  <c r="F3" i="73"/>
  <c r="F8" i="15"/>
  <c r="B13" i="76"/>
  <c r="E9" i="76"/>
  <c r="F40" i="67"/>
  <c r="E7" i="76"/>
  <c r="D6" i="73"/>
  <c r="D34" i="9"/>
  <c r="F6" i="73"/>
  <c r="F38" i="15"/>
  <c r="B7" i="76"/>
  <c r="E2" i="69"/>
  <c r="C19" i="9"/>
  <c r="B10" i="76"/>
  <c r="E12" i="76"/>
  <c r="F36" i="67"/>
  <c r="E11" i="76"/>
  <c r="J15" i="15"/>
  <c r="F5" i="73"/>
  <c r="F20" i="31"/>
  <c r="F26" i="67"/>
  <c r="M28" i="67"/>
  <c r="F16" i="15"/>
  <c r="F40" i="15"/>
  <c r="M26" i="15"/>
  <c r="B9" i="76"/>
  <c r="F43" i="15"/>
  <c r="M9" i="67"/>
  <c r="E2" i="68"/>
  <c r="AO13" i="1"/>
  <c r="E8" i="76"/>
  <c r="C76" i="15"/>
  <c r="F16" i="67"/>
  <c r="F37" i="15"/>
  <c r="D19" i="9"/>
  <c r="F13" i="15"/>
  <c r="B8" i="76"/>
  <c r="M8" i="67"/>
  <c r="B11" i="76"/>
  <c r="B12" i="76"/>
  <c r="C20" i="9"/>
  <c r="D20" i="9"/>
  <c r="D35" i="9"/>
  <c r="F7" i="73"/>
  <c r="M28" i="15"/>
  <c r="M6" i="15"/>
  <c r="M23" i="15"/>
  <c r="F38" i="67"/>
  <c r="G7" i="1" l="1"/>
  <c r="I24" i="82"/>
  <c r="C24" i="82" s="1"/>
  <c r="W17" i="33"/>
  <c r="U15" i="33"/>
  <c r="S15" i="33"/>
  <c r="W15" i="33"/>
  <c r="H25" i="33"/>
  <c r="U25" i="33" s="1"/>
  <c r="J25" i="33"/>
  <c r="AC25" i="33" s="1"/>
  <c r="U31" i="35"/>
  <c r="AB25" i="33"/>
  <c r="S27" i="33"/>
  <c r="W27" i="33"/>
  <c r="U27" i="33"/>
  <c r="S36" i="33"/>
  <c r="U33" i="33"/>
  <c r="U11" i="33"/>
  <c r="AP7" i="1"/>
  <c r="D53" i="43"/>
  <c r="AC25" i="37"/>
  <c r="W25" i="37"/>
  <c r="AC28" i="34"/>
  <c r="W28" i="34"/>
  <c r="S13" i="40"/>
  <c r="AA13" i="40"/>
  <c r="AZ576" i="3"/>
  <c r="AZ552" i="3"/>
  <c r="AZ524" i="3"/>
  <c r="S30" i="33"/>
  <c r="AA30" i="33"/>
  <c r="U46" i="33"/>
  <c r="AB46" i="33"/>
  <c r="AZ370" i="3"/>
  <c r="AA43" i="33"/>
  <c r="W36" i="40"/>
  <c r="AA31" i="40"/>
  <c r="AZ547" i="3"/>
  <c r="AZ528" i="3"/>
  <c r="AZ570" i="3"/>
  <c r="AZ540" i="3"/>
  <c r="AA14" i="40"/>
  <c r="W45" i="34"/>
  <c r="S14" i="34"/>
  <c r="S31" i="21"/>
  <c r="U44" i="21"/>
  <c r="AA17" i="34"/>
  <c r="S29" i="35"/>
  <c r="AA29" i="35"/>
  <c r="AC19" i="33"/>
  <c r="U17" i="34"/>
  <c r="AB17" i="34"/>
  <c r="U12" i="36"/>
  <c r="AB12" i="36"/>
  <c r="AA38" i="39"/>
  <c r="S38" i="39"/>
  <c r="AB36" i="33"/>
  <c r="W32" i="39"/>
  <c r="AA23" i="21"/>
  <c r="S39" i="40"/>
  <c r="F29" i="6"/>
  <c r="E29" i="6" s="1"/>
  <c r="AZ364" i="3"/>
  <c r="AZ139" i="3"/>
  <c r="AZ306" i="3"/>
  <c r="AA11" i="36"/>
  <c r="S11" i="36"/>
  <c r="BL585" i="3"/>
  <c r="BA585" i="3"/>
  <c r="AC33" i="33"/>
  <c r="W33" i="33"/>
  <c r="F9" i="34"/>
  <c r="AA9" i="34" s="1"/>
  <c r="J9" i="34"/>
  <c r="H9" i="34"/>
  <c r="J12" i="33"/>
  <c r="H12" i="33"/>
  <c r="U12" i="33" s="1"/>
  <c r="AB9" i="39"/>
  <c r="U9" i="39"/>
  <c r="AC40" i="39"/>
  <c r="W40" i="39"/>
  <c r="F36" i="39"/>
  <c r="H36" i="39"/>
  <c r="J36" i="39"/>
  <c r="AC36" i="39" s="1"/>
  <c r="BL581" i="3"/>
  <c r="AZ581" i="3" s="1"/>
  <c r="BA581" i="3"/>
  <c r="BA580" i="3"/>
  <c r="AZ580" i="3" s="1"/>
  <c r="BL574" i="3"/>
  <c r="BA573" i="3"/>
  <c r="AZ573" i="3" s="1"/>
  <c r="BL572" i="3"/>
  <c r="BA572" i="3"/>
  <c r="AZ572" i="3" s="1"/>
  <c r="BL571" i="3"/>
  <c r="AZ571" i="3" s="1"/>
  <c r="BA555" i="3"/>
  <c r="BL554" i="3"/>
  <c r="AZ554" i="3" s="1"/>
  <c r="BA551" i="3"/>
  <c r="AZ551" i="3" s="1"/>
  <c r="BA550" i="3"/>
  <c r="BL548" i="3"/>
  <c r="AZ548" i="3" s="1"/>
  <c r="BA546" i="3"/>
  <c r="AZ546" i="3" s="1"/>
  <c r="BA545" i="3"/>
  <c r="BA537" i="3"/>
  <c r="AZ537" i="3" s="1"/>
  <c r="BL536" i="3"/>
  <c r="BA536" i="3"/>
  <c r="BL534" i="3"/>
  <c r="AZ534" i="3" s="1"/>
  <c r="BA532" i="3"/>
  <c r="AZ532" i="3" s="1"/>
  <c r="BA529" i="3"/>
  <c r="AZ529" i="3" s="1"/>
  <c r="BL528" i="3"/>
  <c r="BA526" i="3"/>
  <c r="AZ526" i="3" s="1"/>
  <c r="BL525" i="3"/>
  <c r="AZ525" i="3" s="1"/>
  <c r="BA519" i="3"/>
  <c r="BA518" i="3"/>
  <c r="AZ518" i="3" s="1"/>
  <c r="BL517" i="3"/>
  <c r="BL516" i="3"/>
  <c r="AZ516" i="3" s="1"/>
  <c r="BL514" i="3"/>
  <c r="AZ514" i="3" s="1"/>
  <c r="BA511" i="3"/>
  <c r="BL509" i="3"/>
  <c r="AZ509" i="3" s="1"/>
  <c r="BA506" i="3"/>
  <c r="AZ506" i="3" s="1"/>
  <c r="BL505" i="3"/>
  <c r="AZ505" i="3" s="1"/>
  <c r="BL501" i="3"/>
  <c r="BA501" i="3"/>
  <c r="AZ501" i="3" s="1"/>
  <c r="BA500" i="3"/>
  <c r="AZ500" i="3" s="1"/>
  <c r="BL498" i="3"/>
  <c r="AZ498" i="3" s="1"/>
  <c r="BL497" i="3"/>
  <c r="AZ497" i="3" s="1"/>
  <c r="BL496" i="3"/>
  <c r="AZ496" i="3" s="1"/>
  <c r="BA494" i="3"/>
  <c r="AZ494" i="3" s="1"/>
  <c r="BA493" i="3"/>
  <c r="AZ493" i="3" s="1"/>
  <c r="AB19" i="33"/>
  <c r="AB15" i="21"/>
  <c r="AC15" i="21"/>
  <c r="AZ15" i="3"/>
  <c r="AZ515" i="3"/>
  <c r="AZ513" i="3"/>
  <c r="AZ579" i="3"/>
  <c r="AZ520" i="3"/>
  <c r="AZ574" i="3"/>
  <c r="AA25" i="33"/>
  <c r="U30" i="40"/>
  <c r="U28" i="21"/>
  <c r="W14" i="33"/>
  <c r="AB44" i="33"/>
  <c r="U41" i="39"/>
  <c r="W38" i="37"/>
  <c r="AC29" i="37"/>
  <c r="AB14" i="36"/>
  <c r="U13" i="36"/>
  <c r="AB19" i="40"/>
  <c r="AA47" i="34"/>
  <c r="G509" i="3"/>
  <c r="AZ357" i="3"/>
  <c r="AZ322" i="3"/>
  <c r="AZ313" i="3"/>
  <c r="AZ394" i="3"/>
  <c r="AB34" i="39"/>
  <c r="AA25" i="21"/>
  <c r="F12" i="39"/>
  <c r="AC36" i="34"/>
  <c r="H24" i="35"/>
  <c r="BL523" i="3"/>
  <c r="AZ523" i="3" s="1"/>
  <c r="BL535" i="3"/>
  <c r="AZ535" i="3" s="1"/>
  <c r="AZ561" i="3"/>
  <c r="BL569" i="3"/>
  <c r="AZ569" i="3" s="1"/>
  <c r="AZ557" i="3"/>
  <c r="AZ558" i="3"/>
  <c r="AZ502" i="3"/>
  <c r="AB30" i="21"/>
  <c r="H13" i="40"/>
  <c r="H45" i="34"/>
  <c r="J30" i="33"/>
  <c r="H11" i="36"/>
  <c r="U11" i="36" s="1"/>
  <c r="U45" i="33"/>
  <c r="AB45" i="33"/>
  <c r="S41" i="33"/>
  <c r="J12" i="34"/>
  <c r="H12" i="34"/>
  <c r="F12" i="34"/>
  <c r="S12" i="34" s="1"/>
  <c r="AA34" i="40"/>
  <c r="S34" i="40"/>
  <c r="AB38" i="40"/>
  <c r="U38" i="40"/>
  <c r="AA19" i="33"/>
  <c r="AZ391" i="3"/>
  <c r="AZ346" i="3"/>
  <c r="AZ329" i="3"/>
  <c r="AA17" i="33"/>
  <c r="S37" i="21"/>
  <c r="D6" i="52"/>
  <c r="AA23" i="37"/>
  <c r="S17" i="37"/>
  <c r="AB28" i="36"/>
  <c r="W27" i="40"/>
  <c r="W43" i="33"/>
  <c r="U28" i="34"/>
  <c r="S43" i="34"/>
  <c r="W41" i="34"/>
  <c r="U23" i="37"/>
  <c r="U32" i="37"/>
  <c r="AB31" i="37"/>
  <c r="AA25" i="36"/>
  <c r="U21" i="40"/>
  <c r="AZ14" i="3"/>
  <c r="AC13" i="34"/>
  <c r="AZ334" i="3"/>
  <c r="AZ303" i="3"/>
  <c r="AZ347" i="3"/>
  <c r="AZ324" i="3"/>
  <c r="AZ549" i="3"/>
  <c r="AA11" i="39"/>
  <c r="AA41" i="39"/>
  <c r="H5" i="3"/>
  <c r="W44" i="21"/>
  <c r="AC45" i="33"/>
  <c r="F24" i="35"/>
  <c r="BL519" i="3"/>
  <c r="AZ519" i="3" s="1"/>
  <c r="BL531" i="3"/>
  <c r="AZ531" i="3" s="1"/>
  <c r="BL577" i="3"/>
  <c r="AZ577" i="3" s="1"/>
  <c r="BL583" i="3"/>
  <c r="AZ583" i="3" s="1"/>
  <c r="S44" i="34"/>
  <c r="AB46" i="34"/>
  <c r="H29" i="34"/>
  <c r="F44" i="21"/>
  <c r="S28" i="34"/>
  <c r="U34" i="21"/>
  <c r="AA9" i="40"/>
  <c r="S38" i="34"/>
  <c r="AA38" i="34"/>
  <c r="AZ419" i="3"/>
  <c r="BL511" i="3"/>
  <c r="AZ511" i="3" s="1"/>
  <c r="BL539" i="3"/>
  <c r="AZ539" i="3" s="1"/>
  <c r="BL543" i="3"/>
  <c r="AZ543" i="3" s="1"/>
  <c r="BL553" i="3"/>
  <c r="AZ553" i="3" s="1"/>
  <c r="AZ564" i="3"/>
  <c r="W40" i="33"/>
  <c r="AA27" i="35"/>
  <c r="S27" i="35"/>
  <c r="H23" i="36"/>
  <c r="J23" i="36"/>
  <c r="J39" i="40"/>
  <c r="H39" i="40"/>
  <c r="G566" i="3"/>
  <c r="G558" i="3"/>
  <c r="AZ407" i="3"/>
  <c r="AZ400" i="3"/>
  <c r="AZ402" i="3"/>
  <c r="AZ406" i="3"/>
  <c r="AZ413" i="3"/>
  <c r="AZ432" i="3"/>
  <c r="AZ443" i="3"/>
  <c r="AZ487" i="3"/>
  <c r="AZ270" i="3"/>
  <c r="C64" i="71"/>
  <c r="D64" i="71" s="1"/>
  <c r="D63" i="71"/>
  <c r="Y26" i="71"/>
  <c r="Z26" i="71" s="1"/>
  <c r="Y25" i="71"/>
  <c r="Z25" i="71" s="1"/>
  <c r="B79" i="43"/>
  <c r="H23" i="35"/>
  <c r="G551" i="3"/>
  <c r="BL550" i="3"/>
  <c r="G542" i="3"/>
  <c r="BL15" i="3"/>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BA464" i="3"/>
  <c r="AZ464" i="3" s="1"/>
  <c r="BA467" i="3"/>
  <c r="BA468" i="3"/>
  <c r="AZ468" i="3" s="1"/>
  <c r="BA486" i="3"/>
  <c r="BL316" i="3"/>
  <c r="BL324" i="3"/>
  <c r="BL328" i="3"/>
  <c r="AZ328" i="3" s="1"/>
  <c r="BL340" i="3"/>
  <c r="AZ340" i="3" s="1"/>
  <c r="BL346" i="3"/>
  <c r="BA366" i="3"/>
  <c r="AZ366" i="3" s="1"/>
  <c r="BL385" i="3"/>
  <c r="BA392" i="3"/>
  <c r="AZ392" i="3" s="1"/>
  <c r="BA397" i="3"/>
  <c r="AZ397" i="3" s="1"/>
  <c r="BL397" i="3"/>
  <c r="AZ301" i="3"/>
  <c r="AZ25" i="3"/>
  <c r="G585" i="3"/>
  <c r="BL587" i="3"/>
  <c r="AZ587" i="3" s="1"/>
  <c r="BL586" i="3"/>
  <c r="AZ586" i="3" s="1"/>
  <c r="G574" i="3"/>
  <c r="BL16" i="3"/>
  <c r="AZ16" i="3" s="1"/>
  <c r="BA401" i="3"/>
  <c r="AZ401" i="3" s="1"/>
  <c r="BA403" i="3"/>
  <c r="AZ403" i="3" s="1"/>
  <c r="BA404" i="3"/>
  <c r="AZ404" i="3" s="1"/>
  <c r="BA405" i="3"/>
  <c r="BL410" i="3"/>
  <c r="G412" i="3"/>
  <c r="G418" i="3"/>
  <c r="BA422" i="3"/>
  <c r="AZ422" i="3" s="1"/>
  <c r="G429" i="3"/>
  <c r="BL431" i="3"/>
  <c r="G433" i="3"/>
  <c r="BL434" i="3"/>
  <c r="G436" i="3"/>
  <c r="BL438" i="3"/>
  <c r="BL439" i="3"/>
  <c r="AZ439" i="3" s="1"/>
  <c r="BA441" i="3"/>
  <c r="AZ441" i="3" s="1"/>
  <c r="BL445" i="3"/>
  <c r="BL446" i="3"/>
  <c r="BL449" i="3"/>
  <c r="AZ449" i="3" s="1"/>
  <c r="BL450" i="3"/>
  <c r="BL452" i="3"/>
  <c r="G454" i="3"/>
  <c r="BL456" i="3"/>
  <c r="AZ456" i="3" s="1"/>
  <c r="BA465" i="3"/>
  <c r="AZ465" i="3" s="1"/>
  <c r="BL469" i="3"/>
  <c r="AZ469" i="3" s="1"/>
  <c r="BA476" i="3"/>
  <c r="AZ476" i="3" s="1"/>
  <c r="BA477" i="3"/>
  <c r="AZ477" i="3" s="1"/>
  <c r="BA478" i="3"/>
  <c r="BL480" i="3"/>
  <c r="AZ480" i="3" s="1"/>
  <c r="BA483" i="3"/>
  <c r="BL483" i="3"/>
  <c r="AZ483" i="3" s="1"/>
  <c r="BA488" i="3"/>
  <c r="AZ488" i="3" s="1"/>
  <c r="BL489" i="3"/>
  <c r="AZ489" i="3" s="1"/>
  <c r="BL491" i="3"/>
  <c r="AZ491" i="3" s="1"/>
  <c r="BL492" i="3"/>
  <c r="BA315" i="3"/>
  <c r="AZ315" i="3" s="1"/>
  <c r="BA333" i="3"/>
  <c r="BA354" i="3"/>
  <c r="BL383" i="3"/>
  <c r="AZ383" i="3" s="1"/>
  <c r="BA208" i="3"/>
  <c r="AZ208" i="3" s="1"/>
  <c r="BA212" i="3"/>
  <c r="AZ212" i="3" s="1"/>
  <c r="BL213" i="3"/>
  <c r="BL216" i="3"/>
  <c r="BA168" i="3"/>
  <c r="AZ168" i="3" s="1"/>
  <c r="BL175" i="3"/>
  <c r="AZ175" i="3" s="1"/>
  <c r="BA201" i="3"/>
  <c r="AZ201" i="3" s="1"/>
  <c r="G398" i="3"/>
  <c r="BL400" i="3"/>
  <c r="BL408" i="3"/>
  <c r="AZ408" i="3" s="1"/>
  <c r="BL411" i="3"/>
  <c r="AZ411" i="3" s="1"/>
  <c r="BL413" i="3"/>
  <c r="G415" i="3"/>
  <c r="BL417" i="3"/>
  <c r="AZ417" i="3" s="1"/>
  <c r="BL418" i="3"/>
  <c r="BL420" i="3"/>
  <c r="G422" i="3"/>
  <c r="BL424" i="3"/>
  <c r="G426" i="3"/>
  <c r="BL428" i="3"/>
  <c r="AZ428" i="3" s="1"/>
  <c r="BL429" i="3"/>
  <c r="AZ429" i="3" s="1"/>
  <c r="BL432" i="3"/>
  <c r="BL435" i="3"/>
  <c r="BL436" i="3"/>
  <c r="BA439" i="3"/>
  <c r="BA440" i="3"/>
  <c r="AZ440" i="3" s="1"/>
  <c r="BA442" i="3"/>
  <c r="AZ442" i="3" s="1"/>
  <c r="BA445" i="3"/>
  <c r="BA447" i="3"/>
  <c r="AZ447" i="3" s="1"/>
  <c r="BA449" i="3"/>
  <c r="BL453" i="3"/>
  <c r="AZ453" i="3" s="1"/>
  <c r="BL454" i="3"/>
  <c r="BL459" i="3"/>
  <c r="AZ462" i="3"/>
  <c r="G466" i="3"/>
  <c r="BL466" i="3"/>
  <c r="AZ466" i="3" s="1"/>
  <c r="G468" i="3"/>
  <c r="BL470" i="3"/>
  <c r="G472" i="3"/>
  <c r="BA210" i="3"/>
  <c r="BL210" i="3"/>
  <c r="BL214" i="3"/>
  <c r="AZ214" i="3" s="1"/>
  <c r="BL269" i="3"/>
  <c r="BA293" i="3"/>
  <c r="AZ137" i="3"/>
  <c r="BL158" i="3"/>
  <c r="BL198" i="3"/>
  <c r="BL460" i="3"/>
  <c r="BL461" i="3"/>
  <c r="BL463" i="3"/>
  <c r="AZ463" i="3" s="1"/>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9" i="3"/>
  <c r="G140" i="3"/>
  <c r="BL141" i="3"/>
  <c r="BL143" i="3"/>
  <c r="AZ143" i="3" s="1"/>
  <c r="G146" i="3"/>
  <c r="G147" i="3"/>
  <c r="G154" i="3"/>
  <c r="G156" i="3"/>
  <c r="BL157" i="3"/>
  <c r="AZ157" i="3" s="1"/>
  <c r="BL159" i="3"/>
  <c r="AZ159" i="3" s="1"/>
  <c r="G160" i="3"/>
  <c r="BL177" i="3"/>
  <c r="AZ177" i="3" s="1"/>
  <c r="G179" i="3"/>
  <c r="BL183" i="3"/>
  <c r="AZ183" i="3" s="1"/>
  <c r="BA186" i="3"/>
  <c r="AZ186" i="3" s="1"/>
  <c r="BL191" i="3"/>
  <c r="AZ191" i="3" s="1"/>
  <c r="BA193" i="3"/>
  <c r="BA196" i="3"/>
  <c r="AZ196" i="3" s="1"/>
  <c r="G203" i="3"/>
  <c r="BA205" i="3"/>
  <c r="AZ205" i="3" s="1"/>
  <c r="BA18" i="3"/>
  <c r="G21" i="3"/>
  <c r="BL21" i="3"/>
  <c r="AZ21" i="3" s="1"/>
  <c r="G26" i="3"/>
  <c r="G42" i="3"/>
  <c r="BA47" i="3"/>
  <c r="AZ47" i="3" s="1"/>
  <c r="BA62" i="3"/>
  <c r="AZ62" i="3" s="1"/>
  <c r="BA67" i="3"/>
  <c r="AZ67" i="3" s="1"/>
  <c r="T32" i="71"/>
  <c r="D32" i="71"/>
  <c r="X33" i="71"/>
  <c r="X34" i="71"/>
  <c r="X26" i="71"/>
  <c r="X36" i="71"/>
  <c r="X35" i="71"/>
  <c r="AB37" i="71"/>
  <c r="AB35" i="71"/>
  <c r="F38" i="71"/>
  <c r="F39" i="71" s="1"/>
  <c r="F40" i="71" s="1"/>
  <c r="V40" i="71" s="1"/>
  <c r="AB32" i="71"/>
  <c r="AB27" i="71"/>
  <c r="C47" i="71"/>
  <c r="D47" i="71" s="1"/>
  <c r="D46" i="71"/>
  <c r="BA222" i="3"/>
  <c r="AZ222" i="3" s="1"/>
  <c r="BA224" i="3"/>
  <c r="AZ224" i="3" s="1"/>
  <c r="BA226" i="3"/>
  <c r="AZ226" i="3" s="1"/>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BL292" i="3"/>
  <c r="BA294" i="3"/>
  <c r="AZ294" i="3" s="1"/>
  <c r="BL295" i="3"/>
  <c r="BA298" i="3"/>
  <c r="AZ298" i="3" s="1"/>
  <c r="BL301" i="3"/>
  <c r="BL302" i="3"/>
  <c r="AZ302" i="3" s="1"/>
  <c r="BA114" i="3"/>
  <c r="BL123" i="3"/>
  <c r="AZ123" i="3" s="1"/>
  <c r="BA128" i="3"/>
  <c r="AZ128" i="3" s="1"/>
  <c r="BL134" i="3"/>
  <c r="AZ134" i="3" s="1"/>
  <c r="BL137" i="3"/>
  <c r="BA146" i="3"/>
  <c r="AZ146" i="3" s="1"/>
  <c r="BA150" i="3"/>
  <c r="AZ150" i="3" s="1"/>
  <c r="BL167" i="3"/>
  <c r="AZ167" i="3" s="1"/>
  <c r="BL178" i="3"/>
  <c r="BA180" i="3"/>
  <c r="AZ180" i="3" s="1"/>
  <c r="BL182" i="3"/>
  <c r="AZ182" i="3" s="1"/>
  <c r="BA185" i="3"/>
  <c r="AZ185" i="3" s="1"/>
  <c r="G206" i="3"/>
  <c r="BL206" i="3"/>
  <c r="BA207" i="3"/>
  <c r="BL24" i="3"/>
  <c r="G29" i="3"/>
  <c r="BL29" i="3"/>
  <c r="AZ29" i="3" s="1"/>
  <c r="G41" i="3"/>
  <c r="BL44" i="3"/>
  <c r="AZ52" i="3"/>
  <c r="BA72" i="3"/>
  <c r="AZ72" i="3" s="1"/>
  <c r="BA78" i="3"/>
  <c r="C52" i="71"/>
  <c r="D51" i="71"/>
  <c r="G473" i="3"/>
  <c r="BL473" i="3"/>
  <c r="AZ473" i="3" s="1"/>
  <c r="BL474" i="3"/>
  <c r="G475" i="3"/>
  <c r="BA482" i="3"/>
  <c r="BA484" i="3"/>
  <c r="AZ484" i="3" s="1"/>
  <c r="G491" i="3"/>
  <c r="BA303" i="3"/>
  <c r="BA307" i="3"/>
  <c r="AZ307" i="3" s="1"/>
  <c r="G311" i="3"/>
  <c r="BL314" i="3"/>
  <c r="AZ314" i="3" s="1"/>
  <c r="G315" i="3"/>
  <c r="BA332" i="3"/>
  <c r="AZ332" i="3" s="1"/>
  <c r="BL332" i="3"/>
  <c r="G339" i="3"/>
  <c r="G364" i="3"/>
  <c r="BA367" i="3"/>
  <c r="AZ367" i="3" s="1"/>
  <c r="BA370" i="3"/>
  <c r="BA386" i="3"/>
  <c r="AZ386" i="3" s="1"/>
  <c r="G397" i="3"/>
  <c r="G210" i="3"/>
  <c r="BA216" i="3"/>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G190" i="3"/>
  <c r="BL193" i="3"/>
  <c r="G194" i="3"/>
  <c r="BL194" i="3"/>
  <c r="AZ194" i="3" s="1"/>
  <c r="BA198" i="3"/>
  <c r="AZ198" i="3" s="1"/>
  <c r="G204" i="3"/>
  <c r="BL23" i="3"/>
  <c r="G32" i="3"/>
  <c r="BA55" i="3"/>
  <c r="AZ55" i="3" s="1"/>
  <c r="BA65" i="3"/>
  <c r="AZ65" i="3" s="1"/>
  <c r="F40" i="69"/>
  <c r="C40" i="69"/>
  <c r="U21" i="33"/>
  <c r="AB21" i="33"/>
  <c r="C55" i="71"/>
  <c r="D54" i="71"/>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BA42" i="3"/>
  <c r="G47" i="3"/>
  <c r="BL48" i="3"/>
  <c r="BL54" i="3"/>
  <c r="BL55" i="3"/>
  <c r="G58" i="3"/>
  <c r="BA59" i="3"/>
  <c r="BL61" i="3"/>
  <c r="G64" i="3"/>
  <c r="BA64" i="3"/>
  <c r="AZ64" i="3" s="1"/>
  <c r="G67" i="3"/>
  <c r="BL68" i="3"/>
  <c r="AZ68" i="3" s="1"/>
  <c r="BA69" i="3"/>
  <c r="AZ69" i="3" s="1"/>
  <c r="G72" i="3"/>
  <c r="BL73" i="3"/>
  <c r="BA74" i="3"/>
  <c r="AZ74" i="3" s="1"/>
  <c r="BA75" i="3"/>
  <c r="AZ75" i="3" s="1"/>
  <c r="G81" i="3"/>
  <c r="G85" i="3"/>
  <c r="BL85" i="3"/>
  <c r="BA86" i="3"/>
  <c r="AZ86" i="3" s="1"/>
  <c r="BA87" i="3"/>
  <c r="AZ87" i="3" s="1"/>
  <c r="BA89" i="3"/>
  <c r="BL92" i="3"/>
  <c r="BL96" i="3"/>
  <c r="BL97" i="3"/>
  <c r="AZ97" i="3" s="1"/>
  <c r="BL101" i="3"/>
  <c r="BL102" i="3"/>
  <c r="BA104" i="3"/>
  <c r="F3" i="35"/>
  <c r="AB25" i="71"/>
  <c r="AB28" i="71"/>
  <c r="AB26" i="71"/>
  <c r="Y30" i="71"/>
  <c r="Z30" i="71" s="1"/>
  <c r="C34" i="71"/>
  <c r="Y28" i="71"/>
  <c r="Z28" i="71" s="1"/>
  <c r="C23" i="71"/>
  <c r="B22" i="71"/>
  <c r="B21" i="71" s="1"/>
  <c r="B20" i="71" s="1"/>
  <c r="AA3" i="71"/>
  <c r="BA19" i="3"/>
  <c r="AZ19" i="3" s="1"/>
  <c r="G22" i="3"/>
  <c r="G24" i="3"/>
  <c r="G25" i="3"/>
  <c r="BA27" i="3"/>
  <c r="G30" i="3"/>
  <c r="BL30" i="3"/>
  <c r="AZ30" i="3" s="1"/>
  <c r="BL31" i="3"/>
  <c r="G35" i="3"/>
  <c r="G36" i="3"/>
  <c r="G40" i="3"/>
  <c r="BL40" i="3"/>
  <c r="BL41" i="3"/>
  <c r="G45" i="3"/>
  <c r="BL45" i="3"/>
  <c r="BA48" i="3"/>
  <c r="BA49" i="3"/>
  <c r="AZ49" i="3" s="1"/>
  <c r="BA51" i="3"/>
  <c r="G54" i="3"/>
  <c r="G55" i="3"/>
  <c r="BL56" i="3"/>
  <c r="BA58" i="3"/>
  <c r="BL59" i="3"/>
  <c r="BL60" i="3"/>
  <c r="BA61" i="3"/>
  <c r="AZ61" i="3" s="1"/>
  <c r="BA68" i="3"/>
  <c r="BA73" i="3"/>
  <c r="AZ73" i="3" s="1"/>
  <c r="BA80" i="3"/>
  <c r="BL84" i="3"/>
  <c r="BL88" i="3"/>
  <c r="AZ88" i="3" s="1"/>
  <c r="BL90" i="3"/>
  <c r="AZ90" i="3" s="1"/>
  <c r="AZ103" i="3"/>
  <c r="B13" i="1"/>
  <c r="E13" i="1" s="1"/>
  <c r="K13" i="1"/>
  <c r="M13" i="1" s="1"/>
  <c r="O13" i="1" s="1"/>
  <c r="P13" i="1" s="1"/>
  <c r="T44" i="71"/>
  <c r="P65" i="71"/>
  <c r="P66" i="71"/>
  <c r="F28" i="71"/>
  <c r="F27" i="71" s="1"/>
  <c r="F26" i="71" s="1"/>
  <c r="C40" i="71"/>
  <c r="E39" i="71"/>
  <c r="E40" i="71" s="1"/>
  <c r="U40" i="71" s="1"/>
  <c r="E59" i="71"/>
  <c r="E60" i="71" s="1"/>
  <c r="U60" i="71" s="1"/>
  <c r="T76" i="71"/>
  <c r="D76" i="71"/>
  <c r="C75" i="71"/>
  <c r="BA37" i="3"/>
  <c r="G39" i="3"/>
  <c r="BL39" i="3"/>
  <c r="AZ39" i="3" s="1"/>
  <c r="BA45" i="3"/>
  <c r="BA46" i="3"/>
  <c r="BL49" i="3"/>
  <c r="BL50" i="3"/>
  <c r="AZ50" i="3" s="1"/>
  <c r="BL51" i="3"/>
  <c r="G53" i="3"/>
  <c r="BL53" i="3"/>
  <c r="AZ53" i="3" s="1"/>
  <c r="BA56" i="3"/>
  <c r="AZ56" i="3" s="1"/>
  <c r="BA57" i="3"/>
  <c r="AZ57" i="3" s="1"/>
  <c r="BL58" i="3"/>
  <c r="BA60" i="3"/>
  <c r="BA63" i="3"/>
  <c r="AZ63" i="3" s="1"/>
  <c r="BA66" i="3"/>
  <c r="AZ66" i="3" s="1"/>
  <c r="BA71" i="3"/>
  <c r="AZ71" i="3" s="1"/>
  <c r="G76" i="3"/>
  <c r="BL77" i="3"/>
  <c r="AZ77" i="3" s="1"/>
  <c r="BA79" i="3"/>
  <c r="AZ79" i="3" s="1"/>
  <c r="G82" i="3"/>
  <c r="G83" i="3"/>
  <c r="BA84" i="3"/>
  <c r="AZ84" i="3" s="1"/>
  <c r="BA92" i="3"/>
  <c r="G101" i="3"/>
  <c r="BA101" i="3"/>
  <c r="AZ101" i="3" s="1"/>
  <c r="G106" i="3"/>
  <c r="BL106" i="3"/>
  <c r="BA108" i="3"/>
  <c r="AZ108" i="3" s="1"/>
  <c r="BL111" i="3"/>
  <c r="W21" i="21"/>
  <c r="AB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G109" i="3"/>
  <c r="BL112" i="3"/>
  <c r="W18" i="35"/>
  <c r="U25" i="40"/>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AC21" i="37"/>
  <c r="U21" i="34"/>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I24" i="84" s="1"/>
  <c r="C24" i="84" s="1"/>
  <c r="F10" i="1"/>
  <c r="G10" i="1" s="1"/>
  <c r="F8" i="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5" i="3"/>
  <c r="AZ452" i="3"/>
  <c r="AZ467"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385" i="3"/>
  <c r="AZ220" i="3"/>
  <c r="AZ255" i="3"/>
  <c r="AZ293" i="3"/>
  <c r="BA472" i="3"/>
  <c r="AZ472" i="3" s="1"/>
  <c r="G476" i="3"/>
  <c r="AZ478" i="3"/>
  <c r="BA479" i="3"/>
  <c r="AZ479" i="3" s="1"/>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G248" i="3"/>
  <c r="AZ258" i="3"/>
  <c r="AZ260" i="3"/>
  <c r="BL268" i="3"/>
  <c r="AZ268" i="3" s="1"/>
  <c r="G278" i="3"/>
  <c r="BA474" i="3"/>
  <c r="BA475" i="3"/>
  <c r="AZ475" i="3" s="1"/>
  <c r="BL481" i="3"/>
  <c r="AZ481" i="3" s="1"/>
  <c r="BL482" i="3"/>
  <c r="G483" i="3"/>
  <c r="BL485" i="3"/>
  <c r="AZ485" i="3" s="1"/>
  <c r="BL486" i="3"/>
  <c r="AZ486" i="3" s="1"/>
  <c r="G487" i="3"/>
  <c r="BA492" i="3"/>
  <c r="BL363" i="3"/>
  <c r="AZ363" i="3" s="1"/>
  <c r="G369" i="3"/>
  <c r="BL393" i="3"/>
  <c r="AZ393" i="3" s="1"/>
  <c r="BL396" i="3"/>
  <c r="BL209" i="3"/>
  <c r="AZ209" i="3" s="1"/>
  <c r="G240" i="3"/>
  <c r="G242" i="3"/>
  <c r="G245" i="3"/>
  <c r="BL246" i="3"/>
  <c r="AZ246" i="3" s="1"/>
  <c r="BL253" i="3"/>
  <c r="AZ253" i="3" s="1"/>
  <c r="BA261" i="3"/>
  <c r="AZ261" i="3" s="1"/>
  <c r="BA264" i="3"/>
  <c r="AZ264" i="3" s="1"/>
  <c r="BA266" i="3"/>
  <c r="AZ266" i="3" s="1"/>
  <c r="G272" i="3"/>
  <c r="G275" i="3"/>
  <c r="BL276" i="3"/>
  <c r="AZ276" i="3" s="1"/>
  <c r="BL279" i="3"/>
  <c r="BL281" i="3"/>
  <c r="AZ281" i="3" s="1"/>
  <c r="BA285" i="3"/>
  <c r="BA287" i="3"/>
  <c r="AZ287" i="3" s="1"/>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6" i="3"/>
  <c r="AZ60" i="3"/>
  <c r="BA206" i="3"/>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G30" i="6"/>
  <c r="G31" i="6" s="1"/>
  <c r="L19" i="6"/>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M7" i="15"/>
  <c r="J6" i="15" s="1"/>
  <c r="F50" i="15"/>
  <c r="F51" i="15"/>
  <c r="F71" i="15"/>
  <c r="C6" i="15"/>
  <c r="F66" i="67"/>
  <c r="L59" i="15"/>
  <c r="N59" i="15"/>
  <c r="M59" i="15"/>
  <c r="F66" i="15"/>
  <c r="F64" i="15"/>
  <c r="D103" i="9"/>
  <c r="C27" i="67"/>
  <c r="C27" i="15"/>
  <c r="F65" i="15"/>
  <c r="G20" i="9"/>
  <c r="C103" i="9"/>
  <c r="B13" i="70"/>
  <c r="F68" i="67"/>
  <c r="F64" i="67"/>
  <c r="F68" i="15"/>
  <c r="C36" i="68"/>
  <c r="D9" i="69"/>
  <c r="C36" i="69"/>
  <c r="D9" i="68"/>
  <c r="F7" i="67"/>
  <c r="F37" i="67"/>
  <c r="C76" i="67"/>
  <c r="F8" i="67"/>
  <c r="M6" i="67"/>
  <c r="M22" i="67"/>
  <c r="F13" i="67"/>
  <c r="M23" i="67"/>
  <c r="M26" i="67"/>
  <c r="D3" i="73"/>
  <c r="F43" i="67"/>
  <c r="L47" i="67"/>
  <c r="F6" i="67"/>
  <c r="L48" i="67"/>
  <c r="D4" i="73"/>
  <c r="F42" i="67"/>
  <c r="C16" i="15"/>
  <c r="M24" i="67"/>
  <c r="J15" i="67"/>
  <c r="F9" i="67"/>
  <c r="L48" i="15"/>
  <c r="D7" i="73"/>
  <c r="M29" i="67"/>
  <c r="D5" i="73"/>
  <c r="C38" i="84" l="1"/>
  <c r="T13" i="84"/>
  <c r="V13" i="84" s="1"/>
  <c r="T6" i="84"/>
  <c r="V6" i="84" s="1"/>
  <c r="T2" i="84"/>
  <c r="V2" i="84" s="1"/>
  <c r="C37" i="84"/>
  <c r="T12" i="84"/>
  <c r="V12" i="84" s="1"/>
  <c r="T10" i="84"/>
  <c r="V10" i="84" s="1"/>
  <c r="T7" i="84"/>
  <c r="V7" i="84" s="1"/>
  <c r="T14" i="84"/>
  <c r="V14" i="84" s="1"/>
  <c r="T11" i="84"/>
  <c r="V11" i="84" s="1"/>
  <c r="T9" i="84"/>
  <c r="V9" i="84" s="1"/>
  <c r="T15" i="84"/>
  <c r="V15" i="84" s="1"/>
  <c r="T5" i="84"/>
  <c r="V5" i="84" s="1"/>
  <c r="C40" i="84"/>
  <c r="C39" i="84"/>
  <c r="T16" i="84"/>
  <c r="V16" i="84" s="1"/>
  <c r="T8" i="84"/>
  <c r="V8" i="84" s="1"/>
  <c r="T4" i="84"/>
  <c r="V4" i="84" s="1"/>
  <c r="T3" i="84"/>
  <c r="V3" i="84" s="1"/>
  <c r="C33" i="84"/>
  <c r="J53" i="15"/>
  <c r="L56" i="15" s="1"/>
  <c r="J57" i="15"/>
  <c r="J55" i="15" s="1"/>
  <c r="J58" i="15" s="1"/>
  <c r="Q50" i="15" s="1"/>
  <c r="L58" i="15"/>
  <c r="Q73" i="15" s="1"/>
  <c r="I54" i="15"/>
  <c r="G9" i="1"/>
  <c r="G8" i="1"/>
  <c r="I24" i="81"/>
  <c r="C24" i="81" s="1"/>
  <c r="C37" i="82"/>
  <c r="C40" i="82"/>
  <c r="C39" i="82"/>
  <c r="C38" i="82"/>
  <c r="T10" i="82"/>
  <c r="V10" i="82" s="1"/>
  <c r="T6" i="82"/>
  <c r="V6" i="82" s="1"/>
  <c r="T2" i="82"/>
  <c r="V2" i="82" s="1"/>
  <c r="T9" i="82"/>
  <c r="V9" i="82" s="1"/>
  <c r="T3" i="82"/>
  <c r="V3" i="82" s="1"/>
  <c r="T16" i="82"/>
  <c r="V16" i="82" s="1"/>
  <c r="T14" i="82"/>
  <c r="V14" i="82" s="1"/>
  <c r="C33" i="82"/>
  <c r="T15" i="82"/>
  <c r="V15" i="82" s="1"/>
  <c r="T12" i="82"/>
  <c r="V12" i="82" s="1"/>
  <c r="T8" i="82"/>
  <c r="V8" i="82" s="1"/>
  <c r="T13" i="82"/>
  <c r="V13" i="82" s="1"/>
  <c r="T11" i="82"/>
  <c r="V11" i="82" s="1"/>
  <c r="T4" i="82"/>
  <c r="V4" i="82" s="1"/>
  <c r="T5" i="82"/>
  <c r="V5" i="82" s="1"/>
  <c r="T7" i="82"/>
  <c r="V7" i="82" s="1"/>
  <c r="W25" i="33"/>
  <c r="H16" i="1"/>
  <c r="Q16" i="1"/>
  <c r="F27" i="69" s="1"/>
  <c r="C47" i="69" s="1"/>
  <c r="D45" i="69" s="1"/>
  <c r="K15" i="1"/>
  <c r="L20" i="6"/>
  <c r="L27" i="6" s="1"/>
  <c r="N370" i="46"/>
  <c r="E28" i="6"/>
  <c r="K14" i="1" s="1"/>
  <c r="K16" i="1" s="1"/>
  <c r="F26" i="43"/>
  <c r="F51" i="67"/>
  <c r="F71" i="67"/>
  <c r="Q71" i="67"/>
  <c r="F65" i="67"/>
  <c r="M7" i="67"/>
  <c r="J6" i="67" s="1"/>
  <c r="J18" i="67" s="1"/>
  <c r="F50" i="67"/>
  <c r="I54" i="67"/>
  <c r="J57" i="67"/>
  <c r="J55" i="67" s="1"/>
  <c r="J58" i="67" s="1"/>
  <c r="Q50" i="67" s="1"/>
  <c r="L56" i="67"/>
  <c r="J53" i="67"/>
  <c r="Q52" i="67" s="1"/>
  <c r="M59" i="67"/>
  <c r="L59" i="67"/>
  <c r="Q74" i="67" s="1"/>
  <c r="L58" i="67"/>
  <c r="Q60" i="67" s="1"/>
  <c r="N59" i="67"/>
  <c r="F31" i="67"/>
  <c r="C6" i="67"/>
  <c r="C32" i="67" s="1"/>
  <c r="G5" i="3"/>
  <c r="B3" i="3" s="1"/>
  <c r="E539" i="3" s="1"/>
  <c r="AZ41" i="3"/>
  <c r="T52" i="71"/>
  <c r="D52" i="71"/>
  <c r="AZ126" i="3"/>
  <c r="AZ263" i="3"/>
  <c r="AZ418" i="3"/>
  <c r="AC39" i="40"/>
  <c r="W39" i="40"/>
  <c r="AB29" i="34"/>
  <c r="U29" i="34"/>
  <c r="W12" i="34"/>
  <c r="AC12" i="34"/>
  <c r="AB24" i="35"/>
  <c r="U24" i="35"/>
  <c r="G26" i="43"/>
  <c r="AZ112" i="3"/>
  <c r="AZ482" i="3"/>
  <c r="E19" i="71"/>
  <c r="E18" i="71" s="1"/>
  <c r="E17" i="71" s="1"/>
  <c r="E16" i="71" s="1"/>
  <c r="N94" i="46"/>
  <c r="J26" i="43"/>
  <c r="P6" i="1"/>
  <c r="C13" i="12" s="1"/>
  <c r="AZ37" i="3"/>
  <c r="AZ279" i="3"/>
  <c r="AZ316" i="3"/>
  <c r="G16" i="1"/>
  <c r="F10" i="39" s="1"/>
  <c r="S10" i="39" s="1"/>
  <c r="D67" i="71"/>
  <c r="C66" i="71"/>
  <c r="O67" i="71"/>
  <c r="AZ45" i="3"/>
  <c r="D75" i="71"/>
  <c r="C74" i="71"/>
  <c r="D74" i="71" s="1"/>
  <c r="D34" i="71"/>
  <c r="C35" i="71"/>
  <c r="AZ59" i="3"/>
  <c r="AZ249" i="3"/>
  <c r="AZ216" i="3"/>
  <c r="AZ271" i="3"/>
  <c r="AZ238" i="3"/>
  <c r="AZ210" i="3"/>
  <c r="AZ405" i="3"/>
  <c r="AZ461" i="3"/>
  <c r="AZ454" i="3"/>
  <c r="AZ435" i="3"/>
  <c r="AC23" i="36"/>
  <c r="W23" i="36"/>
  <c r="W30" i="33"/>
  <c r="AC30" i="33"/>
  <c r="AZ550" i="3"/>
  <c r="AC12" i="33"/>
  <c r="W12" i="33"/>
  <c r="U45" i="34"/>
  <c r="AB45" i="34"/>
  <c r="S12" i="39"/>
  <c r="AA12" i="39"/>
  <c r="AB36" i="39"/>
  <c r="U36" i="39"/>
  <c r="AB9" i="34"/>
  <c r="U9" i="34"/>
  <c r="T40" i="71"/>
  <c r="D40" i="71"/>
  <c r="B19" i="71"/>
  <c r="B18" i="71" s="1"/>
  <c r="B17" i="71" s="1"/>
  <c r="B16" i="71" s="1"/>
  <c r="S20" i="71"/>
  <c r="U23" i="36"/>
  <c r="AB23" i="36"/>
  <c r="D17" i="53"/>
  <c r="B36" i="72" s="1"/>
  <c r="E26" i="43"/>
  <c r="AZ206" i="3"/>
  <c r="AZ44" i="3"/>
  <c r="AZ285" i="3"/>
  <c r="AZ396" i="3"/>
  <c r="AZ492" i="3"/>
  <c r="AZ474" i="3"/>
  <c r="AZ232" i="3"/>
  <c r="AZ333" i="3"/>
  <c r="AB12" i="33"/>
  <c r="C26" i="71"/>
  <c r="D26" i="71" s="1"/>
  <c r="D27" i="71"/>
  <c r="AZ58" i="3"/>
  <c r="AZ51" i="3"/>
  <c r="C22" i="71"/>
  <c r="D23" i="71"/>
  <c r="C56" i="71"/>
  <c r="D55" i="71"/>
  <c r="AZ251" i="3"/>
  <c r="AZ247" i="3"/>
  <c r="AZ121" i="3"/>
  <c r="AZ274" i="3"/>
  <c r="AZ223" i="3"/>
  <c r="AZ459" i="3"/>
  <c r="U23" i="35"/>
  <c r="AB23" i="35"/>
  <c r="U39" i="40"/>
  <c r="AB39" i="40"/>
  <c r="AA44" i="21"/>
  <c r="S44" i="21"/>
  <c r="AA24" i="35"/>
  <c r="S24" i="35"/>
  <c r="AB12" i="34"/>
  <c r="U12" i="34"/>
  <c r="U13" i="40"/>
  <c r="AB13" i="40"/>
  <c r="AZ536" i="3"/>
  <c r="S36" i="39"/>
  <c r="AA36" i="39"/>
  <c r="AC9" i="34"/>
  <c r="W9" i="34"/>
  <c r="AZ585" i="3"/>
  <c r="J7" i="37"/>
  <c r="K1" i="73"/>
  <c r="E95" i="3"/>
  <c r="E64" i="3"/>
  <c r="E233" i="3"/>
  <c r="E102" i="3"/>
  <c r="E408" i="3"/>
  <c r="E428" i="3"/>
  <c r="AH6" i="3"/>
  <c r="L6" i="3"/>
  <c r="E392" i="3"/>
  <c r="E365" i="3"/>
  <c r="E460" i="3"/>
  <c r="E24" i="3"/>
  <c r="E48" i="3"/>
  <c r="E297" i="3"/>
  <c r="E374" i="3"/>
  <c r="E187" i="3"/>
  <c r="E136" i="3"/>
  <c r="E474" i="3"/>
  <c r="E207" i="3"/>
  <c r="E547" i="3"/>
  <c r="E317" i="3"/>
  <c r="E523" i="3"/>
  <c r="E304" i="3"/>
  <c r="E303" i="3"/>
  <c r="E481" i="3"/>
  <c r="E203" i="3"/>
  <c r="E252" i="3"/>
  <c r="E166" i="3"/>
  <c r="E125" i="3"/>
  <c r="E239" i="3"/>
  <c r="E320" i="3"/>
  <c r="E415" i="3"/>
  <c r="E290" i="3"/>
  <c r="E85" i="3"/>
  <c r="E193" i="3"/>
  <c r="E562" i="3"/>
  <c r="E31" i="3"/>
  <c r="E107" i="3"/>
  <c r="E414" i="3"/>
  <c r="E186" i="3"/>
  <c r="E44" i="3"/>
  <c r="E343" i="3"/>
  <c r="E270" i="3"/>
  <c r="E538" i="3"/>
  <c r="E216" i="3"/>
  <c r="E183" i="3"/>
  <c r="E503" i="3"/>
  <c r="E91" i="3"/>
  <c r="E586" i="3"/>
  <c r="E124"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74" i="15"/>
  <c r="Q61" i="15"/>
  <c r="AE11" i="1"/>
  <c r="AE6" i="1"/>
  <c r="AE9" i="1"/>
  <c r="F27" i="68"/>
  <c r="AE7" i="1"/>
  <c r="AE8" i="1"/>
  <c r="AE12" i="1"/>
  <c r="AE10" i="1"/>
  <c r="C16" i="67"/>
  <c r="F41" i="67"/>
  <c r="G1" i="73"/>
  <c r="Q60" i="15" l="1"/>
  <c r="C34" i="84"/>
  <c r="E34" i="84" s="1"/>
  <c r="E33" i="84"/>
  <c r="G39" i="84"/>
  <c r="I39" i="84" s="1"/>
  <c r="E39" i="84"/>
  <c r="E40" i="84"/>
  <c r="G40" i="84"/>
  <c r="I40" i="84" s="1"/>
  <c r="E37" i="84"/>
  <c r="G37" i="84"/>
  <c r="I37" i="84" s="1"/>
  <c r="E38" i="84"/>
  <c r="G38" i="84"/>
  <c r="I38" i="84" s="1"/>
  <c r="F27" i="11"/>
  <c r="C29" i="11" s="1"/>
  <c r="D27" i="11" s="1"/>
  <c r="Q52" i="15"/>
  <c r="F1" i="15"/>
  <c r="G37" i="82"/>
  <c r="I37" i="82" s="1"/>
  <c r="E37" i="82"/>
  <c r="C34" i="82"/>
  <c r="E34" i="82" s="1"/>
  <c r="E33" i="82"/>
  <c r="G38" i="82"/>
  <c r="I38" i="82" s="1"/>
  <c r="E38" i="82"/>
  <c r="C40" i="81"/>
  <c r="C39" i="81"/>
  <c r="C38" i="81"/>
  <c r="C37" i="81"/>
  <c r="T7" i="81"/>
  <c r="V7" i="81" s="1"/>
  <c r="T3" i="81"/>
  <c r="V3" i="81" s="1"/>
  <c r="C33" i="81"/>
  <c r="T5" i="81"/>
  <c r="V5" i="81" s="1"/>
  <c r="T16" i="81"/>
  <c r="V16" i="81" s="1"/>
  <c r="T14" i="81"/>
  <c r="V14" i="81" s="1"/>
  <c r="T15" i="81"/>
  <c r="V15" i="81" s="1"/>
  <c r="T11" i="81"/>
  <c r="V11" i="81" s="1"/>
  <c r="T12" i="81"/>
  <c r="V12" i="81" s="1"/>
  <c r="T4" i="81"/>
  <c r="V4" i="81" s="1"/>
  <c r="T2" i="81"/>
  <c r="V2" i="81" s="1"/>
  <c r="T10" i="81"/>
  <c r="V10" i="81" s="1"/>
  <c r="T6" i="81"/>
  <c r="V6" i="81" s="1"/>
  <c r="T8" i="81"/>
  <c r="V8" i="81" s="1"/>
  <c r="T9" i="81"/>
  <c r="V9" i="81" s="1"/>
  <c r="T13" i="81"/>
  <c r="V13" i="81" s="1"/>
  <c r="E39" i="82"/>
  <c r="G39" i="82"/>
  <c r="I39" i="82" s="1"/>
  <c r="G40" i="82"/>
  <c r="I40" i="82" s="1"/>
  <c r="E40" i="82"/>
  <c r="M14" i="1"/>
  <c r="O14" i="1" s="1"/>
  <c r="O16" i="1" s="1"/>
  <c r="F45" i="69"/>
  <c r="C29" i="69"/>
  <c r="D27" i="69" s="1"/>
  <c r="F28" i="12"/>
  <c r="C29" i="12" s="1"/>
  <c r="D28" i="12" s="1"/>
  <c r="E400" i="3"/>
  <c r="E327" i="3"/>
  <c r="E227" i="3"/>
  <c r="E214" i="3"/>
  <c r="E454" i="3"/>
  <c r="E465" i="3"/>
  <c r="K6" i="3"/>
  <c r="AK6" i="3"/>
  <c r="E77" i="3"/>
  <c r="E301" i="3"/>
  <c r="E261" i="3"/>
  <c r="E555" i="3"/>
  <c r="E476" i="3"/>
  <c r="E111" i="3"/>
  <c r="E293" i="3"/>
  <c r="E151" i="3"/>
  <c r="E581" i="3"/>
  <c r="E434" i="3"/>
  <c r="E328" i="3"/>
  <c r="E168" i="3"/>
  <c r="AD6" i="3"/>
  <c r="E500" i="3"/>
  <c r="E340" i="3"/>
  <c r="E16" i="3"/>
  <c r="AL6" i="3"/>
  <c r="E442" i="3"/>
  <c r="D26" i="43"/>
  <c r="C25" i="43" s="1"/>
  <c r="C33" i="43" s="1"/>
  <c r="E399" i="3"/>
  <c r="E350" i="3"/>
  <c r="E180" i="3"/>
  <c r="E528" i="3"/>
  <c r="E231" i="3"/>
  <c r="E561" i="3"/>
  <c r="E143" i="3"/>
  <c r="E388" i="3"/>
  <c r="E530" i="3"/>
  <c r="E384" i="3"/>
  <c r="E162" i="3"/>
  <c r="AS6" i="3"/>
  <c r="E478" i="3"/>
  <c r="E271" i="3"/>
  <c r="E318" i="3"/>
  <c r="E72" i="3"/>
  <c r="E527" i="3"/>
  <c r="E45" i="3"/>
  <c r="E453" i="3"/>
  <c r="E578" i="3"/>
  <c r="E117" i="3"/>
  <c r="E114" i="3"/>
  <c r="V6" i="3"/>
  <c r="E229" i="3"/>
  <c r="N6" i="3"/>
  <c r="E30" i="3"/>
  <c r="E121" i="3"/>
  <c r="E558" i="3"/>
  <c r="E236" i="3"/>
  <c r="E73" i="3"/>
  <c r="E437" i="3"/>
  <c r="E238" i="3"/>
  <c r="E159" i="3"/>
  <c r="E237" i="3"/>
  <c r="S6" i="3"/>
  <c r="E426" i="3"/>
  <c r="E291" i="3"/>
  <c r="E367" i="3"/>
  <c r="E196" i="3"/>
  <c r="E54" i="3"/>
  <c r="E529" i="3"/>
  <c r="E461" i="3"/>
  <c r="E413" i="3"/>
  <c r="E179" i="3"/>
  <c r="E542" i="3"/>
  <c r="E436" i="3"/>
  <c r="E354" i="3"/>
  <c r="E416" i="3"/>
  <c r="E386" i="3"/>
  <c r="E566" i="3"/>
  <c r="E265" i="3"/>
  <c r="E289" i="3"/>
  <c r="E234" i="3"/>
  <c r="E276" i="3"/>
  <c r="E422" i="3"/>
  <c r="E158" i="3"/>
  <c r="E115" i="3"/>
  <c r="E405" i="3"/>
  <c r="E34" i="3"/>
  <c r="E198" i="3"/>
  <c r="E67" i="3"/>
  <c r="E409" i="3"/>
  <c r="E417" i="3"/>
  <c r="E575" i="3"/>
  <c r="E380" i="3"/>
  <c r="AR6" i="3"/>
  <c r="E337" i="3"/>
  <c r="E508" i="3"/>
  <c r="E175" i="3"/>
  <c r="E331" i="3"/>
  <c r="E27" i="3"/>
  <c r="E505" i="3"/>
  <c r="E515" i="3"/>
  <c r="E269" i="3"/>
  <c r="E351" i="3"/>
  <c r="E450" i="3"/>
  <c r="E458" i="3"/>
  <c r="E99" i="3"/>
  <c r="E583" i="3"/>
  <c r="E382" i="3"/>
  <c r="E550" i="3"/>
  <c r="E230" i="3"/>
  <c r="E551" i="3"/>
  <c r="E396" i="3"/>
  <c r="E553" i="3"/>
  <c r="E334" i="3"/>
  <c r="E88" i="3"/>
  <c r="E448" i="3"/>
  <c r="E580" i="3"/>
  <c r="E429" i="3"/>
  <c r="E177" i="3"/>
  <c r="E280" i="3"/>
  <c r="E302" i="3"/>
  <c r="E321" i="3"/>
  <c r="E285" i="3"/>
  <c r="E319" i="3"/>
  <c r="E92" i="3"/>
  <c r="E411" i="3"/>
  <c r="E14" i="3"/>
  <c r="E537" i="3"/>
  <c r="E224" i="3"/>
  <c r="E127" i="3"/>
  <c r="E87" i="3"/>
  <c r="E163" i="3"/>
  <c r="E584" i="3"/>
  <c r="E149" i="3"/>
  <c r="E446" i="3"/>
  <c r="E244" i="3"/>
  <c r="E58" i="3"/>
  <c r="E141" i="3"/>
  <c r="E62" i="3"/>
  <c r="E112" i="3"/>
  <c r="E38" i="3"/>
  <c r="E108" i="3"/>
  <c r="E543" i="3"/>
  <c r="E49" i="3"/>
  <c r="E420" i="3"/>
  <c r="E173" i="3"/>
  <c r="E235" i="3"/>
  <c r="E309" i="3"/>
  <c r="E310" i="3"/>
  <c r="E389" i="3"/>
  <c r="E554" i="3"/>
  <c r="E536" i="3"/>
  <c r="E3" i="6"/>
  <c r="E495" i="3"/>
  <c r="E134" i="3"/>
  <c r="E361" i="3"/>
  <c r="E185" i="3"/>
  <c r="E439" i="3"/>
  <c r="E533" i="3"/>
  <c r="E410" i="3"/>
  <c r="E305" i="3"/>
  <c r="E441" i="3"/>
  <c r="E210" i="3"/>
  <c r="E447" i="3"/>
  <c r="E477" i="3"/>
  <c r="E585" i="3"/>
  <c r="E549" i="3"/>
  <c r="E150" i="3"/>
  <c r="E571" i="3"/>
  <c r="E573" i="3"/>
  <c r="E314" i="3"/>
  <c r="E336" i="3"/>
  <c r="E245" i="3"/>
  <c r="E395" i="3"/>
  <c r="E294" i="3"/>
  <c r="E559" i="3"/>
  <c r="E516" i="3"/>
  <c r="E366" i="3"/>
  <c r="E316" i="3"/>
  <c r="E444" i="3"/>
  <c r="AG6" i="3"/>
  <c r="E394" i="3"/>
  <c r="AE6" i="3"/>
  <c r="E120" i="3"/>
  <c r="E353" i="3"/>
  <c r="E17" i="3"/>
  <c r="E338" i="3"/>
  <c r="E359" i="3"/>
  <c r="E53" i="3"/>
  <c r="E71" i="3"/>
  <c r="U6" i="3"/>
  <c r="E357" i="3"/>
  <c r="W6" i="3"/>
  <c r="E157" i="3"/>
  <c r="E307" i="3"/>
  <c r="E195" i="3"/>
  <c r="E462" i="3"/>
  <c r="E266" i="3"/>
  <c r="E323" i="3"/>
  <c r="E110" i="3"/>
  <c r="E222" i="3"/>
  <c r="E348" i="3"/>
  <c r="E165" i="3"/>
  <c r="E20" i="3"/>
  <c r="E36" i="3"/>
  <c r="E473" i="3"/>
  <c r="E401" i="3"/>
  <c r="E105" i="3"/>
  <c r="E220" i="3"/>
  <c r="E497" i="3"/>
  <c r="E22" i="3"/>
  <c r="E18" i="3"/>
  <c r="E63" i="3"/>
  <c r="E267" i="3"/>
  <c r="E241" i="3"/>
  <c r="E449" i="3"/>
  <c r="J5" i="67"/>
  <c r="J24" i="67" s="1"/>
  <c r="AA10" i="39"/>
  <c r="H10" i="39"/>
  <c r="U10" i="39" s="1"/>
  <c r="H10" i="40"/>
  <c r="AB10" i="40" s="1"/>
  <c r="J10" i="39"/>
  <c r="W10" i="39" s="1"/>
  <c r="F10" i="40"/>
  <c r="S10" i="40" s="1"/>
  <c r="J10" i="40"/>
  <c r="AC10" i="40" s="1"/>
  <c r="Q73" i="67"/>
  <c r="F1" i="67"/>
  <c r="M17" i="67"/>
  <c r="C49" i="67"/>
  <c r="Q61" i="67"/>
  <c r="F59" i="67"/>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36" i="71"/>
  <c r="D35" i="71"/>
  <c r="D22" i="71"/>
  <c r="C21" i="71"/>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O65" i="71"/>
  <c r="D66" i="71"/>
  <c r="O6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C35" i="9"/>
  <c r="M27" i="67"/>
  <c r="F41" i="15"/>
  <c r="M27" i="15"/>
  <c r="C30" i="84" l="1"/>
  <c r="B2" i="84" s="1"/>
  <c r="B3" i="84" s="1"/>
  <c r="C31" i="84"/>
  <c r="L36" i="82"/>
  <c r="M36" i="82" s="1"/>
  <c r="L36" i="84"/>
  <c r="C30" i="82"/>
  <c r="B2" i="82" s="1"/>
  <c r="B3" i="82" s="1"/>
  <c r="G40" i="81"/>
  <c r="I40" i="81" s="1"/>
  <c r="E40" i="81"/>
  <c r="C31" i="82"/>
  <c r="G37" i="81"/>
  <c r="I37" i="81" s="1"/>
  <c r="E37" i="81"/>
  <c r="E39" i="81"/>
  <c r="G39" i="81"/>
  <c r="I39" i="81" s="1"/>
  <c r="AB10" i="39"/>
  <c r="C34" i="81"/>
  <c r="E34" i="81" s="1"/>
  <c r="E33" i="81"/>
  <c r="M44" i="80"/>
  <c r="N44" i="80" s="1"/>
  <c r="E38" i="81"/>
  <c r="G38" i="81"/>
  <c r="I38" i="81" s="1"/>
  <c r="V2" i="43"/>
  <c r="C34" i="43" s="1"/>
  <c r="E34" i="43" s="1"/>
  <c r="M43" i="80"/>
  <c r="N43" i="80" s="1"/>
  <c r="AC10" i="39"/>
  <c r="H6" i="3"/>
  <c r="AC6" i="3"/>
  <c r="L36" i="43"/>
  <c r="L37" i="43" s="1"/>
  <c r="P37" i="43" s="1"/>
  <c r="L36" i="81"/>
  <c r="W10" i="40"/>
  <c r="C48" i="67"/>
  <c r="C66" i="67" s="1"/>
  <c r="F22" i="11"/>
  <c r="C44" i="11" s="1"/>
  <c r="D41" i="11" s="1"/>
  <c r="F24" i="67"/>
  <c r="C24" i="67" s="1"/>
  <c r="F22" i="69"/>
  <c r="F41" i="69" s="1"/>
  <c r="F24" i="15"/>
  <c r="C24" i="15" s="1"/>
  <c r="F22" i="68"/>
  <c r="C26" i="68" s="1"/>
  <c r="D22" i="68" s="1"/>
  <c r="F25" i="12"/>
  <c r="C26" i="12" s="1"/>
  <c r="D25" i="12" s="1"/>
  <c r="I53" i="34"/>
  <c r="J53" i="34" s="1"/>
  <c r="I46" i="37"/>
  <c r="J46" i="37" s="1"/>
  <c r="T36" i="71"/>
  <c r="D36" i="71"/>
  <c r="D116" i="43"/>
  <c r="D21" i="71"/>
  <c r="C20" i="71"/>
  <c r="E49" i="34"/>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7" i="67"/>
  <c r="C14" i="67"/>
  <c r="C17" i="15"/>
  <c r="P36" i="82" l="1"/>
  <c r="N36" i="82"/>
  <c r="O36" i="82"/>
  <c r="L37" i="82"/>
  <c r="Q37" i="82" s="1"/>
  <c r="Q36" i="82"/>
  <c r="N36" i="84"/>
  <c r="L37" i="84"/>
  <c r="P36" i="84"/>
  <c r="Q36" i="84"/>
  <c r="O36" i="84"/>
  <c r="M36" i="84"/>
  <c r="C31" i="81"/>
  <c r="C30" i="81"/>
  <c r="B2" i="81" s="1"/>
  <c r="B3" i="81" s="1"/>
  <c r="D30" i="6"/>
  <c r="H24" i="6"/>
  <c r="E6" i="3"/>
  <c r="H22" i="6"/>
  <c r="O37" i="43"/>
  <c r="P36" i="43"/>
  <c r="M36" i="43"/>
  <c r="Q37" i="43"/>
  <c r="N36" i="43"/>
  <c r="M37" i="43"/>
  <c r="O36" i="43"/>
  <c r="N36" i="81"/>
  <c r="Q36" i="81"/>
  <c r="M36" i="81"/>
  <c r="L37" i="81"/>
  <c r="P36" i="81"/>
  <c r="O36" i="81"/>
  <c r="N37" i="43"/>
  <c r="Q36" i="43"/>
  <c r="C25" i="11"/>
  <c r="C26" i="69"/>
  <c r="D22" i="69" s="1"/>
  <c r="C60" i="67"/>
  <c r="H25" i="6"/>
  <c r="R25" i="6" s="1"/>
  <c r="R12" i="1" s="1"/>
  <c r="C44" i="69"/>
  <c r="D41" i="69" s="1"/>
  <c r="C24" i="11"/>
  <c r="C23" i="11"/>
  <c r="C22" i="11" s="1"/>
  <c r="C26" i="11"/>
  <c r="D22" i="11" s="1"/>
  <c r="C23" i="68"/>
  <c r="C44" i="68"/>
  <c r="D41" i="68" s="1"/>
  <c r="F41" i="68"/>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P37" i="82" l="1"/>
  <c r="O37" i="82"/>
  <c r="M37" i="82"/>
  <c r="N37" i="82"/>
  <c r="N37" i="84"/>
  <c r="P37" i="84"/>
  <c r="Q37" i="84"/>
  <c r="M37" i="84"/>
  <c r="O37" i="84"/>
  <c r="D31" i="6"/>
  <c r="N37" i="81"/>
  <c r="Q37" i="81"/>
  <c r="M37" i="81"/>
  <c r="P37" i="81"/>
  <c r="O37" i="81"/>
  <c r="C31" i="1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E52" i="21" s="1"/>
  <c r="F52"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6" i="1"/>
  <c r="AO7" i="1"/>
  <c r="AO9" i="1"/>
  <c r="AO8"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C86" i="9"/>
  <c r="C93" i="9"/>
  <c r="B22" i="72"/>
  <c r="D6" i="53"/>
  <c r="B32" i="72"/>
  <c r="D14" i="53"/>
  <c r="B51" i="72"/>
  <c r="F4" i="52"/>
  <c r="H5" i="52"/>
  <c r="H119" i="9"/>
  <c r="B21" i="72"/>
  <c r="D7" i="53"/>
  <c r="M54" i="9"/>
  <c r="D56" i="9"/>
  <c r="C97" i="9"/>
  <c r="D58" i="9"/>
  <c r="B52" i="72"/>
  <c r="G4" i="52"/>
  <c r="C80" i="9"/>
  <c r="E80" i="9"/>
  <c r="E81" i="9"/>
  <c r="D9" i="52"/>
  <c r="D123" i="9"/>
  <c r="G118" i="9"/>
  <c r="F118" i="9"/>
  <c r="F119" i="9"/>
  <c r="F5" i="52"/>
  <c r="B53" i="72"/>
  <c r="M48" i="9"/>
  <c r="D122" i="9"/>
  <c r="D8" i="52"/>
  <c r="N61" i="9"/>
  <c r="N59" i="9"/>
  <c r="N60" i="9"/>
  <c r="C68" i="9"/>
  <c r="D54" i="9"/>
  <c r="C6" i="74"/>
  <c r="D4" i="52"/>
  <c r="B47" i="72"/>
  <c r="E4" i="52"/>
  <c r="B48" i="72"/>
  <c r="C64" i="9"/>
  <c r="C63" i="9"/>
  <c r="C67" i="9"/>
  <c r="D59" i="9"/>
  <c r="M55" i="9"/>
  <c r="D53" i="9"/>
  <c r="D52" i="9"/>
  <c r="C85" i="9"/>
  <c r="C95" i="9"/>
  <c r="C96" i="9"/>
  <c r="E96" i="9"/>
  <c r="E97" i="9"/>
  <c r="N58" i="9"/>
  <c r="D55" i="9"/>
  <c r="M53" i="9"/>
  <c r="N57" i="9"/>
  <c r="P57" i="9"/>
  <c r="D5" i="53"/>
  <c r="B20" i="72"/>
  <c r="E118" i="9"/>
  <c r="D118" i="9"/>
  <c r="D119" i="9"/>
  <c r="D5" i="52"/>
  <c r="B49" i="72"/>
  <c r="C105" i="9"/>
  <c r="I4" i="52"/>
  <c r="C72" i="9"/>
  <c r="C79" i="9"/>
  <c r="C81" i="9"/>
  <c r="H108" i="9"/>
  <c r="D15" i="53"/>
  <c r="B31" i="72"/>
  <c r="H107" i="9"/>
  <c r="D13" i="53"/>
  <c r="B30" i="72"/>
  <c r="H102" i="9"/>
  <c r="C5" i="74"/>
  <c r="H101" i="9"/>
  <c r="D45" i="9"/>
  <c r="C78" i="9"/>
  <c r="C73"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D85C1848-18C1-4157-965A-06F93BFEC27F}">
      <text>
        <r>
          <rPr>
            <b/>
            <sz val="9"/>
            <color indexed="81"/>
            <rFont val="宋体"/>
            <family val="3"/>
            <charset val="134"/>
          </rPr>
          <t>对应区片地价表</t>
        </r>
        <r>
          <rPr>
            <sz val="9"/>
            <color indexed="81"/>
            <rFont val="宋体"/>
            <family val="3"/>
            <charset val="134"/>
          </rPr>
          <t xml:space="preserve">
</t>
        </r>
      </text>
    </comment>
    <comment ref="Y9" authorId="1" shapeId="0" xr:uid="{16FC479E-3607-494E-88F5-296F12FAAE22}">
      <text>
        <r>
          <rPr>
            <sz val="11"/>
            <color indexed="81"/>
            <rFont val="宋体"/>
            <family val="3"/>
            <charset val="134"/>
          </rPr>
          <t xml:space="preserve">录入层数，将对应的结果录入至左侧相应层的楼层修正系数单元格中
</t>
        </r>
      </text>
    </comment>
    <comment ref="C16" authorId="1" shapeId="0" xr:uid="{27CEB890-F3B7-4B61-B28D-E697CD93C9BC}">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4414EE71-5D72-443E-9469-07E70F8DD6EE}">
      <text>
        <r>
          <rPr>
            <sz val="12"/>
            <color indexed="81"/>
            <rFont val="宋体"/>
            <family val="3"/>
            <charset val="134"/>
          </rPr>
          <t>1.05~1.1</t>
        </r>
        <r>
          <rPr>
            <sz val="9"/>
            <color indexed="81"/>
            <rFont val="宋体"/>
            <family val="3"/>
            <charset val="134"/>
          </rPr>
          <t xml:space="preserve">
</t>
        </r>
      </text>
    </comment>
    <comment ref="E16" authorId="1" shapeId="0" xr:uid="{509CBC22-CD15-4BAC-8A39-73ACAEAB5A7A}">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F77B9BA1-AFFF-4D71-9988-1B61E3AE5A58}">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E0A6CB2C-9104-4470-AE59-D0B9BCD0AB37}">
      <text>
        <r>
          <rPr>
            <b/>
            <sz val="14"/>
            <color indexed="81"/>
            <rFont val="宋体"/>
            <family val="3"/>
            <charset val="134"/>
          </rPr>
          <t>工业选“中心城区”</t>
        </r>
        <r>
          <rPr>
            <sz val="9"/>
            <color indexed="81"/>
            <rFont val="宋体"/>
            <family val="3"/>
            <charset val="134"/>
          </rPr>
          <t xml:space="preserve">
</t>
        </r>
      </text>
    </comment>
    <comment ref="B35" authorId="4" shapeId="0" xr:uid="{62F37151-4811-42E3-9ADA-2E2EA97EE50D}">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795D2FF-A715-4377-90EC-1D4C10A807D5}">
      <text>
        <r>
          <rPr>
            <sz val="9"/>
            <color indexed="81"/>
            <rFont val="宋体"/>
            <family val="3"/>
            <charset val="134"/>
          </rPr>
          <t xml:space="preserve">需在此处填写剩余土地年限
</t>
        </r>
      </text>
    </comment>
    <comment ref="C111" authorId="0" shapeId="0" xr:uid="{6E96F8E8-C1A9-47B6-8DB7-7F9F7EB52BE1}">
      <text>
        <r>
          <rPr>
            <b/>
            <sz val="9"/>
            <color indexed="81"/>
            <rFont val="宋体"/>
            <family val="3"/>
            <charset val="134"/>
          </rPr>
          <t xml:space="preserve">所在楼层
</t>
        </r>
        <r>
          <rPr>
            <sz val="9"/>
            <color indexed="81"/>
            <rFont val="宋体"/>
            <family val="3"/>
            <charset val="134"/>
          </rPr>
          <t xml:space="preserve">
</t>
        </r>
      </text>
    </comment>
    <comment ref="D111" authorId="0" shapeId="0" xr:uid="{0DC33486-54B0-40E6-81AB-66E8DD950E9E}">
      <text>
        <r>
          <rPr>
            <b/>
            <sz val="9"/>
            <color indexed="81"/>
            <rFont val="宋体"/>
            <family val="3"/>
            <charset val="134"/>
          </rPr>
          <t xml:space="preserve">所在楼层
</t>
        </r>
        <r>
          <rPr>
            <sz val="9"/>
            <color indexed="81"/>
            <rFont val="宋体"/>
            <family val="3"/>
            <charset val="134"/>
          </rPr>
          <t xml:space="preserve">
</t>
        </r>
      </text>
    </comment>
    <comment ref="E111" authorId="0" shapeId="0" xr:uid="{D29D45C4-F119-4CE9-9475-8D122B351665}">
      <text>
        <r>
          <rPr>
            <b/>
            <sz val="9"/>
            <color indexed="81"/>
            <rFont val="宋体"/>
            <family val="3"/>
            <charset val="134"/>
          </rPr>
          <t xml:space="preserve">所在楼层
</t>
        </r>
        <r>
          <rPr>
            <sz val="9"/>
            <color indexed="81"/>
            <rFont val="宋体"/>
            <family val="3"/>
            <charset val="134"/>
          </rPr>
          <t xml:space="preserve">
</t>
        </r>
      </text>
    </comment>
    <comment ref="F111" authorId="0" shapeId="0" xr:uid="{B078CDBB-613C-4A5C-B84C-A407C356908E}">
      <text>
        <r>
          <rPr>
            <b/>
            <sz val="9"/>
            <color indexed="81"/>
            <rFont val="宋体"/>
            <family val="3"/>
            <charset val="134"/>
          </rPr>
          <t xml:space="preserve">所在楼层
</t>
        </r>
        <r>
          <rPr>
            <sz val="9"/>
            <color indexed="81"/>
            <rFont val="宋体"/>
            <family val="3"/>
            <charset val="134"/>
          </rPr>
          <t xml:space="preserve">
</t>
        </r>
      </text>
    </comment>
    <comment ref="G111" authorId="0" shapeId="0" xr:uid="{385250EF-4922-4FAC-9AE0-B95187C38AAD}">
      <text>
        <r>
          <rPr>
            <b/>
            <sz val="9"/>
            <color indexed="81"/>
            <rFont val="宋体"/>
            <family val="3"/>
            <charset val="134"/>
          </rPr>
          <t xml:space="preserve">所在楼层
</t>
        </r>
        <r>
          <rPr>
            <sz val="9"/>
            <color indexed="81"/>
            <rFont val="宋体"/>
            <family val="3"/>
            <charset val="134"/>
          </rPr>
          <t xml:space="preserve">
</t>
        </r>
      </text>
    </comment>
    <comment ref="H111" authorId="0" shapeId="0" xr:uid="{57AADBD8-09D8-414E-AE80-82F9133254AD}">
      <text>
        <r>
          <rPr>
            <b/>
            <sz val="9"/>
            <color indexed="81"/>
            <rFont val="宋体"/>
            <family val="3"/>
            <charset val="134"/>
          </rPr>
          <t xml:space="preserve">所在楼层
</t>
        </r>
        <r>
          <rPr>
            <sz val="9"/>
            <color indexed="81"/>
            <rFont val="宋体"/>
            <family val="3"/>
            <charset val="134"/>
          </rPr>
          <t xml:space="preserve">
</t>
        </r>
      </text>
    </comment>
    <comment ref="I111" authorId="0" shapeId="0" xr:uid="{12ADDDC0-5C2F-43E7-BEC6-F4AD0C1698FE}">
      <text>
        <r>
          <rPr>
            <b/>
            <sz val="9"/>
            <color indexed="81"/>
            <rFont val="宋体"/>
            <family val="3"/>
            <charset val="134"/>
          </rPr>
          <t xml:space="preserve">所在楼层
</t>
        </r>
        <r>
          <rPr>
            <sz val="9"/>
            <color indexed="81"/>
            <rFont val="宋体"/>
            <family val="3"/>
            <charset val="134"/>
          </rPr>
          <t xml:space="preserve">
</t>
        </r>
      </text>
    </comment>
    <comment ref="J111" authorId="0" shapeId="0" xr:uid="{72497031-231D-4FEB-A081-01137D4B3C14}">
      <text>
        <r>
          <rPr>
            <b/>
            <sz val="9"/>
            <color indexed="81"/>
            <rFont val="宋体"/>
            <family val="3"/>
            <charset val="134"/>
          </rPr>
          <t xml:space="preserve">所在楼层
</t>
        </r>
        <r>
          <rPr>
            <sz val="9"/>
            <color indexed="81"/>
            <rFont val="宋体"/>
            <family val="3"/>
            <charset val="134"/>
          </rPr>
          <t xml:space="preserve">
</t>
        </r>
      </text>
    </comment>
    <comment ref="K111" authorId="0" shapeId="0" xr:uid="{113BB7FB-25C9-4AE8-99CE-E534DE565915}">
      <text>
        <r>
          <rPr>
            <b/>
            <sz val="9"/>
            <color indexed="81"/>
            <rFont val="宋体"/>
            <family val="3"/>
            <charset val="134"/>
          </rPr>
          <t xml:space="preserve">所在楼层
</t>
        </r>
        <r>
          <rPr>
            <sz val="9"/>
            <color indexed="81"/>
            <rFont val="宋体"/>
            <family val="3"/>
            <charset val="134"/>
          </rPr>
          <t xml:space="preserve">
</t>
        </r>
      </text>
    </comment>
    <comment ref="L111" authorId="0" shapeId="0" xr:uid="{79703EAB-ACAA-427F-8BAB-176E063BB676}">
      <text>
        <r>
          <rPr>
            <b/>
            <sz val="9"/>
            <color indexed="81"/>
            <rFont val="宋体"/>
            <family val="3"/>
            <charset val="134"/>
          </rPr>
          <t xml:space="preserve">所在楼层
</t>
        </r>
        <r>
          <rPr>
            <sz val="9"/>
            <color indexed="81"/>
            <rFont val="宋体"/>
            <family val="3"/>
            <charset val="134"/>
          </rPr>
          <t xml:space="preserve">
</t>
        </r>
      </text>
    </comment>
    <comment ref="M111" authorId="0" shapeId="0" xr:uid="{B18EA4E2-977C-47B7-9A45-10D3B508B3F1}">
      <text>
        <r>
          <rPr>
            <b/>
            <sz val="9"/>
            <color indexed="81"/>
            <rFont val="宋体"/>
            <family val="3"/>
            <charset val="134"/>
          </rPr>
          <t xml:space="preserve">所在楼层
</t>
        </r>
        <r>
          <rPr>
            <sz val="9"/>
            <color indexed="81"/>
            <rFont val="宋体"/>
            <family val="3"/>
            <charset val="134"/>
          </rPr>
          <t xml:space="preserve">
</t>
        </r>
      </text>
    </comment>
    <comment ref="N111" authorId="0" shapeId="0" xr:uid="{5DB928CA-D9A7-4601-9FFA-4779D2E266D3}">
      <text>
        <r>
          <rPr>
            <b/>
            <sz val="9"/>
            <color indexed="81"/>
            <rFont val="宋体"/>
            <family val="3"/>
            <charset val="134"/>
          </rPr>
          <t xml:space="preserve">所在楼层
</t>
        </r>
        <r>
          <rPr>
            <sz val="9"/>
            <color indexed="81"/>
            <rFont val="宋体"/>
            <family val="3"/>
            <charset val="134"/>
          </rPr>
          <t xml:space="preserve">
</t>
        </r>
      </text>
    </comment>
    <comment ref="D116" authorId="0" shapeId="0" xr:uid="{16B1A9F4-DE30-4A06-A3AB-A43A2E331EC8}">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3F8B4A53-E628-4178-AF5C-62CFEF466E4A}">
      <text>
        <r>
          <rPr>
            <b/>
            <sz val="9"/>
            <color indexed="81"/>
            <rFont val="宋体"/>
            <family val="3"/>
            <charset val="134"/>
          </rPr>
          <t>对应区片地价表</t>
        </r>
        <r>
          <rPr>
            <sz val="9"/>
            <color indexed="81"/>
            <rFont val="宋体"/>
            <family val="3"/>
            <charset val="134"/>
          </rPr>
          <t xml:space="preserve">
</t>
        </r>
      </text>
    </comment>
    <comment ref="Y9" authorId="1" shapeId="0" xr:uid="{0D8078B3-EC5A-462C-BF17-A016CCDB59BD}">
      <text>
        <r>
          <rPr>
            <sz val="11"/>
            <color indexed="81"/>
            <rFont val="宋体"/>
            <family val="3"/>
            <charset val="134"/>
          </rPr>
          <t xml:space="preserve">录入层数，将对应的结果录入至左侧相应层的楼层修正系数单元格中
</t>
        </r>
      </text>
    </comment>
    <comment ref="C16" authorId="1" shapeId="0" xr:uid="{99A6A1D4-67AB-4E75-B0DE-537B7C7BDEF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46C99D6D-BE1D-43A5-B037-78E2AA75A246}">
      <text>
        <r>
          <rPr>
            <sz val="12"/>
            <color indexed="81"/>
            <rFont val="宋体"/>
            <family val="3"/>
            <charset val="134"/>
          </rPr>
          <t>1.05~1.1</t>
        </r>
        <r>
          <rPr>
            <sz val="9"/>
            <color indexed="81"/>
            <rFont val="宋体"/>
            <family val="3"/>
            <charset val="134"/>
          </rPr>
          <t xml:space="preserve">
</t>
        </r>
      </text>
    </comment>
    <comment ref="E16" authorId="1" shapeId="0" xr:uid="{A2418EE0-11EA-40D2-93D5-06E93756FE1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FBF8BE9F-8A7D-4E8A-A029-E0F5AA45D96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5BACACA6-5614-4338-8573-EEFA635EA69B}">
      <text>
        <r>
          <rPr>
            <b/>
            <sz val="14"/>
            <color indexed="81"/>
            <rFont val="宋体"/>
            <family val="3"/>
            <charset val="134"/>
          </rPr>
          <t>工业选“中心城区”</t>
        </r>
        <r>
          <rPr>
            <sz val="9"/>
            <color indexed="81"/>
            <rFont val="宋体"/>
            <family val="3"/>
            <charset val="134"/>
          </rPr>
          <t xml:space="preserve">
</t>
        </r>
      </text>
    </comment>
    <comment ref="B35" authorId="4" shapeId="0" xr:uid="{A718C26E-DF51-426D-B2E0-A32FF5F9D7EA}">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9D65CA6C-F1CA-433D-9FBB-F277C0530364}">
      <text>
        <r>
          <rPr>
            <sz val="9"/>
            <color indexed="81"/>
            <rFont val="宋体"/>
            <family val="3"/>
            <charset val="134"/>
          </rPr>
          <t xml:space="preserve">需在此处填写剩余土地年限
</t>
        </r>
      </text>
    </comment>
    <comment ref="C111" authorId="0" shapeId="0" xr:uid="{A0F8EC51-4FCC-45F2-9DF1-5E457FB7CE2B}">
      <text>
        <r>
          <rPr>
            <b/>
            <sz val="9"/>
            <color indexed="81"/>
            <rFont val="宋体"/>
            <family val="3"/>
            <charset val="134"/>
          </rPr>
          <t xml:space="preserve">所在楼层
</t>
        </r>
        <r>
          <rPr>
            <sz val="9"/>
            <color indexed="81"/>
            <rFont val="宋体"/>
            <family val="3"/>
            <charset val="134"/>
          </rPr>
          <t xml:space="preserve">
</t>
        </r>
      </text>
    </comment>
    <comment ref="D111" authorId="0" shapeId="0" xr:uid="{C574CDD4-78B0-4AAD-9828-36D6EB6F134B}">
      <text>
        <r>
          <rPr>
            <b/>
            <sz val="9"/>
            <color indexed="81"/>
            <rFont val="宋体"/>
            <family val="3"/>
            <charset val="134"/>
          </rPr>
          <t xml:space="preserve">所在楼层
</t>
        </r>
        <r>
          <rPr>
            <sz val="9"/>
            <color indexed="81"/>
            <rFont val="宋体"/>
            <family val="3"/>
            <charset val="134"/>
          </rPr>
          <t xml:space="preserve">
</t>
        </r>
      </text>
    </comment>
    <comment ref="E111" authorId="0" shapeId="0" xr:uid="{4864E46C-050A-4039-9C02-401E9C85A804}">
      <text>
        <r>
          <rPr>
            <b/>
            <sz val="9"/>
            <color indexed="81"/>
            <rFont val="宋体"/>
            <family val="3"/>
            <charset val="134"/>
          </rPr>
          <t xml:space="preserve">所在楼层
</t>
        </r>
        <r>
          <rPr>
            <sz val="9"/>
            <color indexed="81"/>
            <rFont val="宋体"/>
            <family val="3"/>
            <charset val="134"/>
          </rPr>
          <t xml:space="preserve">
</t>
        </r>
      </text>
    </comment>
    <comment ref="F111" authorId="0" shapeId="0" xr:uid="{20F799D2-ADFE-464B-B154-AA7317BA6E4F}">
      <text>
        <r>
          <rPr>
            <b/>
            <sz val="9"/>
            <color indexed="81"/>
            <rFont val="宋体"/>
            <family val="3"/>
            <charset val="134"/>
          </rPr>
          <t xml:space="preserve">所在楼层
</t>
        </r>
        <r>
          <rPr>
            <sz val="9"/>
            <color indexed="81"/>
            <rFont val="宋体"/>
            <family val="3"/>
            <charset val="134"/>
          </rPr>
          <t xml:space="preserve">
</t>
        </r>
      </text>
    </comment>
    <comment ref="G111" authorId="0" shapeId="0" xr:uid="{02C7B794-07F4-4B38-BB80-B3877850E46B}">
      <text>
        <r>
          <rPr>
            <b/>
            <sz val="9"/>
            <color indexed="81"/>
            <rFont val="宋体"/>
            <family val="3"/>
            <charset val="134"/>
          </rPr>
          <t xml:space="preserve">所在楼层
</t>
        </r>
        <r>
          <rPr>
            <sz val="9"/>
            <color indexed="81"/>
            <rFont val="宋体"/>
            <family val="3"/>
            <charset val="134"/>
          </rPr>
          <t xml:space="preserve">
</t>
        </r>
      </text>
    </comment>
    <comment ref="H111" authorId="0" shapeId="0" xr:uid="{04ECC3A5-F74A-4544-8978-EE89D061A83C}">
      <text>
        <r>
          <rPr>
            <b/>
            <sz val="9"/>
            <color indexed="81"/>
            <rFont val="宋体"/>
            <family val="3"/>
            <charset val="134"/>
          </rPr>
          <t xml:space="preserve">所在楼层
</t>
        </r>
        <r>
          <rPr>
            <sz val="9"/>
            <color indexed="81"/>
            <rFont val="宋体"/>
            <family val="3"/>
            <charset val="134"/>
          </rPr>
          <t xml:space="preserve">
</t>
        </r>
      </text>
    </comment>
    <comment ref="I111" authorId="0" shapeId="0" xr:uid="{866A0F8C-4360-4B9C-9177-0773EEF9A550}">
      <text>
        <r>
          <rPr>
            <b/>
            <sz val="9"/>
            <color indexed="81"/>
            <rFont val="宋体"/>
            <family val="3"/>
            <charset val="134"/>
          </rPr>
          <t xml:space="preserve">所在楼层
</t>
        </r>
        <r>
          <rPr>
            <sz val="9"/>
            <color indexed="81"/>
            <rFont val="宋体"/>
            <family val="3"/>
            <charset val="134"/>
          </rPr>
          <t xml:space="preserve">
</t>
        </r>
      </text>
    </comment>
    <comment ref="J111" authorId="0" shapeId="0" xr:uid="{A91F5EA0-79AB-446B-8263-AA997B210C5E}">
      <text>
        <r>
          <rPr>
            <b/>
            <sz val="9"/>
            <color indexed="81"/>
            <rFont val="宋体"/>
            <family val="3"/>
            <charset val="134"/>
          </rPr>
          <t xml:space="preserve">所在楼层
</t>
        </r>
        <r>
          <rPr>
            <sz val="9"/>
            <color indexed="81"/>
            <rFont val="宋体"/>
            <family val="3"/>
            <charset val="134"/>
          </rPr>
          <t xml:space="preserve">
</t>
        </r>
      </text>
    </comment>
    <comment ref="K111" authorId="0" shapeId="0" xr:uid="{6A5B8BEE-3419-43A7-8F16-9477103D5C5D}">
      <text>
        <r>
          <rPr>
            <b/>
            <sz val="9"/>
            <color indexed="81"/>
            <rFont val="宋体"/>
            <family val="3"/>
            <charset val="134"/>
          </rPr>
          <t xml:space="preserve">所在楼层
</t>
        </r>
        <r>
          <rPr>
            <sz val="9"/>
            <color indexed="81"/>
            <rFont val="宋体"/>
            <family val="3"/>
            <charset val="134"/>
          </rPr>
          <t xml:space="preserve">
</t>
        </r>
      </text>
    </comment>
    <comment ref="L111" authorId="0" shapeId="0" xr:uid="{EDE37D53-E655-410A-BC08-0ED19EACDF81}">
      <text>
        <r>
          <rPr>
            <b/>
            <sz val="9"/>
            <color indexed="81"/>
            <rFont val="宋体"/>
            <family val="3"/>
            <charset val="134"/>
          </rPr>
          <t xml:space="preserve">所在楼层
</t>
        </r>
        <r>
          <rPr>
            <sz val="9"/>
            <color indexed="81"/>
            <rFont val="宋体"/>
            <family val="3"/>
            <charset val="134"/>
          </rPr>
          <t xml:space="preserve">
</t>
        </r>
      </text>
    </comment>
    <comment ref="M111" authorId="0" shapeId="0" xr:uid="{95700AB1-2711-43ED-9447-50590006B305}">
      <text>
        <r>
          <rPr>
            <b/>
            <sz val="9"/>
            <color indexed="81"/>
            <rFont val="宋体"/>
            <family val="3"/>
            <charset val="134"/>
          </rPr>
          <t xml:space="preserve">所在楼层
</t>
        </r>
        <r>
          <rPr>
            <sz val="9"/>
            <color indexed="81"/>
            <rFont val="宋体"/>
            <family val="3"/>
            <charset val="134"/>
          </rPr>
          <t xml:space="preserve">
</t>
        </r>
      </text>
    </comment>
    <comment ref="N111" authorId="0" shapeId="0" xr:uid="{588E15B6-0997-4993-AAC0-76130EBCCBFA}">
      <text>
        <r>
          <rPr>
            <b/>
            <sz val="9"/>
            <color indexed="81"/>
            <rFont val="宋体"/>
            <family val="3"/>
            <charset val="134"/>
          </rPr>
          <t xml:space="preserve">所在楼层
</t>
        </r>
        <r>
          <rPr>
            <sz val="9"/>
            <color indexed="81"/>
            <rFont val="宋体"/>
            <family val="3"/>
            <charset val="134"/>
          </rPr>
          <t xml:space="preserve">
</t>
        </r>
      </text>
    </comment>
    <comment ref="D116" authorId="0" shapeId="0" xr:uid="{54022716-F730-4E08-9642-60F0BFF9EE3A}">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E40A562D-315A-4741-A976-C941FD7C788C}">
      <text>
        <r>
          <rPr>
            <b/>
            <sz val="9"/>
            <color indexed="81"/>
            <rFont val="宋体"/>
            <family val="3"/>
            <charset val="134"/>
          </rPr>
          <t>对应区片地价表</t>
        </r>
        <r>
          <rPr>
            <sz val="9"/>
            <color indexed="81"/>
            <rFont val="宋体"/>
            <family val="3"/>
            <charset val="134"/>
          </rPr>
          <t xml:space="preserve">
</t>
        </r>
      </text>
    </comment>
    <comment ref="Y9" authorId="1" shapeId="0" xr:uid="{DA3D153A-7253-4993-ABA3-1AB500253446}">
      <text>
        <r>
          <rPr>
            <sz val="11"/>
            <color indexed="81"/>
            <rFont val="宋体"/>
            <family val="3"/>
            <charset val="134"/>
          </rPr>
          <t xml:space="preserve">录入层数，将对应的结果录入至左侧相应层的楼层修正系数单元格中
</t>
        </r>
      </text>
    </comment>
    <comment ref="C16" authorId="1" shapeId="0" xr:uid="{7CDFCA42-233A-44BB-B7B0-8F5118E15714}">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5C354D6C-3575-435A-B88F-3E68A8157AFE}">
      <text>
        <r>
          <rPr>
            <sz val="12"/>
            <color indexed="81"/>
            <rFont val="宋体"/>
            <family val="3"/>
            <charset val="134"/>
          </rPr>
          <t>1.05~1.1</t>
        </r>
        <r>
          <rPr>
            <sz val="9"/>
            <color indexed="81"/>
            <rFont val="宋体"/>
            <family val="3"/>
            <charset val="134"/>
          </rPr>
          <t xml:space="preserve">
</t>
        </r>
      </text>
    </comment>
    <comment ref="E16" authorId="1" shapeId="0" xr:uid="{CEB1509B-D818-4749-AA39-566D9B128E7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73A0DAB0-3481-45A4-9631-217BE71D1C5F}">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FB7A1AB1-126F-40EF-903D-D19D9974A521}">
      <text>
        <r>
          <rPr>
            <b/>
            <sz val="14"/>
            <color indexed="81"/>
            <rFont val="宋体"/>
            <family val="3"/>
            <charset val="134"/>
          </rPr>
          <t>工业选“中心城区”</t>
        </r>
        <r>
          <rPr>
            <sz val="9"/>
            <color indexed="81"/>
            <rFont val="宋体"/>
            <family val="3"/>
            <charset val="134"/>
          </rPr>
          <t xml:space="preserve">
</t>
        </r>
      </text>
    </comment>
    <comment ref="B35" authorId="4" shapeId="0" xr:uid="{718BE2C1-C125-4C15-83C3-27B5848A6F91}">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DEF4AA79-EC08-42A6-AED7-E5EF83D3DC2B}">
      <text>
        <r>
          <rPr>
            <sz val="9"/>
            <color indexed="81"/>
            <rFont val="宋体"/>
            <family val="3"/>
            <charset val="134"/>
          </rPr>
          <t xml:space="preserve">需在此处填写剩余土地年限
</t>
        </r>
      </text>
    </comment>
    <comment ref="C111" authorId="0" shapeId="0" xr:uid="{5D4DC1EE-DB5C-4BE7-B069-357C5D6F2820}">
      <text>
        <r>
          <rPr>
            <b/>
            <sz val="9"/>
            <color indexed="81"/>
            <rFont val="宋体"/>
            <family val="3"/>
            <charset val="134"/>
          </rPr>
          <t xml:space="preserve">所在楼层
</t>
        </r>
        <r>
          <rPr>
            <sz val="9"/>
            <color indexed="81"/>
            <rFont val="宋体"/>
            <family val="3"/>
            <charset val="134"/>
          </rPr>
          <t xml:space="preserve">
</t>
        </r>
      </text>
    </comment>
    <comment ref="D111" authorId="0" shapeId="0" xr:uid="{722711C4-51C5-405F-BD5D-A39B57730A1C}">
      <text>
        <r>
          <rPr>
            <b/>
            <sz val="9"/>
            <color indexed="81"/>
            <rFont val="宋体"/>
            <family val="3"/>
            <charset val="134"/>
          </rPr>
          <t xml:space="preserve">所在楼层
</t>
        </r>
        <r>
          <rPr>
            <sz val="9"/>
            <color indexed="81"/>
            <rFont val="宋体"/>
            <family val="3"/>
            <charset val="134"/>
          </rPr>
          <t xml:space="preserve">
</t>
        </r>
      </text>
    </comment>
    <comment ref="E111" authorId="0" shapeId="0" xr:uid="{8008C31C-539C-41D9-8ABE-5F6538C6FFA5}">
      <text>
        <r>
          <rPr>
            <b/>
            <sz val="9"/>
            <color indexed="81"/>
            <rFont val="宋体"/>
            <family val="3"/>
            <charset val="134"/>
          </rPr>
          <t xml:space="preserve">所在楼层
</t>
        </r>
        <r>
          <rPr>
            <sz val="9"/>
            <color indexed="81"/>
            <rFont val="宋体"/>
            <family val="3"/>
            <charset val="134"/>
          </rPr>
          <t xml:space="preserve">
</t>
        </r>
      </text>
    </comment>
    <comment ref="F111" authorId="0" shapeId="0" xr:uid="{1D69D7AC-F5D4-465E-BFB6-55AB7D9B9EB5}">
      <text>
        <r>
          <rPr>
            <b/>
            <sz val="9"/>
            <color indexed="81"/>
            <rFont val="宋体"/>
            <family val="3"/>
            <charset val="134"/>
          </rPr>
          <t xml:space="preserve">所在楼层
</t>
        </r>
        <r>
          <rPr>
            <sz val="9"/>
            <color indexed="81"/>
            <rFont val="宋体"/>
            <family val="3"/>
            <charset val="134"/>
          </rPr>
          <t xml:space="preserve">
</t>
        </r>
      </text>
    </comment>
    <comment ref="G111" authorId="0" shapeId="0" xr:uid="{57085707-C49D-46B1-AD4A-86D0511F16B1}">
      <text>
        <r>
          <rPr>
            <b/>
            <sz val="9"/>
            <color indexed="81"/>
            <rFont val="宋体"/>
            <family val="3"/>
            <charset val="134"/>
          </rPr>
          <t xml:space="preserve">所在楼层
</t>
        </r>
        <r>
          <rPr>
            <sz val="9"/>
            <color indexed="81"/>
            <rFont val="宋体"/>
            <family val="3"/>
            <charset val="134"/>
          </rPr>
          <t xml:space="preserve">
</t>
        </r>
      </text>
    </comment>
    <comment ref="H111" authorId="0" shapeId="0" xr:uid="{BD324C75-6187-4643-B1F5-0FDB35C47091}">
      <text>
        <r>
          <rPr>
            <b/>
            <sz val="9"/>
            <color indexed="81"/>
            <rFont val="宋体"/>
            <family val="3"/>
            <charset val="134"/>
          </rPr>
          <t xml:space="preserve">所在楼层
</t>
        </r>
        <r>
          <rPr>
            <sz val="9"/>
            <color indexed="81"/>
            <rFont val="宋体"/>
            <family val="3"/>
            <charset val="134"/>
          </rPr>
          <t xml:space="preserve">
</t>
        </r>
      </text>
    </comment>
    <comment ref="I111" authorId="0" shapeId="0" xr:uid="{F7E51910-0C07-4C1F-96B3-E33070506B53}">
      <text>
        <r>
          <rPr>
            <b/>
            <sz val="9"/>
            <color indexed="81"/>
            <rFont val="宋体"/>
            <family val="3"/>
            <charset val="134"/>
          </rPr>
          <t xml:space="preserve">所在楼层
</t>
        </r>
        <r>
          <rPr>
            <sz val="9"/>
            <color indexed="81"/>
            <rFont val="宋体"/>
            <family val="3"/>
            <charset val="134"/>
          </rPr>
          <t xml:space="preserve">
</t>
        </r>
      </text>
    </comment>
    <comment ref="J111" authorId="0" shapeId="0" xr:uid="{8EF33C39-E2F6-409F-BFBD-63A603D2BE07}">
      <text>
        <r>
          <rPr>
            <b/>
            <sz val="9"/>
            <color indexed="81"/>
            <rFont val="宋体"/>
            <family val="3"/>
            <charset val="134"/>
          </rPr>
          <t xml:space="preserve">所在楼层
</t>
        </r>
        <r>
          <rPr>
            <sz val="9"/>
            <color indexed="81"/>
            <rFont val="宋体"/>
            <family val="3"/>
            <charset val="134"/>
          </rPr>
          <t xml:space="preserve">
</t>
        </r>
      </text>
    </comment>
    <comment ref="K111" authorId="0" shapeId="0" xr:uid="{4BEEB25E-01E1-4C63-B724-5DE2B633CB14}">
      <text>
        <r>
          <rPr>
            <b/>
            <sz val="9"/>
            <color indexed="81"/>
            <rFont val="宋体"/>
            <family val="3"/>
            <charset val="134"/>
          </rPr>
          <t xml:space="preserve">所在楼层
</t>
        </r>
        <r>
          <rPr>
            <sz val="9"/>
            <color indexed="81"/>
            <rFont val="宋体"/>
            <family val="3"/>
            <charset val="134"/>
          </rPr>
          <t xml:space="preserve">
</t>
        </r>
      </text>
    </comment>
    <comment ref="L111" authorId="0" shapeId="0" xr:uid="{91E7F810-22FD-4613-9382-16B91F98F45A}">
      <text>
        <r>
          <rPr>
            <b/>
            <sz val="9"/>
            <color indexed="81"/>
            <rFont val="宋体"/>
            <family val="3"/>
            <charset val="134"/>
          </rPr>
          <t xml:space="preserve">所在楼层
</t>
        </r>
        <r>
          <rPr>
            <sz val="9"/>
            <color indexed="81"/>
            <rFont val="宋体"/>
            <family val="3"/>
            <charset val="134"/>
          </rPr>
          <t xml:space="preserve">
</t>
        </r>
      </text>
    </comment>
    <comment ref="M111" authorId="0" shapeId="0" xr:uid="{6F624007-1EEA-456E-A85A-35DB459ABD78}">
      <text>
        <r>
          <rPr>
            <b/>
            <sz val="9"/>
            <color indexed="81"/>
            <rFont val="宋体"/>
            <family val="3"/>
            <charset val="134"/>
          </rPr>
          <t xml:space="preserve">所在楼层
</t>
        </r>
        <r>
          <rPr>
            <sz val="9"/>
            <color indexed="81"/>
            <rFont val="宋体"/>
            <family val="3"/>
            <charset val="134"/>
          </rPr>
          <t xml:space="preserve">
</t>
        </r>
      </text>
    </comment>
    <comment ref="N111" authorId="0" shapeId="0" xr:uid="{C49B6C19-19D3-41A8-86A8-CB7098D8F81B}">
      <text>
        <r>
          <rPr>
            <b/>
            <sz val="9"/>
            <color indexed="81"/>
            <rFont val="宋体"/>
            <family val="3"/>
            <charset val="134"/>
          </rPr>
          <t xml:space="preserve">所在楼层
</t>
        </r>
        <r>
          <rPr>
            <sz val="9"/>
            <color indexed="81"/>
            <rFont val="宋体"/>
            <family val="3"/>
            <charset val="134"/>
          </rPr>
          <t xml:space="preserve">
</t>
        </r>
      </text>
    </comment>
    <comment ref="D116" authorId="0" shapeId="0" xr:uid="{231A3ABB-D803-4649-9A7E-CA2B3A369D4D}">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<sst xmlns="http://schemas.openxmlformats.org/spreadsheetml/2006/main" count="8962" uniqueCount="3466">
  <si>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</si>
  <si>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</si>
  <si>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</si>
  <si>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</si>
  <si>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</si>
  <si>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</si>
  <si>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</si>
  <si>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</si>
  <si>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</si>
  <si>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</si>
  <si>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</si>
  <si>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</si>
  <si>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</si>
  <si>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</si>
  <si>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</si>
  <si>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</si>
  <si>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</si>
  <si>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</si>
  <si>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</si>
  <si>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</si>
  <si>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</si>
  <si>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</si>
  <si>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</si>
  <si>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</si>
  <si>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</si>
  <si>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</si>
  <si>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</si>
  <si>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</si>
  <si>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</si>
  <si>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</si>
  <si>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</si>
  <si>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</si>
  <si>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</si>
  <si>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</si>
  <si>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</si>
  <si>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</si>
  <si>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</si>
  <si>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</si>
  <si>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</si>
  <si>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</si>
  <si>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</si>
  <si>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</si>
  <si>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</si>
  <si>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</si>
  <si>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</si>
  <si>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</si>
  <si>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</si>
  <si>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</si>
  <si>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</si>
  <si>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</si>
  <si>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</si>
  <si>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</si>
  <si>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</si>
  <si>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</si>
  <si>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</si>
  <si>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</si>
  <si>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</si>
  <si>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</si>
  <si>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</si>
  <si>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</si>
  <si>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</si>
  <si>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</si>
  <si>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</si>
  <si>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</si>
  <si>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</si>
  <si>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</si>
  <si>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</si>
  <si>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</si>
  <si>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</si>
  <si>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</si>
  <si>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</si>
  <si>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</si>
  <si>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</si>
  <si>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</si>
  <si>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</si>
  <si>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</si>
  <si>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</si>
  <si>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</si>
  <si>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</si>
  <si>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</si>
  <si>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</si>
  <si>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</si>
  <si>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</si>
  <si>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</si>
  <si>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</si>
  <si>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</si>
  <si>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</si>
  <si>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</si>
  <si>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</si>
  <si>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</si>
  <si>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</si>
  <si>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</si>
  <si>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</si>
  <si>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</si>
  <si>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</si>
  <si>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</si>
  <si>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</si>
  <si>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</si>
  <si>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</si>
  <si>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</si>
  <si>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</si>
  <si>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</si>
  <si>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</si>
  <si>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</si>
  <si>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</si>
  <si>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</si>
  <si>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</si>
  <si>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</si>
  <si>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</si>
  <si>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</si>
  <si>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</si>
  <si>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</si>
  <si>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</si>
  <si>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</si>
  <si>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</si>
  <si>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</si>
  <si>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</si>
  <si>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</si>
  <si>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</si>
  <si>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</si>
  <si>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</si>
  <si>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</si>
  <si>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</si>
  <si>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</si>
  <si>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</si>
  <si>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</si>
  <si>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</si>
  <si>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</si>
  <si>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</si>
  <si>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</si>
  <si>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</si>
  <si>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</si>
  <si>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</si>
  <si>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</si>
  <si>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</si>
  <si>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</si>
  <si>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</si>
  <si>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</si>
  <si>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</si>
  <si>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</si>
  <si>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</si>
  <si>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</si>
  <si>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</si>
  <si>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</si>
  <si>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</si>
  <si>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</si>
  <si>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</si>
  <si>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</si>
  <si>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</si>
  <si>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</si>
  <si>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</si>
  <si>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</si>
  <si>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</si>
  <si>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</si>
  <si>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</si>
  <si>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</si>
  <si>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</si>
  <si>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</si>
  <si>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</si>
  <si>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</si>
  <si>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</si>
  <si>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</si>
  <si>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</si>
  <si>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</si>
  <si>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</si>
  <si>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</si>
  <si>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</si>
  <si>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</si>
  <si>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</si>
  <si>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</si>
  <si>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</si>
  <si>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</si>
  <si>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</si>
  <si>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</si>
  <si>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</si>
  <si>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</si>
  <si>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</si>
  <si>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</si>
  <si>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</si>
  <si>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</si>
  <si>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</si>
  <si>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</si>
  <si>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</si>
  <si>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</si>
  <si>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</si>
  <si>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</si>
  <si>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</si>
  <si>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</si>
  <si>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</si>
  <si>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</si>
  <si>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</si>
  <si>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</si>
  <si>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</si>
  <si>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</si>
  <si>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</si>
  <si>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</si>
  <si>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</si>
  <si>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</si>
  <si>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</si>
  <si>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</si>
  <si>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</si>
  <si>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</si>
  <si>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</si>
  <si>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</si>
  <si>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</si>
  <si>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</si>
  <si>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</si>
  <si>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</si>
  <si>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</si>
  <si>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</si>
  <si>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</si>
  <si>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</si>
  <si>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</si>
  <si>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</si>
  <si>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</si>
  <si>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</si>
  <si>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</si>
  <si>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</si>
  <si>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</si>
  <si>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</si>
  <si>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</si>
  <si>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</si>
  <si>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</si>
  <si>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</si>
  <si>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</si>
  <si>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</si>
  <si>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</si>
  <si>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</si>
  <si>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</si>
  <si>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</si>
  <si>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</si>
  <si>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</si>
  <si>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</si>
  <si>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</si>
  <si>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</si>
  <si>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</si>
  <si>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</si>
  <si>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</si>
  <si>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</si>
  <si>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</si>
  <si>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</si>
  <si>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</si>
  <si>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</si>
  <si>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</si>
  <si>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</si>
  <si>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</si>
  <si>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</si>
  <si>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</si>
  <si>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</si>
  <si>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</si>
  <si>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</si>
  <si>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</si>
  <si>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</si>
  <si>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</si>
  <si>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</si>
  <si>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</si>
  <si>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</si>
  <si>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</si>
  <si>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</si>
  <si>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</si>
  <si>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</si>
  <si>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</si>
  <si>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</si>
  <si>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</si>
  <si>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</si>
  <si>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</si>
  <si>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</si>
  <si>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</si>
  <si>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</si>
  <si>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</si>
  <si>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</si>
  <si>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</si>
  <si>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</si>
  <si>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</si>
  <si>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</si>
  <si>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</si>
  <si>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</si>
  <si>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</si>
  <si>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</si>
  <si>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</si>
  <si>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</si>
  <si>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</si>
  <si>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</si>
  <si>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</si>
  <si>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</si>
  <si>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</si>
  <si>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</si>
  <si>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</si>
  <si>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</si>
  <si>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</si>
  <si>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</si>
  <si>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</si>
  <si>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</si>
  <si>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</si>
  <si>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</si>
  <si>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</si>
  <si>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</si>
  <si>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</si>
  <si>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</si>
  <si>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</si>
  <si>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</si>
  <si>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</si>
  <si>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</si>
  <si>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</si>
  <si>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</si>
  <si>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</si>
  <si>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</si>
  <si>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</si>
  <si>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</si>
  <si>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</si>
  <si>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</si>
  <si>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</si>
  <si>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</si>
  <si>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</si>
  <si>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</si>
  <si>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</si>
  <si>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</si>
  <si>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</si>
  <si>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</si>
  <si>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</si>
  <si>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</si>
  <si>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</si>
  <si>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</si>
  <si>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</si>
  <si>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</si>
  <si>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</si>
  <si>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</si>
  <si>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</si>
  <si>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</si>
  <si>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</si>
  <si>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</si>
  <si>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</si>
  <si>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</si>
  <si>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</si>
  <si>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</si>
  <si>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</si>
  <si>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</si>
  <si>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</si>
  <si>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</si>
  <si>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</si>
  <si>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</si>
  <si>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</si>
  <si>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</si>
  <si>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</si>
  <si>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</si>
  <si>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</si>
  <si>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</si>
  <si>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</si>
  <si>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</si>
  <si>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</si>
  <si>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</si>
  <si>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</si>
  <si>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</si>
  <si>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</si>
  <si>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</si>
  <si>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</si>
  <si>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</si>
  <si>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</si>
  <si>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</si>
  <si>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</si>
  <si>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</si>
  <si>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</si>
  <si>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</si>
  <si>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</si>
  <si>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</si>
  <si>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</si>
  <si>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</si>
  <si>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</si>
  <si>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</si>
  <si>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</si>
  <si>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</si>
  <si>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</si>
  <si>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</si>
  <si>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</si>
  <si>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</si>
  <si>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</si>
  <si>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</si>
  <si>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</si>
  <si>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</si>
  <si>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</si>
  <si>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</si>
  <si>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</si>
  <si>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</si>
  <si>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</si>
  <si>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</si>
  <si>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</si>
  <si>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</si>
  <si>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</si>
  <si>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</si>
  <si>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</si>
  <si>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</si>
  <si>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</si>
  <si>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</si>
  <si>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</si>
  <si>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</si>
  <si>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</si>
  <si>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</si>
  <si>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</si>
  <si>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</si>
  <si>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</si>
  <si>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</si>
  <si>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</si>
  <si>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</si>
  <si>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</si>
  <si>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</si>
  <si>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</si>
  <si>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</si>
  <si>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</si>
  <si>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</si>
  <si>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</si>
  <si>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</si>
  <si>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</si>
  <si>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</si>
  <si>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</si>
  <si>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</si>
  <si>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</si>
  <si>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</si>
  <si>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</si>
  <si>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</si>
  <si>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</si>
  <si>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</si>
  <si>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</si>
  <si>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</si>
  <si>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</si>
  <si>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</si>
  <si>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</si>
  <si>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</si>
  <si>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</si>
  <si>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</si>
  <si>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</si>
  <si>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</si>
  <si>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</si>
  <si>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</si>
  <si>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</si>
  <si>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</si>
  <si>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</si>
  <si>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</si>
  <si>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</si>
  <si>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</si>
  <si>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</si>
  <si>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</si>
  <si>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</si>
  <si>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</si>
  <si>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</si>
  <si>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</si>
  <si>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</si>
  <si>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</si>
  <si>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</si>
  <si>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</si>
  <si>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</si>
  <si>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</si>
  <si>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</si>
  <si>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</si>
  <si>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</si>
  <si>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</si>
  <si>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</si>
  <si>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</si>
  <si>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</si>
  <si>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</si>
  <si>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</si>
  <si>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</si>
  <si>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</si>
  <si>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</si>
  <si>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</si>
  <si>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</si>
  <si>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</si>
  <si>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</si>
  <si>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</si>
  <si>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</si>
  <si>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</si>
  <si>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</si>
  <si>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</si>
  <si>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</si>
  <si>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</si>
  <si>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</si>
  <si>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</si>
  <si>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</si>
  <si>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</si>
  <si>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</si>
  <si>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</si>
  <si>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</si>
  <si>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</si>
  <si>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</si>
  <si>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</si>
  <si>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</si>
  <si>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</si>
  <si>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</si>
  <si>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</si>
  <si>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</si>
  <si>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</si>
  <si>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</si>
  <si>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</si>
  <si>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</si>
  <si>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</si>
  <si>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</si>
  <si>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</si>
  <si>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</si>
  <si>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</si>
  <si>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</si>
  <si>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</si>
  <si>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</si>
  <si>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</si>
  <si>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</si>
  <si>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</si>
  <si>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</si>
  <si>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</si>
  <si>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</si>
  <si>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</si>
  <si>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</si>
  <si>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</si>
  <si>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</si>
  <si>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</si>
  <si>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</si>
  <si>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</si>
  <si>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</si>
  <si>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</si>
  <si>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</si>
  <si>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</si>
  <si>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</si>
  <si>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</si>
  <si>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</si>
  <si>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</si>
  <si>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</si>
  <si>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</si>
  <si>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</si>
  <si>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</si>
  <si>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</si>
  <si>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</si>
  <si>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</si>
  <si>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</si>
  <si>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</si>
  <si>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</si>
  <si>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</si>
  <si>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</si>
  <si>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</si>
  <si>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</si>
  <si>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</si>
  <si>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</si>
  <si>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</si>
  <si>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</si>
  <si>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</si>
  <si>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</si>
  <si>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</si>
  <si>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</si>
  <si>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</si>
  <si>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</si>
  <si>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</si>
  <si>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</si>
  <si>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</si>
  <si>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</si>
  <si>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</si>
  <si>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</si>
  <si>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</si>
  <si>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</si>
  <si>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</si>
  <si>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</si>
  <si>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</si>
  <si>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</si>
  <si>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</si>
  <si>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</si>
  <si>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</si>
  <si>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</si>
  <si>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</si>
  <si>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</si>
  <si>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</si>
  <si>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</si>
  <si>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</si>
  <si>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</si>
  <si>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</si>
  <si>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</si>
  <si>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</si>
  <si>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</si>
  <si>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</si>
  <si>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</si>
  <si>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</si>
  <si>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</si>
  <si>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</si>
  <si>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</si>
  <si>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</si>
  <si>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</si>
  <si>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</si>
  <si>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</si>
  <si>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</si>
  <si>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</si>
  <si>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</si>
  <si>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</si>
  <si>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</si>
  <si>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</si>
  <si>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</si>
  <si>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</si>
  <si>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</si>
  <si>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</si>
  <si>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</si>
  <si>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</si>
  <si>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</si>
  <si>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</si>
  <si>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</si>
  <si>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</si>
  <si>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</si>
  <si>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</si>
  <si>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</si>
  <si>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</si>
  <si>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</si>
  <si>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</si>
  <si>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</si>
  <si>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</si>
  <si>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</si>
  <si>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</si>
  <si>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</si>
  <si>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</si>
  <si>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</si>
  <si>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</si>
  <si>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</si>
  <si>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</si>
  <si>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</si>
  <si>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</si>
  <si>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</si>
  <si>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</si>
  <si>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</si>
  <si>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</si>
  <si>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</si>
  <si>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</si>
  <si>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</si>
  <si>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</si>
  <si>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</si>
  <si>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</si>
  <si>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</si>
  <si>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</si>
  <si>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</si>
  <si>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</si>
  <si>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</si>
  <si>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</si>
  <si>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</si>
  <si>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</si>
  <si>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</si>
  <si>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</si>
  <si>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</si>
  <si>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</si>
  <si>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</si>
  <si>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</si>
  <si>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</si>
  <si>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</si>
  <si>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</si>
  <si>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</si>
  <si>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</si>
  <si>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</si>
  <si>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</si>
  <si>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</si>
  <si>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</si>
  <si>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</si>
  <si>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</si>
  <si>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</si>
  <si>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</si>
  <si>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</si>
  <si>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</si>
  <si>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</si>
  <si>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</si>
  <si>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</si>
  <si>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</si>
  <si>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</si>
  <si>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</si>
  <si>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</si>
  <si>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</si>
  <si>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</si>
  <si>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</si>
  <si>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</si>
  <si>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</si>
  <si>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</si>
  <si>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</si>
  <si>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</si>
  <si>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</si>
  <si>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</si>
  <si>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</si>
  <si>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</si>
  <si>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</si>
  <si>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</si>
  <si>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</si>
  <si>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</si>
  <si>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</si>
  <si>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</si>
  <si>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</si>
  <si>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</si>
  <si>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</si>
  <si>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</si>
  <si>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</si>
  <si>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</si>
  <si>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</si>
  <si>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</si>
  <si>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</si>
  <si>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</si>
  <si>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</si>
  <si>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</si>
  <si>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</si>
  <si>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</si>
  <si>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</si>
  <si>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</si>
  <si>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</si>
  <si>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</si>
  <si>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</si>
  <si>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</si>
  <si>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</si>
  <si>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</si>
  <si>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</si>
  <si>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</si>
  <si>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</si>
  <si>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</si>
  <si>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</si>
  <si>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</si>
  <si>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</si>
  <si>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</si>
  <si>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</si>
  <si>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</si>
  <si>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</si>
  <si>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</si>
  <si>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</si>
  <si>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</si>
  <si>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</si>
  <si>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</si>
  <si>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</si>
  <si>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</si>
  <si>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</si>
  <si>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</si>
  <si>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</si>
  <si>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</si>
  <si>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</si>
  <si>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</si>
  <si>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</si>
  <si>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</si>
  <si>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</si>
  <si>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</si>
  <si>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</si>
  <si>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</si>
  <si>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</si>
  <si>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</si>
  <si>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</si>
  <si>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</si>
  <si>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</si>
  <si>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</si>
  <si>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</si>
  <si>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</si>
  <si>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</si>
  <si>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</si>
  <si>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</si>
  <si>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</si>
  <si>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</si>
  <si>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</si>
  <si>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</si>
  <si>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</si>
  <si>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</si>
  <si>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</si>
  <si>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</si>
  <si>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</si>
  <si>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</si>
  <si>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</si>
  <si>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</si>
  <si>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</si>
  <si>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</si>
  <si>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</si>
  <si>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</si>
  <si>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</si>
  <si>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</si>
  <si>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</si>
  <si>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</si>
  <si>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</si>
  <si>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</si>
  <si>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</si>
  <si>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</si>
  <si>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</si>
  <si>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</si>
  <si>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</si>
  <si>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</si>
  <si>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</si>
  <si>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</si>
  <si>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</si>
  <si>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</si>
  <si>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</si>
  <si>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</si>
  <si>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</si>
  <si>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</si>
  <si>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</si>
  <si>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</si>
  <si>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</si>
  <si>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</si>
  <si>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</si>
  <si>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</si>
  <si>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</si>
  <si>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</si>
  <si>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</si>
  <si>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</si>
  <si>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</si>
  <si>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</si>
  <si>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</si>
  <si>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</si>
  <si>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</si>
  <si>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</si>
  <si>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</si>
  <si>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</si>
  <si>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</si>
  <si>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</si>
  <si>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</si>
  <si>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</si>
  <si>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</si>
  <si>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</si>
  <si>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</si>
  <si>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</si>
  <si>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</si>
  <si>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</si>
  <si>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</si>
  <si>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</si>
  <si>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</si>
  <si>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</si>
  <si>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</si>
  <si>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</si>
  <si>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</si>
  <si>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</si>
  <si>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</si>
  <si>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</si>
  <si>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</si>
  <si>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</si>
  <si>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</si>
  <si>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</si>
  <si>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</si>
  <si>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</si>
  <si>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</si>
  <si>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</si>
  <si>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</si>
  <si>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</si>
  <si>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</si>
  <si>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</si>
  <si>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</si>
  <si>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</si>
  <si>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</si>
  <si>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</si>
  <si>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</si>
  <si>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</si>
  <si>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</si>
  <si>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</si>
  <si>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</si>
  <si>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</si>
  <si>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</si>
  <si>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</si>
  <si>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</si>
  <si>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</si>
  <si>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</si>
  <si>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</si>
  <si>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</si>
  <si>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</si>
  <si>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</si>
  <si>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</si>
  <si>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</si>
  <si>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</si>
  <si>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</si>
  <si>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</si>
  <si>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</si>
  <si>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</si>
  <si>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</si>
  <si>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</si>
  <si>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</si>
  <si>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</si>
  <si>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</si>
  <si>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</si>
  <si>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</si>
  <si>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</si>
  <si>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</si>
  <si>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</si>
  <si>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</si>
  <si>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</si>
  <si>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</si>
  <si>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</si>
  <si>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</si>
  <si>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</si>
  <si>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</si>
  <si>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</si>
  <si>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</si>
  <si>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</si>
  <si>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</si>
  <si>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</si>
  <si>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</si>
  <si>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</si>
  <si>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</si>
  <si>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</si>
  <si>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</si>
  <si>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</si>
  <si>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</si>
  <si>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</si>
  <si>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</si>
  <si>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</si>
  <si>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</si>
  <si>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</si>
  <si>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</si>
  <si>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</si>
  <si>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</si>
  <si>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</si>
  <si>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</si>
  <si>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</si>
  <si>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</si>
  <si>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</si>
  <si>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</si>
  <si>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</si>
  <si>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</si>
  <si>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</si>
  <si>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</si>
  <si>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</si>
  <si>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</si>
  <si>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</si>
  <si>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</si>
  <si>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</si>
  <si>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</si>
  <si>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</si>
  <si>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</si>
  <si>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</si>
  <si>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</si>
  <si>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</si>
  <si>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</si>
  <si>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</si>
  <si>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</si>
  <si>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</si>
  <si>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</si>
  <si>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</si>
  <si>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</si>
  <si>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</si>
  <si>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</si>
  <si>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</si>
  <si>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</si>
  <si>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</si>
  <si>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</si>
  <si>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</si>
  <si>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</si>
  <si>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</si>
  <si>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</si>
  <si>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</si>
  <si>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</si>
  <si>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</si>
  <si>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</si>
  <si>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</si>
  <si>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</si>
  <si>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</si>
  <si>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</si>
  <si>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</si>
  <si>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</si>
  <si>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</si>
  <si>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</si>
  <si>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</si>
  <si>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</si>
  <si>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</si>
  <si>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</si>
  <si>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</si>
  <si>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</si>
  <si>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</si>
  <si>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</si>
  <si>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</si>
  <si>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</si>
  <si>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</si>
  <si>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</si>
  <si>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</si>
  <si>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</si>
  <si>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</si>
  <si>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</si>
  <si>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</si>
  <si>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</si>
  <si>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</si>
  <si>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</si>
  <si>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</si>
  <si>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</si>
  <si>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</si>
  <si>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</si>
  <si>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</si>
  <si>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</si>
  <si>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</si>
  <si>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</si>
  <si>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</si>
  <si>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</si>
  <si>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</si>
  <si>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</si>
  <si>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</si>
  <si>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</si>
  <si>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</si>
  <si>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</si>
  <si>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</si>
  <si>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</si>
  <si>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</si>
  <si>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</si>
  <si>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</si>
  <si>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</si>
  <si>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</si>
  <si>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</si>
  <si>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</si>
  <si>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</si>
  <si>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</si>
  <si>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</si>
  <si>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</si>
  <si>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</si>
  <si>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</si>
  <si>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</si>
  <si>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</si>
  <si>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</si>
  <si>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</si>
  <si>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</si>
  <si>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</si>
  <si>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</si>
  <si>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</si>
  <si>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</si>
  <si>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</si>
  <si>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</si>
  <si>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</si>
  <si>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</si>
  <si>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</si>
  <si>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</si>
  <si>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</si>
  <si>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</si>
  <si>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</si>
  <si>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</si>
  <si>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</si>
  <si>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</si>
  <si>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</si>
  <si>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</si>
  <si>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</si>
  <si>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</si>
  <si>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</si>
  <si>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</si>
  <si>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</si>
  <si>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</si>
  <si>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</si>
  <si>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</si>
  <si>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</si>
  <si>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</si>
  <si>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</si>
  <si>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</si>
  <si>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</si>
  <si>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</si>
  <si>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</si>
  <si>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</si>
  <si>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</si>
  <si>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</si>
  <si>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</si>
  <si>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</si>
  <si>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</si>
  <si>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</si>
  <si>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</si>
  <si>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</si>
  <si>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</si>
  <si>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</si>
  <si>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</si>
  <si>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</si>
  <si>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</si>
  <si>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</si>
  <si>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</si>
  <si>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</si>
  <si>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</si>
  <si>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</si>
  <si>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</si>
  <si>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</si>
  <si>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</si>
  <si>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</si>
  <si>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</si>
  <si>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</si>
  <si>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</si>
  <si>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</si>
  <si>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</si>
  <si>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</si>
  <si>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</si>
  <si>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</si>
  <si>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</si>
  <si>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</si>
  <si>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</si>
  <si>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</si>
  <si>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</si>
  <si>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</si>
  <si>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</si>
  <si>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</si>
  <si>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</si>
  <si>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</si>
  <si>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</si>
  <si>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</si>
  <si>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</si>
  <si>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</si>
  <si>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</si>
  <si>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</si>
  <si>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</si>
  <si>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</si>
  <si>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</si>
  <si>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</si>
  <si>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</si>
  <si>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</si>
  <si>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</si>
  <si>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</si>
  <si>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</si>
  <si>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</si>
  <si>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</si>
  <si>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</si>
  <si>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</si>
  <si>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</si>
  <si>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</si>
  <si>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</si>
  <si>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</si>
  <si>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</si>
  <si>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</si>
  <si>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</si>
  <si>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</si>
  <si>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</si>
  <si>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</si>
  <si>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</si>
  <si>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</si>
  <si>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</si>
  <si>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</si>
  <si>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</si>
  <si>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</si>
  <si>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</si>
  <si>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</si>
  <si>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</si>
  <si>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</si>
  <si>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</si>
  <si>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</si>
  <si>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</si>
  <si>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</si>
  <si>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</si>
  <si>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</si>
  <si>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</si>
  <si>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</si>
  <si>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</si>
  <si>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</si>
  <si>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</si>
  <si>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</si>
  <si>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</si>
  <si>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</si>
  <si>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</si>
  <si>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</si>
  <si>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</si>
  <si>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</si>
  <si>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</si>
  <si>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</si>
  <si>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</si>
  <si>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</si>
  <si>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</si>
  <si>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</si>
  <si>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</si>
  <si>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</si>
  <si>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</si>
  <si>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</si>
  <si>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</si>
  <si>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</si>
  <si>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</si>
  <si>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</si>
  <si>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</si>
  <si>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</si>
  <si>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</si>
  <si>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</si>
  <si>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</si>
  <si>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</si>
  <si>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</si>
  <si>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</si>
  <si>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</si>
  <si>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</si>
  <si>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</si>
  <si>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</si>
  <si>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</si>
  <si>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</si>
  <si>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</si>
  <si>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</si>
  <si>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</si>
  <si>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</si>
  <si>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</si>
  <si>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</si>
  <si>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</si>
  <si>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</si>
  <si>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</si>
  <si>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</si>
  <si>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</si>
  <si>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</si>
  <si>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</si>
  <si>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</si>
  <si>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</si>
  <si>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</si>
  <si>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</si>
  <si>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</si>
  <si>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</si>
  <si>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</si>
  <si>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</si>
  <si>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</si>
  <si>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</si>
  <si>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</si>
  <si>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</si>
  <si>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</si>
  <si>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</si>
  <si>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</si>
  <si>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</si>
  <si>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</si>
  <si>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</si>
  <si>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</si>
  <si>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</si>
  <si>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</si>
  <si>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</si>
  <si>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</si>
  <si>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</si>
  <si>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</si>
  <si>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</si>
  <si>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</si>
  <si>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</si>
  <si>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</si>
  <si>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</si>
  <si>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</si>
  <si>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</si>
  <si>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</si>
  <si>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</si>
  <si>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</si>
  <si>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</si>
  <si>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</si>
  <si>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</si>
  <si>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</si>
  <si>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</si>
  <si>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</si>
  <si>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</si>
  <si>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</si>
  <si>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</si>
  <si>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</si>
  <si>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</si>
  <si>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</si>
  <si>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</si>
  <si>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</si>
  <si>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</si>
  <si>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</si>
  <si>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</si>
  <si>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</si>
  <si>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</si>
  <si>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</si>
  <si>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</si>
  <si>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</si>
  <si>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</si>
  <si>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</si>
  <si>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</si>
  <si>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</si>
  <si>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</si>
  <si>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</si>
  <si>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</si>
  <si>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</si>
  <si>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</si>
  <si>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</si>
  <si>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</si>
  <si>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</si>
  <si>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</si>
  <si>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</si>
  <si>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</si>
  <si>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</si>
  <si>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</si>
  <si>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</si>
  <si>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</si>
  <si>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</si>
  <si>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</si>
  <si>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</si>
  <si>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</si>
  <si>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</si>
  <si>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</si>
  <si>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</si>
  <si>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</si>
  <si>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</si>
  <si>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</si>
  <si>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</si>
  <si>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</si>
  <si>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</si>
  <si>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</si>
  <si>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</si>
  <si>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</si>
  <si>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</si>
  <si>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</si>
  <si>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</si>
  <si>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</si>
  <si>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</si>
  <si>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</si>
  <si>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</si>
  <si>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</si>
  <si>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</si>
  <si>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</si>
  <si>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</si>
  <si>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</si>
  <si>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</si>
  <si>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</si>
  <si>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</si>
  <si>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</si>
  <si>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</si>
  <si>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</si>
  <si>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</si>
  <si>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</si>
  <si>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</si>
  <si>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</si>
  <si>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</si>
  <si>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</si>
  <si>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</si>
  <si>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</si>
  <si>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</si>
  <si>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</si>
  <si>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</si>
  <si>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</si>
  <si>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</si>
  <si>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</si>
  <si>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</si>
  <si>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</si>
  <si>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</si>
  <si>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</si>
  <si>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</si>
  <si>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</si>
  <si>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</si>
  <si>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</si>
  <si>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</si>
  <si>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</si>
  <si>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</si>
  <si>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</si>
  <si>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</si>
  <si>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</si>
  <si>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</si>
  <si>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</si>
  <si>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</si>
  <si>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</si>
  <si>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</si>
  <si>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</si>
  <si>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</si>
  <si>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</si>
  <si>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</si>
  <si>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</si>
  <si>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</si>
  <si>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</si>
  <si>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</si>
  <si>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</si>
  <si>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</si>
  <si>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</si>
  <si>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</si>
  <si>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</si>
  <si>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</si>
  <si>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</si>
  <si>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</si>
  <si>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</si>
  <si>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</si>
  <si>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</si>
  <si>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</si>
  <si>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</si>
  <si>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</si>
  <si>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</si>
  <si>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</si>
  <si>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</si>
  <si>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</si>
  <si>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</si>
  <si>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</si>
  <si>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</si>
  <si>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</si>
  <si>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</si>
  <si>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</si>
  <si>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</si>
  <si>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</si>
  <si>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</si>
  <si>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</si>
  <si>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</si>
  <si>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</si>
  <si>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</si>
  <si>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</si>
  <si>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</si>
  <si>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</si>
  <si>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</si>
  <si>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</si>
  <si>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</si>
  <si>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</si>
  <si>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</si>
  <si>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</si>
  <si>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</si>
  <si>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</si>
  <si>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</si>
  <si>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</si>
  <si>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</si>
  <si>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</si>
  <si>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</si>
  <si>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</si>
  <si>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</si>
  <si>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</si>
  <si>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</si>
  <si>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</si>
  <si>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</si>
  <si>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</si>
  <si>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</si>
  <si>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</si>
  <si>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</si>
  <si>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</si>
  <si>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</si>
  <si>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</si>
  <si>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</si>
  <si>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</si>
  <si>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</si>
  <si>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</si>
  <si>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</si>
  <si>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</si>
  <si>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</si>
  <si>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</si>
  <si>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</si>
  <si>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</si>
  <si>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</si>
  <si>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</si>
  <si>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</si>
  <si>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</si>
  <si>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</si>
  <si>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</si>
  <si>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</si>
  <si>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</si>
  <si>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</si>
  <si>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</si>
  <si>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</si>
  <si>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</si>
  <si>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</si>
  <si>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</si>
  <si>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</si>
  <si>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</si>
  <si>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</si>
  <si>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</si>
  <si>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</si>
  <si>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</si>
  <si>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</si>
  <si>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</si>
  <si>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</si>
  <si>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</si>
  <si>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</si>
  <si>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</si>
  <si>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</si>
  <si>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</si>
  <si>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</si>
  <si>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</si>
  <si>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</si>
  <si>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</si>
  <si>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</si>
  <si>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</si>
  <si>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</si>
  <si>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</si>
  <si>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</si>
  <si>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</si>
  <si>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</si>
  <si>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</si>
  <si>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</si>
  <si>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</si>
  <si>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</si>
  <si>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</si>
  <si>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</si>
  <si>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</si>
  <si>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</si>
  <si>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</si>
  <si>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</si>
  <si>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</si>
  <si>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</si>
  <si>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</si>
  <si>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</si>
  <si>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</si>
  <si>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</si>
  <si>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</si>
  <si>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</si>
  <si>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</si>
  <si>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</si>
  <si>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</si>
  <si>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</si>
  <si>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</si>
  <si>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</si>
  <si>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</si>
  <si>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</si>
  <si>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</si>
  <si>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</si>
  <si>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</si>
  <si>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</si>
  <si>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</si>
  <si>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</si>
  <si>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</si>
  <si>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</si>
  <si>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</si>
  <si>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</si>
  <si>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</si>
  <si>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</si>
  <si>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</si>
  <si>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</si>
  <si>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</si>
  <si>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</si>
  <si>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</si>
  <si>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</si>
  <si>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</si>
  <si>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</si>
  <si>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</si>
  <si>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</si>
  <si>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</si>
  <si>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</si>
  <si>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</si>
  <si>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</si>
  <si>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</si>
  <si>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</si>
  <si>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</si>
  <si>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</si>
  <si>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</si>
  <si>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</si>
  <si>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</si>
  <si>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</si>
  <si>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</si>
  <si>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</si>
  <si>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</si>
  <si>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</si>
  <si>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</si>
  <si>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</si>
  <si>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</si>
  <si>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</si>
  <si>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</si>
  <si>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</si>
  <si>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</si>
  <si>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</si>
  <si>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</si>
  <si>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</si>
  <si>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</si>
  <si>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</si>
  <si>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</si>
  <si>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</si>
  <si>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</si>
  <si>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</si>
  <si>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</si>
  <si>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</si>
  <si>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</si>
  <si>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</si>
  <si>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</si>
  <si>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</si>
  <si>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</si>
  <si>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</si>
  <si>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</si>
  <si>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</si>
  <si>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</si>
  <si>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</si>
  <si>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</si>
  <si>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</si>
  <si>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</si>
  <si>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</si>
  <si>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</si>
  <si>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</si>
  <si>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</si>
  <si>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</si>
  <si>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</si>
  <si>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</si>
  <si>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</si>
  <si>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</si>
  <si>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</si>
  <si>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</si>
  <si>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</si>
  <si>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</si>
  <si>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</si>
  <si>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</si>
  <si>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</si>
  <si>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</si>
  <si>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</si>
  <si>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</si>
  <si>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</si>
  <si>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</si>
  <si>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</si>
  <si>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</si>
  <si>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</si>
  <si>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</si>
  <si>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</si>
  <si>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</si>
  <si>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</si>
  <si>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</si>
  <si>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</si>
  <si>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</si>
  <si>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</si>
  <si>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</si>
  <si>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</si>
  <si>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</si>
  <si>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</si>
  <si>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</si>
  <si>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</si>
  <si>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</si>
  <si>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</si>
  <si>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</si>
  <si>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</si>
  <si>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</si>
  <si>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</si>
  <si>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</si>
  <si>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</si>
  <si>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</si>
  <si>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</si>
  <si>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</si>
  <si>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</si>
  <si>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</si>
  <si>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</si>
  <si>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</si>
  <si>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</si>
  <si>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</si>
  <si>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</si>
  <si>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</si>
  <si>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</si>
  <si>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</si>
  <si>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</si>
  <si>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</si>
  <si>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</si>
  <si>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</si>
  <si>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</si>
  <si>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</si>
  <si>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</si>
  <si>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</si>
  <si>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</si>
  <si>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</si>
  <si>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</si>
  <si>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</si>
  <si>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</si>
  <si>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</si>
  <si>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</si>
  <si>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</si>
  <si>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</si>
  <si>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</si>
  <si>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</si>
  <si>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</si>
  <si>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</si>
  <si>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</si>
  <si>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</si>
  <si>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</si>
  <si>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</si>
  <si>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</si>
  <si>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</si>
  <si>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</si>
  <si>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</si>
  <si>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</si>
  <si>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</si>
  <si>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</si>
  <si>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</si>
  <si>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</si>
  <si>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</si>
  <si>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</si>
  <si>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</si>
  <si>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</si>
  <si>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</si>
  <si>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</si>
  <si>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</si>
  <si>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</si>
  <si>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</si>
  <si>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</si>
  <si>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</si>
  <si>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</si>
  <si>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</si>
  <si>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</si>
  <si>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</si>
  <si>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</si>
  <si>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</si>
  <si>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</si>
  <si>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</si>
  <si>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</si>
  <si>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</si>
  <si>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</si>
  <si>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</si>
  <si>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</si>
  <si>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</si>
  <si>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</si>
  <si>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</si>
  <si>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</si>
  <si>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</si>
  <si>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</si>
  <si>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</si>
  <si>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</si>
  <si>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</si>
  <si>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</si>
  <si>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</si>
  <si>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</si>
  <si>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</si>
  <si>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</si>
  <si>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</si>
  <si>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</si>
  <si>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</si>
  <si>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</si>
  <si>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</si>
  <si>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</si>
  <si>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</si>
  <si>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</si>
  <si>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</si>
  <si>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</si>
  <si>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</si>
  <si>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</si>
  <si>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</si>
  <si>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</si>
  <si>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</si>
  <si>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</si>
  <si>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</si>
  <si>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</si>
  <si>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</si>
  <si>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</si>
  <si>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</si>
  <si>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</si>
  <si>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</si>
  <si>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</si>
  <si>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</si>
  <si>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</si>
  <si>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</si>
  <si>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</si>
  <si>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</si>
  <si>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</si>
  <si>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</si>
  <si>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</si>
  <si>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</si>
  <si>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</si>
  <si>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</si>
  <si>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</si>
  <si>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</si>
  <si>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</si>
  <si>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</si>
  <si>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</si>
  <si>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</si>
  <si>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</si>
  <si>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</si>
  <si>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</si>
  <si>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</si>
  <si>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</si>
  <si>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</si>
  <si>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</si>
  <si>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</si>
  <si>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</si>
  <si>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</si>
  <si>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</si>
  <si>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</si>
  <si>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</si>
  <si>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</si>
  <si>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</si>
  <si>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</si>
  <si>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</si>
  <si>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</si>
  <si>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</si>
  <si>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</si>
  <si>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</si>
  <si>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</si>
  <si>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</si>
  <si>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</si>
  <si>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</si>
  <si>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</si>
  <si>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</si>
  <si>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</si>
  <si>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</si>
  <si>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</si>
  <si>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</si>
  <si>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</si>
  <si>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</si>
  <si>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</si>
  <si>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</si>
  <si>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</si>
  <si>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</si>
  <si>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</si>
  <si>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</si>
  <si>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</si>
  <si>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</si>
  <si>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</si>
  <si>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</si>
  <si>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</si>
  <si>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</si>
  <si>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</si>
  <si>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</si>
  <si>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</si>
  <si>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</si>
  <si>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</si>
  <si>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</si>
  <si>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</si>
  <si>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</si>
  <si>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</si>
  <si>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</si>
  <si>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</si>
  <si>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</si>
  <si>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</si>
  <si>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</si>
  <si>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</si>
  <si>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</si>
  <si>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</si>
  <si>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</si>
  <si>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</si>
  <si>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</si>
  <si>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</si>
  <si>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</si>
  <si>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</si>
  <si>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</si>
  <si>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</si>
  <si>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</si>
  <si>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</si>
  <si>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</si>
  <si>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</si>
  <si>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</si>
  <si>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</si>
  <si>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</si>
  <si>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</si>
  <si>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</si>
  <si>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</si>
  <si>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</si>
  <si>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</si>
  <si>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</si>
  <si>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</si>
  <si>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</si>
  <si>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</si>
  <si>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</si>
  <si>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</si>
  <si>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</si>
  <si>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</si>
  <si>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</si>
  <si>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</si>
  <si>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</si>
  <si>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</si>
  <si>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</si>
  <si>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</si>
  <si>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</si>
  <si>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</si>
  <si>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</si>
  <si>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</si>
  <si>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</si>
  <si>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</si>
  <si>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</si>
  <si>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</si>
  <si>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</si>
  <si>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</si>
  <si>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</si>
  <si>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</si>
  <si>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</si>
  <si>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</si>
  <si>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</si>
  <si>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</si>
  <si>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</si>
  <si>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</si>
  <si>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</si>
  <si>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</si>
  <si>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</si>
  <si>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</si>
  <si>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</si>
  <si>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</si>
  <si>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</si>
  <si>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</si>
  <si>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</si>
  <si>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</si>
  <si>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</si>
  <si>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</si>
  <si>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</si>
  <si>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</si>
  <si>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</si>
  <si>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</si>
  <si>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</si>
  <si>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</si>
  <si>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</si>
  <si>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</si>
  <si>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</si>
  <si>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</si>
  <si>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</si>
  <si>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</si>
  <si>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</si>
  <si>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</si>
  <si>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</si>
  <si>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</si>
  <si>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</si>
  <si>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</si>
  <si>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</si>
  <si>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</si>
  <si>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</si>
  <si>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</si>
  <si>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</si>
  <si>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</si>
  <si>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</si>
  <si>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</si>
  <si>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</si>
  <si>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</si>
  <si>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</si>
  <si>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</si>
  <si>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</si>
  <si>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</si>
  <si>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</si>
  <si>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</si>
  <si>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</si>
  <si>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</si>
  <si>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</si>
  <si>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</si>
  <si>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</si>
  <si>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</si>
  <si>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</si>
  <si>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</si>
  <si>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</si>
  <si>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</si>
  <si>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</si>
  <si>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</si>
  <si>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</si>
  <si>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</si>
  <si>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</si>
  <si>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</si>
  <si>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</si>
  <si>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</si>
  <si>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</si>
  <si>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</si>
  <si>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</si>
  <si>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</si>
  <si>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</si>
  <si>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</si>
  <si>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</si>
  <si>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</si>
  <si>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</si>
  <si>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</si>
  <si>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</si>
  <si>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</si>
  <si>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</si>
  <si>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</si>
  <si>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</si>
  <si>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</si>
  <si>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</si>
  <si>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</si>
  <si>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</si>
  <si>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</si>
  <si>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</si>
  <si>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</si>
  <si>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</si>
  <si>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</si>
  <si>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</si>
  <si>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</si>
  <si>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</si>
  <si>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</si>
  <si>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</si>
  <si>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</si>
  <si>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</si>
  <si>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</si>
  <si>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</si>
  <si>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</si>
  <si>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</si>
  <si>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</si>
  <si>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</si>
  <si>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</si>
  <si>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</si>
  <si>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</si>
  <si>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</si>
  <si>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</si>
  <si>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</si>
  <si>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</si>
  <si>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</si>
  <si>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</si>
  <si>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</si>
  <si>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</si>
  <si>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</si>
  <si>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</si>
  <si>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</si>
  <si>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</si>
  <si>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</si>
  <si>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</si>
  <si>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</si>
  <si>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</si>
  <si>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</si>
  <si>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</si>
  <si>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</si>
  <si>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</si>
  <si>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</si>
  <si>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</si>
  <si>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</si>
  <si>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</si>
  <si>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</si>
  <si>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</si>
  <si>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</si>
  <si>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</si>
  <si>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</si>
  <si>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</si>
  <si>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</si>
  <si>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</si>
  <si>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</si>
  <si>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</si>
  <si>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</si>
  <si>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</si>
  <si>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</si>
  <si>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</si>
  <si>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</si>
  <si>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</si>
  <si>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</si>
  <si>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</si>
  <si>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</si>
  <si>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</si>
  <si>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</si>
  <si>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</si>
  <si>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</si>
  <si>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</si>
  <si>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</si>
  <si>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</si>
  <si>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</si>
  <si>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</si>
  <si>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</si>
  <si>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</si>
  <si>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</si>
  <si>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</si>
  <si>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</si>
  <si>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</si>
  <si>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</si>
  <si>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</si>
  <si>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</si>
  <si>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</si>
  <si>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</si>
  <si>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</si>
  <si>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</si>
  <si>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</si>
  <si>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</si>
  <si>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</si>
  <si>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</si>
  <si>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</si>
  <si>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</si>
  <si>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</si>
  <si>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</si>
  <si>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</si>
  <si>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</si>
  <si>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</si>
  <si>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</si>
  <si>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</si>
  <si>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</si>
  <si>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</si>
  <si>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</si>
  <si>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</si>
  <si>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</si>
  <si>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</si>
  <si>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</si>
  <si>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</si>
  <si>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</si>
  <si>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</si>
  <si>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</si>
  <si>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</si>
  <si>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</si>
  <si>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</si>
  <si>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</si>
  <si>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</si>
  <si>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</si>
  <si>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</si>
  <si>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</si>
  <si>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</si>
  <si>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</si>
  <si>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</si>
  <si>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</si>
  <si>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</si>
  <si>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</si>
  <si>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</si>
  <si>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</si>
  <si>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</si>
  <si>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</si>
  <si>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</si>
  <si>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</si>
  <si>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</si>
  <si>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</si>
  <si>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</si>
  <si>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</si>
  <si>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</si>
  <si>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</si>
  <si>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</si>
  <si>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</si>
  <si>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</si>
  <si>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</si>
  <si>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</si>
  <si>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</si>
  <si>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</si>
  <si>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</si>
  <si>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</si>
  <si>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</si>
  <si>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</si>
  <si>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</si>
  <si>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</si>
  <si>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</si>
  <si>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</si>
  <si>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</si>
  <si>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</si>
  <si>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</si>
  <si>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</si>
  <si>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</si>
  <si>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</si>
  <si>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</si>
  <si>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</si>
  <si>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</si>
  <si>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</si>
  <si>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</si>
  <si>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</si>
  <si>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</si>
  <si>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</si>
  <si>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</si>
  <si>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</si>
  <si>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</si>
  <si>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</si>
  <si>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</si>
  <si>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</si>
  <si>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</si>
  <si>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</si>
  <si>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</si>
  <si>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</si>
  <si>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</si>
  <si>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</si>
  <si>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</si>
  <si>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</si>
  <si>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</si>
  <si>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</si>
  <si>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</si>
  <si>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</si>
  <si>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</si>
  <si>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</si>
  <si>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</si>
  <si>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</si>
  <si>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</si>
  <si>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</si>
  <si>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</si>
  <si>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</si>
  <si>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</si>
  <si>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</si>
  <si>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</si>
  <si>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</si>
  <si>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</si>
  <si>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</si>
  <si>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</si>
  <si>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</si>
  <si>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</si>
  <si>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</si>
  <si>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</si>
  <si>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</si>
  <si>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</si>
  <si>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</si>
  <si>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</si>
  <si>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</si>
  <si>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</si>
  <si>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</si>
  <si>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</si>
  <si>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</si>
  <si>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</si>
  <si>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</si>
  <si>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</si>
  <si>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</si>
  <si>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</si>
  <si>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</si>
  <si>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</si>
  <si>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</si>
  <si>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</si>
  <si>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</si>
  <si>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</si>
  <si>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</si>
  <si>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</si>
  <si>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</si>
  <si>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</si>
  <si>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</si>
  <si>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</si>
  <si>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</si>
  <si>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</si>
  <si>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</si>
  <si>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</si>
  <si>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</si>
  <si>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</si>
  <si>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</si>
  <si>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</si>
  <si>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</si>
  <si>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</si>
  <si>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</si>
  <si>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</si>
  <si>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</si>
  <si>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</si>
  <si>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</si>
  <si>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</si>
  <si>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</si>
  <si>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</si>
  <si>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</si>
  <si>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</si>
  <si>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</si>
  <si>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</si>
  <si>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</si>
  <si>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</si>
  <si>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</si>
  <si>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</si>
  <si>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</si>
  <si>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</si>
  <si>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</si>
  <si>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</si>
  <si>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</si>
  <si>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</si>
  <si>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</si>
  <si>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</si>
  <si>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</si>
  <si>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</si>
  <si>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</si>
  <si>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</si>
  <si>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</si>
  <si>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</si>
  <si>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</si>
  <si>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</si>
  <si>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</si>
  <si>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</si>
  <si>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</si>
  <si>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</si>
  <si>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</si>
  <si>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</si>
  <si>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</si>
  <si>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</si>
  <si>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</si>
  <si>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</si>
  <si>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</si>
  <si>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</si>
  <si>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</si>
  <si>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</si>
  <si>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</si>
  <si>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</si>
  <si>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</si>
  <si>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</si>
  <si>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</si>
  <si>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</si>
  <si>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</si>
  <si>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</si>
  <si>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</si>
  <si>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</si>
  <si>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</si>
  <si>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</si>
  <si>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</si>
  <si>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</si>
  <si>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</si>
  <si>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</si>
  <si>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</si>
  <si>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</si>
  <si>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</si>
  <si>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</si>
  <si>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</si>
  <si>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</si>
  <si>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</si>
  <si>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</si>
  <si>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</si>
  <si>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</si>
  <si>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</si>
  <si>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</si>
  <si>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</si>
  <si>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</si>
  <si>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</si>
  <si>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</si>
  <si>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</si>
  <si>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</si>
  <si>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</si>
  <si>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</si>
  <si>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</si>
  <si>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</si>
  <si>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</si>
  <si>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</si>
  <si>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</si>
  <si>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</si>
  <si>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</si>
  <si>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</si>
  <si>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</si>
  <si>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</si>
  <si>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</si>
  <si>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</si>
  <si>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</si>
  <si>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</si>
  <si>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</si>
  <si>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</si>
  <si>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</si>
  <si>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</si>
  <si>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</si>
  <si>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</si>
  <si>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</si>
  <si>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</si>
  <si>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</si>
  <si>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</si>
  <si>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</si>
  <si>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</si>
  <si>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</si>
  <si>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</si>
  <si>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</si>
  <si>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</si>
  <si>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</si>
  <si>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</si>
  <si>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</si>
  <si>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</si>
  <si>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</si>
  <si>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</si>
  <si>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</si>
  <si>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</si>
  <si>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</si>
  <si>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</si>
  <si>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</si>
  <si>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</si>
  <si>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</si>
  <si>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</si>
  <si>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</si>
  <si>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</si>
  <si>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</si>
  <si>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</si>
  <si>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</si>
  <si>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</si>
  <si>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</si>
  <si>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</si>
  <si>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</si>
  <si>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</si>
  <si>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</si>
  <si>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</si>
  <si>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</si>
  <si>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</si>
  <si>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</si>
  <si>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</si>
  <si>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</si>
  <si>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</si>
  <si>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</si>
  <si>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</si>
  <si>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</si>
  <si>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</si>
  <si>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</si>
  <si>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</si>
  <si>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</si>
  <si>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</si>
  <si>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</si>
  <si>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</si>
  <si>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</si>
  <si>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</si>
  <si>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</si>
  <si>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</si>
  <si>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</si>
  <si>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</si>
  <si>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</si>
  <si>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</si>
  <si>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</si>
  <si>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</si>
  <si>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</si>
  <si>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</si>
  <si>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</si>
  <si>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</si>
  <si>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</si>
  <si>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</si>
  <si>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</si>
  <si>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</si>
  <si>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</si>
  <si>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</si>
  <si>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</si>
  <si>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</si>
  <si>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</si>
  <si>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</si>
  <si>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</si>
  <si>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</si>
  <si>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</si>
  <si>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</si>
  <si>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</si>
  <si>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</si>
  <si>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</si>
  <si>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</si>
  <si>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</si>
  <si>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</si>
  <si>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</si>
  <si>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</si>
  <si>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</si>
  <si>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</si>
  <si>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</si>
  <si>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</si>
  <si>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</si>
  <si>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</si>
  <si>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</si>
  <si>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</si>
  <si>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</si>
  <si>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</si>
  <si>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</si>
  <si>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</si>
  <si>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</si>
  <si>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</si>
  <si>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</si>
  <si>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</si>
  <si>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</si>
  <si>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</si>
  <si>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</si>
  <si>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</si>
  <si>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</si>
  <si>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</si>
  <si>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</si>
  <si>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</si>
  <si>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</si>
  <si>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</si>
  <si>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</si>
  <si>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</si>
  <si>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</si>
  <si>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</si>
  <si>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</si>
  <si>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</si>
  <si>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</si>
  <si>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</si>
  <si>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</si>
  <si>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</si>
  <si>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</si>
  <si>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</si>
  <si>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</si>
  <si>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</si>
  <si>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</si>
  <si>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</si>
  <si>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</si>
  <si>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</si>
  <si>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</si>
  <si>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</si>
  <si>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</si>
  <si>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</si>
  <si>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</si>
  <si>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</si>
  <si>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</si>
  <si>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</si>
  <si>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</si>
  <si>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</si>
  <si>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</si>
  <si>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</si>
  <si>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</si>
  <si>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</si>
  <si>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</si>
  <si>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</si>
  <si>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</si>
  <si>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</si>
  <si>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</si>
  <si>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</si>
  <si>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</si>
  <si>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</si>
  <si>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</si>
  <si>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</si>
  <si>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</si>
  <si>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</si>
  <si>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</si>
  <si>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</si>
  <si>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</si>
  <si>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</si>
  <si>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</si>
  <si>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</si>
  <si>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</si>
  <si>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</si>
  <si>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</si>
  <si>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</si>
  <si>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</si>
  <si>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</si>
  <si>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</si>
  <si>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</si>
  <si>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</si>
  <si>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</si>
  <si>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</si>
  <si>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</si>
  <si>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</si>
  <si>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</si>
  <si>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</si>
  <si>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</si>
  <si>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</si>
  <si>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</si>
  <si>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</si>
  <si>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</si>
  <si>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</si>
  <si>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</si>
  <si>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</si>
  <si>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</si>
  <si>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</si>
  <si>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</si>
  <si>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</si>
  <si>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</si>
  <si>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</si>
  <si>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</si>
  <si>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</si>
  <si>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</si>
  <si>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</si>
  <si>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</si>
  <si>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</si>
  <si>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</si>
  <si>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</si>
  <si>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</si>
  <si>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</si>
  <si>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</si>
  <si>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</si>
  <si>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</si>
  <si>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</si>
  <si>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</si>
  <si>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</si>
  <si>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</si>
  <si>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</si>
  <si>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</si>
  <si>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</si>
  <si>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</si>
  <si>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</si>
  <si>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</si>
  <si>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</si>
  <si>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</si>
  <si>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</si>
  <si>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</si>
  <si>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</si>
  <si>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</si>
  <si>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</si>
  <si>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</si>
  <si>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</si>
  <si>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</si>
  <si>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</si>
  <si>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</si>
  <si>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</si>
  <si>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</si>
  <si>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</si>
  <si>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</si>
  <si>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</si>
  <si>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</si>
  <si>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</si>
  <si>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</si>
  <si>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</si>
  <si>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</si>
  <si>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</si>
  <si>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</si>
  <si>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</si>
  <si>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</si>
  <si>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</si>
  <si>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</si>
  <si>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</si>
  <si>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</si>
  <si>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</si>
  <si>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</si>
  <si>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</si>
  <si>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</si>
  <si>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</si>
  <si>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</si>
  <si>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</si>
  <si>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</si>
  <si>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</si>
  <si>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</si>
  <si>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</si>
  <si>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</si>
  <si>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</si>
  <si>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</si>
  <si>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</si>
  <si>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</si>
  <si>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</si>
  <si>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</si>
  <si>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</si>
  <si>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</si>
  <si>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</si>
  <si>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</si>
  <si>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</si>
  <si>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</si>
  <si>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</si>
  <si>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</si>
  <si>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</si>
  <si>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</si>
  <si>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</si>
  <si>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</si>
  <si>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</si>
  <si>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</si>
  <si>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</si>
  <si>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</si>
  <si>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</si>
  <si>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</si>
  <si>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</si>
  <si>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</si>
  <si>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</si>
  <si>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</si>
  <si>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</si>
  <si>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</si>
  <si>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</si>
  <si>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</si>
  <si>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</si>
  <si>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</si>
  <si>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</si>
  <si>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</si>
  <si>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</si>
  <si>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</si>
  <si>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</si>
  <si>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</si>
  <si>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</si>
  <si>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</si>
  <si>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</si>
  <si>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</si>
  <si>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</si>
  <si>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</si>
  <si>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</si>
  <si>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</si>
  <si>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</si>
  <si>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</si>
  <si>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</si>
  <si>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</si>
  <si>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</si>
  <si>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</si>
  <si>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</si>
  <si>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</si>
  <si>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</si>
  <si>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</si>
  <si>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</si>
  <si>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</si>
  <si>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</si>
  <si>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</si>
  <si>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</si>
  <si>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</si>
  <si>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</si>
  <si>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</si>
  <si>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</si>
  <si>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</si>
  <si>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</si>
  <si>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</si>
  <si>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</si>
  <si>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</si>
  <si>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</si>
  <si>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</si>
  <si>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</si>
  <si>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</si>
  <si>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</si>
  <si>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</si>
  <si>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</si>
  <si>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</si>
  <si>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</si>
  <si>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</si>
  <si>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</si>
  <si>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</si>
  <si>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</si>
  <si>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</si>
  <si>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</si>
  <si>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</si>
  <si>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</si>
  <si>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</si>
  <si>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</si>
  <si>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</si>
  <si>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</si>
  <si>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</si>
  <si>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</si>
  <si>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</si>
  <si>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</si>
  <si>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</si>
  <si>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</si>
  <si>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</si>
  <si>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</si>
  <si>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</si>
  <si>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</si>
  <si>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</si>
  <si>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</si>
  <si>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</si>
  <si>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</si>
  <si>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</si>
  <si>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</si>
  <si>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</si>
  <si>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</si>
  <si>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</si>
  <si>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</si>
  <si>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</si>
  <si>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</si>
  <si>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</si>
  <si>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</si>
  <si>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</si>
  <si>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</si>
  <si>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</si>
  <si>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</si>
  <si>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</si>
  <si>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</si>
  <si>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</si>
  <si>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</si>
  <si>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</si>
  <si>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</si>
  <si>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</si>
  <si>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</si>
  <si>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</si>
  <si>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</si>
  <si>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</si>
  <si>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</si>
  <si>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</si>
  <si>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</si>
  <si>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</si>
  <si>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</si>
  <si>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</si>
  <si>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</si>
  <si>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</si>
  <si>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</si>
  <si>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</si>
  <si>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</si>
  <si>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</si>
  <si>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</si>
  <si>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</si>
  <si>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</si>
  <si>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</si>
  <si>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</si>
  <si>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</si>
  <si>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</si>
  <si>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</si>
  <si>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</si>
  <si>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</si>
  <si>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</si>
  <si>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</si>
  <si>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</si>
  <si>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</si>
  <si>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</si>
  <si>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</si>
  <si>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</si>
  <si>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</si>
  <si>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</si>
  <si>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</si>
  <si>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</si>
  <si>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</si>
  <si>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</si>
  <si>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</si>
  <si>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</si>
  <si>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</si>
  <si>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</si>
  <si>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</si>
  <si>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</si>
  <si>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</si>
  <si>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</si>
  <si>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</si>
  <si>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</si>
  <si>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</si>
  <si>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</si>
  <si>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</si>
  <si>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</si>
  <si>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</si>
  <si>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</si>
  <si>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</si>
  <si>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</si>
  <si>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</si>
  <si>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</si>
  <si>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</si>
  <si>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</si>
  <si>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</si>
  <si>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</si>
  <si>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</si>
  <si>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</si>
  <si>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</si>
  <si>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</si>
  <si>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</si>
  <si>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</si>
  <si>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</si>
  <si>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</si>
  <si>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</si>
  <si>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</si>
  <si>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</si>
  <si>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</si>
  <si>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</si>
  <si>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</si>
  <si>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</si>
  <si>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</si>
  <si>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</si>
  <si>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</si>
  <si>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</si>
  <si>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</si>
  <si>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</si>
  <si>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</si>
  <si>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</si>
  <si>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</si>
  <si>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</si>
  <si>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</si>
  <si>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</si>
  <si>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</si>
  <si>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</si>
  <si>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</si>
  <si>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</si>
  <si>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</si>
  <si>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</si>
  <si>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</si>
  <si>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</si>
  <si>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</si>
  <si>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</si>
  <si>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</si>
  <si>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</si>
  <si>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</si>
  <si>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</si>
  <si>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</si>
  <si>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</si>
  <si>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</si>
  <si>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</si>
  <si>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</si>
  <si>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</si>
  <si>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</si>
  <si>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</si>
  <si>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</si>
  <si>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</si>
  <si>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</si>
  <si>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</si>
  <si>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</si>
  <si>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</si>
  <si>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</si>
  <si>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</si>
  <si>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</si>
  <si>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</si>
  <si>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</si>
  <si>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</si>
  <si>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</si>
  <si>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</si>
  <si>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</si>
  <si>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</si>
  <si>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</si>
  <si>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</si>
  <si>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</si>
  <si>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</si>
  <si>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</si>
  <si>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</si>
  <si>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</si>
  <si>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</si>
  <si>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</si>
  <si>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</si>
  <si>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</si>
  <si>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</si>
  <si>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</si>
  <si>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</si>
  <si>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</si>
  <si>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</si>
  <si>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</si>
  <si>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</si>
  <si>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</si>
  <si>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</si>
  <si>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</si>
  <si>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</si>
  <si>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</si>
  <si>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</si>
  <si>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</si>
  <si>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</si>
  <si>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</si>
  <si>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</si>
  <si>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</si>
  <si>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</si>
  <si>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</si>
  <si>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</si>
  <si>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</si>
  <si>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</si>
  <si>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</si>
  <si>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</si>
  <si>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</si>
  <si>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</si>
  <si>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</si>
  <si>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</si>
  <si>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</si>
  <si>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</si>
  <si>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</si>
  <si>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</si>
  <si>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</si>
  <si>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</si>
  <si>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</si>
  <si>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</si>
  <si>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</si>
  <si>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</si>
  <si>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</si>
  <si>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</si>
  <si>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</si>
  <si>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</si>
  <si>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</si>
  <si>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</si>
  <si>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</si>
  <si>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</si>
  <si>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</si>
  <si>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</si>
  <si>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</si>
  <si>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</si>
  <si>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</si>
  <si>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</si>
  <si>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</si>
  <si>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</si>
  <si>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</si>
  <si>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</si>
  <si>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</si>
  <si>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</si>
  <si>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</si>
  <si>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</si>
  <si>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</si>
  <si>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</si>
  <si>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</si>
  <si>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</si>
  <si>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</si>
  <si>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</si>
  <si>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</si>
  <si>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</si>
  <si>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</si>
  <si>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</si>
  <si>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</si>
  <si>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</si>
  <si>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</si>
  <si>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</si>
  <si>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</si>
  <si>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</si>
  <si>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</si>
  <si>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</si>
  <si>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</si>
  <si>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</si>
  <si>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</si>
  <si>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</si>
  <si>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</si>
  <si>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</si>
  <si>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</si>
  <si>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</si>
  <si>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</si>
  <si>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</si>
  <si>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</si>
  <si>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</si>
  <si>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</si>
  <si>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</si>
  <si>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</si>
  <si>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</si>
  <si>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</si>
  <si>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</si>
  <si>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</si>
  <si>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</si>
  <si>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</si>
  <si>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</si>
  <si>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</si>
  <si>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</si>
  <si>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</si>
  <si>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</si>
  <si>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</si>
  <si>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</si>
  <si>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</si>
  <si>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</si>
  <si>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</si>
  <si>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</si>
  <si>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</si>
  <si>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</si>
  <si>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</si>
  <si>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</si>
  <si>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</si>
  <si>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</si>
  <si>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</si>
  <si>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</si>
  <si>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</si>
  <si>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</si>
  <si>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</si>
  <si>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</si>
  <si>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</si>
  <si>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</si>
  <si>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</si>
  <si>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</si>
  <si>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</si>
  <si>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</si>
  <si>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</si>
  <si>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</si>
  <si>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</si>
  <si>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</si>
  <si>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</si>
  <si>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</si>
  <si>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</si>
  <si>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</si>
  <si>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</si>
  <si>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</si>
  <si>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</si>
  <si>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</si>
  <si>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</si>
  <si>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</si>
  <si>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</si>
  <si>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</si>
  <si>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</si>
  <si>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</si>
  <si>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</si>
  <si>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</si>
  <si>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</si>
  <si>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</si>
  <si>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</si>
  <si>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</si>
  <si>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</si>
  <si>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</si>
  <si>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</si>
  <si>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</si>
  <si>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</si>
  <si>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</si>
  <si>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</si>
  <si>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</si>
  <si>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</si>
  <si>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</si>
  <si>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</si>
  <si>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</si>
  <si>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</si>
  <si>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</si>
  <si>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</si>
  <si>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</si>
  <si>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</si>
  <si>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</si>
  <si>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</si>
  <si>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</si>
  <si>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</si>
  <si>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</si>
  <si>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</si>
  <si>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</si>
  <si>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</si>
  <si>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</si>
  <si>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</si>
  <si>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</si>
  <si>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</si>
  <si>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</si>
  <si>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</si>
  <si>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</si>
  <si>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</si>
  <si>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</si>
  <si>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</si>
  <si>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</si>
  <si>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</si>
  <si>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</si>
  <si>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</si>
  <si>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</si>
  <si>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</si>
  <si>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</si>
  <si>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</si>
  <si>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</si>
  <si>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</si>
  <si>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</si>
  <si>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</si>
  <si>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</si>
  <si>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</si>
  <si>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</si>
  <si>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</si>
  <si>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</si>
  <si>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</si>
  <si>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</si>
  <si>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</si>
  <si>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</si>
  <si>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</si>
  <si>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</si>
  <si>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</si>
  <si>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</si>
  <si>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</si>
  <si>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</si>
  <si>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</si>
  <si>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</si>
  <si>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</si>
  <si>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</si>
  <si>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</si>
  <si>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</si>
  <si>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</si>
  <si>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</si>
  <si>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</si>
  <si>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</si>
  <si>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</si>
  <si>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</si>
  <si>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</si>
  <si>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</si>
  <si>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</si>
  <si>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</si>
  <si>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</si>
  <si>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</si>
  <si>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</si>
  <si>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</si>
  <si>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</si>
  <si>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</si>
  <si>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</si>
  <si>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</si>
  <si>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</si>
  <si>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</si>
  <si>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</si>
  <si>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</si>
  <si>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</si>
  <si>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</si>
  <si>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</si>
  <si>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</si>
  <si>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</si>
  <si>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</si>
  <si>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</si>
  <si>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</si>
  <si>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</si>
  <si>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</si>
  <si>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</si>
  <si>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</si>
  <si>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</si>
  <si>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</si>
  <si>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</si>
  <si>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</si>
  <si>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</si>
  <si>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</si>
  <si>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</si>
  <si>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</si>
  <si>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</si>
  <si>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</si>
  <si>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</si>
  <si>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</si>
  <si>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</si>
  <si>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</si>
  <si>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</si>
  <si>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</si>
  <si>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</si>
  <si>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</si>
  <si>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</si>
  <si>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</si>
  <si>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</si>
  <si>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</si>
  <si>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</si>
  <si>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</si>
  <si>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</si>
  <si>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</si>
  <si>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</si>
  <si>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</si>
  <si>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</si>
  <si>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</si>
  <si>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</si>
  <si>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</si>
  <si>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</si>
  <si>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</si>
  <si>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</si>
  <si>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</si>
  <si>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</si>
  <si>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</si>
  <si>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</si>
  <si>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</si>
  <si>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</si>
  <si>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</si>
  <si>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</si>
  <si>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</si>
  <si>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</si>
  <si>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</si>
  <si>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</si>
  <si>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</si>
  <si>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</si>
  <si>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</si>
  <si>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</si>
  <si>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</si>
  <si>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</si>
  <si>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</si>
  <si>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</si>
  <si>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</si>
  <si>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</si>
  <si>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</si>
  <si>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</si>
  <si>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</si>
  <si>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</si>
  <si>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</si>
  <si>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</si>
  <si>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</si>
  <si>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</si>
  <si>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</si>
  <si>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</si>
  <si>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</si>
  <si>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</si>
  <si>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</si>
  <si>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</si>
  <si>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</si>
  <si>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</si>
  <si>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</si>
  <si>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</si>
  <si>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</si>
  <si>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</si>
  <si>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</si>
  <si>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</si>
  <si>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</si>
  <si>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</si>
  <si>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</si>
  <si>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</si>
  <si>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</si>
  <si>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</si>
  <si>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</si>
  <si>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</si>
  <si>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</si>
  <si>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</si>
  <si>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</si>
  <si>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</si>
  <si>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</si>
  <si>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</si>
  <si>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</si>
  <si>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</si>
  <si>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</si>
  <si>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</si>
  <si>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</si>
  <si>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</si>
  <si>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</si>
  <si>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</si>
  <si>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</si>
  <si>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</si>
  <si>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</si>
  <si>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</si>
  <si>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</si>
  <si>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</si>
  <si>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</si>
  <si>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</si>
  <si>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</si>
  <si>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</si>
  <si>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</si>
  <si>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</si>
  <si>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</si>
  <si>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</si>
  <si>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</si>
  <si>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</si>
  <si>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</si>
  <si>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</si>
  <si>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</si>
  <si>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</si>
  <si>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</si>
  <si>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</si>
  <si>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</si>
  <si>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</si>
  <si>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</si>
  <si>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</si>
  <si>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</si>
  <si>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</si>
  <si>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</si>
  <si>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</si>
  <si>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</si>
  <si>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</si>
  <si>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</si>
  <si>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</si>
  <si>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</si>
  <si>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</si>
  <si>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</si>
  <si>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</si>
  <si>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</si>
  <si>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</si>
  <si>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</si>
  <si>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</si>
  <si>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</si>
  <si>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</si>
  <si>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</si>
  <si>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</si>
  <si>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</si>
  <si>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</si>
  <si>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</si>
  <si>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</si>
  <si>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</si>
  <si>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</si>
  <si>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</si>
  <si>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</si>
  <si>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</si>
  <si>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</si>
  <si>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</si>
  <si>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</si>
  <si>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</si>
  <si>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</si>
  <si>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</si>
  <si>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</si>
  <si>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</si>
  <si>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</si>
  <si>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</si>
  <si>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</si>
  <si>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</si>
  <si>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</si>
  <si>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</si>
  <si>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</si>
  <si>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</si>
  <si>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</si>
  <si>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</si>
  <si>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</si>
  <si>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</si>
  <si>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</si>
  <si>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</si>
  <si>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</si>
  <si>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</si>
  <si>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</si>
  <si>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</si>
  <si>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</si>
  <si>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</si>
  <si>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</si>
  <si>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</si>
  <si>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</si>
  <si>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</si>
  <si>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</si>
  <si>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</si>
  <si>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</si>
  <si>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</si>
  <si>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</si>
  <si>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</si>
  <si>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</si>
  <si>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</si>
  <si>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</si>
  <si>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</si>
  <si>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</si>
  <si>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</si>
  <si>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</si>
  <si>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</si>
  <si>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</si>
  <si>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</si>
  <si>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</si>
  <si>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</si>
  <si>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</si>
  <si>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</si>
  <si>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</si>
  <si>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</si>
  <si>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</si>
  <si>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</si>
  <si>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</si>
  <si>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</si>
  <si>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</si>
  <si>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</si>
  <si>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</si>
  <si>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</si>
  <si>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</si>
  <si>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</si>
  <si>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</si>
  <si>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</si>
  <si>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</si>
  <si>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</si>
  <si>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</si>
  <si>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</si>
  <si>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</si>
  <si>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</si>
  <si>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</si>
  <si>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</si>
  <si>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</si>
  <si>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</si>
  <si>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</si>
  <si>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</si>
  <si>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</si>
  <si>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</si>
  <si>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</si>
  <si>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</si>
  <si>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</si>
  <si>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</si>
  <si>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</si>
  <si>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</si>
  <si>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</si>
  <si>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</si>
  <si>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</si>
  <si>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</si>
  <si>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</si>
  <si>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</si>
  <si>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</si>
  <si>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</si>
  <si>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</si>
  <si>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</si>
  <si>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</si>
  <si>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</si>
  <si>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</si>
  <si>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</si>
  <si>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</si>
  <si>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</si>
  <si>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</si>
  <si>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</si>
  <si>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</si>
  <si>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</si>
  <si>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</si>
  <si>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</si>
  <si>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</si>
  <si>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</si>
  <si>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</si>
  <si>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</si>
  <si>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</si>
  <si>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</si>
  <si>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</si>
  <si>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</si>
  <si>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</si>
  <si>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</si>
  <si>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</si>
  <si>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</si>
  <si>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</si>
  <si>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</si>
  <si>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</si>
  <si>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</si>
  <si>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</si>
  <si>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</si>
  <si>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</si>
  <si>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</si>
  <si>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</si>
  <si>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</si>
  <si>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</si>
  <si>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</si>
  <si>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</si>
  <si>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</si>
  <si>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</si>
  <si>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</si>
  <si>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</si>
  <si>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</si>
  <si>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</si>
  <si>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</si>
  <si>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</si>
  <si>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</si>
  <si>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</si>
  <si>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</si>
  <si>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</si>
  <si>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</si>
  <si>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</si>
  <si>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</si>
  <si>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</si>
  <si>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</si>
  <si>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</si>
  <si>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</si>
  <si>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</si>
  <si>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</si>
  <si>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</si>
  <si>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</si>
  <si>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</si>
  <si>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</si>
  <si>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</si>
  <si>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</si>
  <si>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</si>
  <si>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</si>
  <si>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</si>
  <si>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</si>
  <si>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</si>
  <si>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</si>
  <si>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</si>
  <si>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</si>
  <si>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</si>
  <si>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</si>
  <si>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</si>
  <si>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</si>
  <si>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</si>
  <si>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</si>
  <si>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</si>
  <si>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</si>
  <si>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</si>
  <si>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</si>
  <si>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</si>
  <si>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</si>
  <si>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</si>
  <si>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</si>
  <si>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</si>
  <si>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</si>
  <si>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</si>
  <si>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</si>
  <si>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</si>
  <si>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</si>
  <si>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</si>
  <si>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</si>
  <si>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</si>
  <si>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</si>
  <si>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</si>
  <si>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</si>
  <si>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</si>
  <si>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</si>
  <si>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</si>
  <si>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</si>
  <si>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</si>
  <si>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</si>
  <si>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</si>
  <si>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</si>
  <si>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</si>
  <si>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</si>
  <si>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</si>
  <si>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</si>
  <si>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</si>
  <si>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</si>
  <si>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</si>
  <si>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</si>
  <si>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</si>
  <si>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</si>
  <si>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</si>
  <si>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</si>
  <si>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</si>
  <si>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</si>
  <si>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</si>
  <si>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</si>
  <si>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</si>
  <si>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</si>
  <si>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</si>
  <si>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</si>
  <si>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</si>
  <si>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</si>
  <si>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</si>
  <si>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</si>
  <si>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</si>
  <si>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</si>
  <si>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</si>
  <si>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</si>
  <si>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</si>
  <si>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</si>
  <si>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</si>
  <si>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</si>
  <si>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企业</t>
  </si>
  <si>
    <t>北京市</t>
  </si>
  <si>
    <t>划拨</t>
  </si>
  <si>
    <t>商业</t>
    <phoneticPr fontId="7" type="noConversion"/>
  </si>
  <si>
    <t>住宅</t>
  </si>
  <si>
    <t>住宅</t>
    <phoneticPr fontId="7" type="noConversion"/>
  </si>
  <si>
    <t>办公</t>
    <phoneticPr fontId="7" type="noConversion"/>
  </si>
  <si>
    <t>城镇住宅用地</t>
    <phoneticPr fontId="134" type="noConversion"/>
  </si>
  <si>
    <t>与级别开发程度一致</t>
  </si>
  <si>
    <t>无</t>
  </si>
  <si>
    <t>500米范围内</t>
  </si>
  <si>
    <t>自定义容积率</t>
  </si>
  <si>
    <t>较好</t>
  </si>
  <si>
    <t>好</t>
  </si>
  <si>
    <t>楼层修正</t>
  </si>
  <si>
    <t>不临65条商业街</t>
  </si>
  <si>
    <t>商务金融用地</t>
  </si>
  <si>
    <t>是</t>
  </si>
  <si>
    <t>地上</t>
  </si>
  <si>
    <t>底商</t>
  </si>
  <si>
    <t>办公楼</t>
  </si>
  <si>
    <t>商业</t>
    <phoneticPr fontId="134" type="noConversion"/>
  </si>
  <si>
    <t>熟地价</t>
    <phoneticPr fontId="134" type="noConversion"/>
  </si>
  <si>
    <t>政府土地出让收益</t>
    <phoneticPr fontId="134" type="noConversion"/>
  </si>
  <si>
    <t>地下仓储</t>
    <phoneticPr fontId="134" type="noConversion"/>
  </si>
  <si>
    <t>保租房</t>
    <phoneticPr fontId="134" type="noConversion"/>
  </si>
  <si>
    <t>车位</t>
    <phoneticPr fontId="134" type="noConversion"/>
  </si>
  <si>
    <t>租金水平</t>
    <phoneticPr fontId="134" type="noConversion"/>
  </si>
  <si>
    <t>政馨园三区</t>
    <phoneticPr fontId="134" type="noConversion"/>
  </si>
  <si>
    <t>金茂府二期</t>
    <phoneticPr fontId="134" type="noConversion"/>
  </si>
  <si>
    <t>北京金茂府</t>
    <phoneticPr fontId="134" type="noConversion"/>
  </si>
  <si>
    <t>顶秀金颐家园</t>
    <phoneticPr fontId="134" type="noConversion"/>
  </si>
  <si>
    <t>顶秀金瑞家园</t>
    <phoneticPr fontId="134" type="noConversion"/>
  </si>
  <si>
    <t>顶秀欣园东苑</t>
    <phoneticPr fontId="134" type="noConversion"/>
  </si>
  <si>
    <t>鑫兆雅园</t>
    <phoneticPr fontId="134" type="noConversion"/>
  </si>
  <si>
    <t>鑫兆雅园南区</t>
    <phoneticPr fontId="134" type="noConversion"/>
  </si>
  <si>
    <t>鑫兆雅园北区</t>
    <phoneticPr fontId="134" type="noConversion"/>
  </si>
  <si>
    <t>租金</t>
  </si>
  <si>
    <t>较大</t>
  </si>
  <si>
    <t>较大</t>
    <phoneticPr fontId="30" type="noConversion"/>
  </si>
  <si>
    <t>一般</t>
  </si>
  <si>
    <t>一般</t>
    <phoneticPr fontId="30" type="noConversion"/>
  </si>
  <si>
    <t>主干道</t>
  </si>
  <si>
    <t>主干道</t>
    <phoneticPr fontId="30" type="noConversion"/>
  </si>
  <si>
    <t>次干道</t>
  </si>
  <si>
    <t>次干道</t>
    <phoneticPr fontId="30" type="noConversion"/>
  </si>
  <si>
    <t>顶秀欣园</t>
    <phoneticPr fontId="134" type="noConversion"/>
  </si>
  <si>
    <t>西马金润家园</t>
    <phoneticPr fontId="134" type="noConversion"/>
  </si>
  <si>
    <t>星河苑</t>
    <phoneticPr fontId="134" type="noConversion"/>
  </si>
  <si>
    <t>正常</t>
  </si>
  <si>
    <t>挂牌</t>
  </si>
  <si>
    <t>挂牌</t>
    <phoneticPr fontId="30" type="noConversion"/>
  </si>
  <si>
    <r>
      <t>360元</t>
    </r>
    <r>
      <rPr>
        <sz val="11"/>
        <color theme="1"/>
        <rFont val="宋体"/>
        <family val="3"/>
        <charset val="134"/>
        <scheme val="minor"/>
      </rPr>
      <t>/个·月</t>
    </r>
    <phoneticPr fontId="134" type="noConversion"/>
  </si>
  <si>
    <r>
      <t>12元</t>
    </r>
    <r>
      <rPr>
        <sz val="11"/>
        <color theme="1"/>
        <rFont val="宋体"/>
        <family val="3"/>
        <charset val="134"/>
        <scheme val="minor"/>
      </rPr>
      <t>/</t>
    </r>
    <r>
      <rPr>
        <sz val="11"/>
        <color theme="1"/>
        <rFont val="宋体"/>
        <family val="3"/>
        <charset val="134"/>
        <scheme val="minor"/>
      </rPr>
      <t>平方米·天</t>
    </r>
    <phoneticPr fontId="134" type="noConversion"/>
  </si>
  <si>
    <r>
      <t>85元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月</t>
    </r>
    <phoneticPr fontId="134" type="noConversion"/>
  </si>
  <si>
    <t>元/平方米</t>
    <phoneticPr fontId="134" type="noConversion"/>
  </si>
  <si>
    <t>场站</t>
    <phoneticPr fontId="7" type="noConversion"/>
  </si>
  <si>
    <t>办公（交通服务）</t>
    <phoneticPr fontId="134" type="noConversion"/>
  </si>
  <si>
    <r>
      <t>2</t>
    </r>
    <r>
      <rPr>
        <sz val="11"/>
        <color theme="1"/>
        <rFont val="宋体"/>
        <family val="3"/>
        <charset val="134"/>
        <scheme val="minor"/>
      </rPr>
      <t>025.2.14</t>
    </r>
    <phoneticPr fontId="134" type="noConversion"/>
  </si>
  <si>
    <t>地下车库</t>
    <phoneticPr fontId="134" type="noConversion"/>
  </si>
  <si>
    <r>
      <t>2</t>
    </r>
    <r>
      <rPr>
        <sz val="11"/>
        <color theme="1"/>
        <rFont val="宋体"/>
        <family val="3"/>
        <charset val="134"/>
        <scheme val="minor"/>
      </rPr>
      <t>025.2.20</t>
    </r>
    <phoneticPr fontId="134" type="noConversion"/>
  </si>
  <si>
    <t>岳翠兰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</si>
</sst>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95" fillId="5" borderId="0" xfId="0" applyFont="1" applyFill="1">
      <alignment vertical="center"/>
    </xf>
    <xf numFmtId="0" fontId="0" fillId="5" borderId="0" xfId="0" applyFill="1">
      <alignment vertical="center"/>
    </xf>
    <xf numFmtId="0" fontId="95" fillId="22" borderId="0" xfId="0" applyFont="1" applyFill="1">
      <alignment vertical="center"/>
    </xf>
    <xf numFmtId="0" fontId="0" fillId="22" borderId="0" xfId="0" applyFill="1">
      <alignment vertical="center"/>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456371</xdr:colOff>
      <xdr:row>27</xdr:row>
      <xdr:rowOff>170850</xdr:rowOff>
    </xdr:to>
    <xdr:pic>
      <xdr:nvPicPr>
        <xdr:cNvPr id="2" name="图片 1">
          <a:extLst>
            <a:ext uri="{FF2B5EF4-FFF2-40B4-BE49-F238E27FC236}">
              <a16:creationId xmlns:a16="http://schemas.microsoft.com/office/drawing/2014/main" id="{7948F862-FBD6-844B-DEEF-140CDEF6310C}"/>
            </a:ext>
          </a:extLst>
        </xdr:cNvPr>
        <xdr:cNvPicPr>
          <a:picLocks noChangeAspect="1"/>
        </xdr:cNvPicPr>
      </xdr:nvPicPr>
      <xdr:blipFill>
        <a:blip xmlns:r="http://schemas.openxmlformats.org/officeDocument/2006/relationships" r:embed="rId1"/>
        <a:stretch>
          <a:fillRect/>
        </a:stretch>
      </xdr:blipFill>
      <xdr:spPr>
        <a:xfrm>
          <a:off x="0" y="0"/>
          <a:ext cx="6628571" cy="4800000"/>
        </a:xfrm>
        <a:prstGeom prst="rect">
          <a:avLst/>
        </a:prstGeom>
      </xdr:spPr>
    </xdr:pic>
    <xdr:clientData/>
  </xdr:twoCellAnchor>
  <xdr:twoCellAnchor editAs="oneCell">
    <xdr:from>
      <xdr:col>9</xdr:col>
      <xdr:colOff>590550</xdr:colOff>
      <xdr:row>0</xdr:row>
      <xdr:rowOff>0</xdr:rowOff>
    </xdr:from>
    <xdr:to>
      <xdr:col>18</xdr:col>
      <xdr:colOff>218271</xdr:colOff>
      <xdr:row>28</xdr:row>
      <xdr:rowOff>94638</xdr:rowOff>
    </xdr:to>
    <xdr:pic>
      <xdr:nvPicPr>
        <xdr:cNvPr id="3" name="图片 2">
          <a:extLst>
            <a:ext uri="{FF2B5EF4-FFF2-40B4-BE49-F238E27FC236}">
              <a16:creationId xmlns:a16="http://schemas.microsoft.com/office/drawing/2014/main" id="{6BEE5919-FBA1-A1BB-889A-D19AD93DCA06}"/>
            </a:ext>
          </a:extLst>
        </xdr:cNvPr>
        <xdr:cNvPicPr>
          <a:picLocks noChangeAspect="1"/>
        </xdr:cNvPicPr>
      </xdr:nvPicPr>
      <xdr:blipFill>
        <a:blip xmlns:r="http://schemas.openxmlformats.org/officeDocument/2006/relationships" r:embed="rId2"/>
        <a:stretch>
          <a:fillRect/>
        </a:stretch>
      </xdr:blipFill>
      <xdr:spPr>
        <a:xfrm>
          <a:off x="6762750" y="0"/>
          <a:ext cx="6428571" cy="4895238"/>
        </a:xfrm>
        <a:prstGeom prst="rect">
          <a:avLst/>
        </a:prstGeom>
      </xdr:spPr>
    </xdr:pic>
    <xdr:clientData/>
  </xdr:twoCellAnchor>
  <xdr:twoCellAnchor editAs="oneCell">
    <xdr:from>
      <xdr:col>17</xdr:col>
      <xdr:colOff>571500</xdr:colOff>
      <xdr:row>0</xdr:row>
      <xdr:rowOff>0</xdr:rowOff>
    </xdr:from>
    <xdr:to>
      <xdr:col>26</xdr:col>
      <xdr:colOff>323109</xdr:colOff>
      <xdr:row>26</xdr:row>
      <xdr:rowOff>75633</xdr:rowOff>
    </xdr:to>
    <xdr:pic>
      <xdr:nvPicPr>
        <xdr:cNvPr id="4" name="图片 3">
          <a:extLst>
            <a:ext uri="{FF2B5EF4-FFF2-40B4-BE49-F238E27FC236}">
              <a16:creationId xmlns:a16="http://schemas.microsoft.com/office/drawing/2014/main" id="{F63FE82E-DE6D-C4C7-FE3D-73275185AB59}"/>
            </a:ext>
          </a:extLst>
        </xdr:cNvPr>
        <xdr:cNvPicPr>
          <a:picLocks noChangeAspect="1"/>
        </xdr:cNvPicPr>
      </xdr:nvPicPr>
      <xdr:blipFill>
        <a:blip xmlns:r="http://schemas.openxmlformats.org/officeDocument/2006/relationships" r:embed="rId3"/>
        <a:stretch>
          <a:fillRect/>
        </a:stretch>
      </xdr:blipFill>
      <xdr:spPr>
        <a:xfrm>
          <a:off x="12858750" y="0"/>
          <a:ext cx="5923809" cy="4533333"/>
        </a:xfrm>
        <a:prstGeom prst="rect">
          <a:avLst/>
        </a:prstGeom>
      </xdr:spPr>
    </xdr:pic>
    <xdr:clientData/>
  </xdr:twoCellAnchor>
  <xdr:twoCellAnchor editAs="oneCell">
    <xdr:from>
      <xdr:col>25</xdr:col>
      <xdr:colOff>133350</xdr:colOff>
      <xdr:row>0</xdr:row>
      <xdr:rowOff>0</xdr:rowOff>
    </xdr:from>
    <xdr:to>
      <xdr:col>39</xdr:col>
      <xdr:colOff>75007</xdr:colOff>
      <xdr:row>31</xdr:row>
      <xdr:rowOff>123145</xdr:rowOff>
    </xdr:to>
    <xdr:pic>
      <xdr:nvPicPr>
        <xdr:cNvPr id="5" name="图片 4">
          <a:extLst>
            <a:ext uri="{FF2B5EF4-FFF2-40B4-BE49-F238E27FC236}">
              <a16:creationId xmlns:a16="http://schemas.microsoft.com/office/drawing/2014/main" id="{50322B65-3DC7-E245-71E3-A430B87CD361}"/>
            </a:ext>
          </a:extLst>
        </xdr:cNvPr>
        <xdr:cNvPicPr>
          <a:picLocks noChangeAspect="1"/>
        </xdr:cNvPicPr>
      </xdr:nvPicPr>
      <xdr:blipFill>
        <a:blip xmlns:r="http://schemas.openxmlformats.org/officeDocument/2006/relationships" r:embed="rId4"/>
        <a:stretch>
          <a:fillRect/>
        </a:stretch>
      </xdr:blipFill>
      <xdr:spPr>
        <a:xfrm>
          <a:off x="17907000" y="0"/>
          <a:ext cx="9542857" cy="5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142875</xdr:rowOff>
    </xdr:from>
    <xdr:to>
      <xdr:col>12</xdr:col>
      <xdr:colOff>476250</xdr:colOff>
      <xdr:row>50</xdr:row>
      <xdr:rowOff>41031</xdr:rowOff>
    </xdr:to>
    <xdr:pic>
      <xdr:nvPicPr>
        <xdr:cNvPr id="2" name="图片 1">
          <a:extLst>
            <a:ext uri="{FF2B5EF4-FFF2-40B4-BE49-F238E27FC236}">
              <a16:creationId xmlns:a16="http://schemas.microsoft.com/office/drawing/2014/main" id="{A1EEABCA-13D0-4543-5C88-BD8306BDABB1}"/>
            </a:ext>
          </a:extLst>
        </xdr:cNvPr>
        <xdr:cNvPicPr>
          <a:picLocks noChangeAspect="1"/>
        </xdr:cNvPicPr>
      </xdr:nvPicPr>
      <xdr:blipFill>
        <a:blip xmlns:r="http://schemas.openxmlformats.org/officeDocument/2006/relationships" r:embed="rId1"/>
        <a:stretch>
          <a:fillRect/>
        </a:stretch>
      </xdr:blipFill>
      <xdr:spPr>
        <a:xfrm>
          <a:off x="9525" y="142875"/>
          <a:ext cx="8696325" cy="8470656"/>
        </a:xfrm>
        <a:prstGeom prst="rect">
          <a:avLst/>
        </a:prstGeom>
      </xdr:spPr>
    </xdr:pic>
    <xdr:clientData/>
  </xdr:twoCellAnchor>
  <xdr:twoCellAnchor editAs="oneCell">
    <xdr:from>
      <xdr:col>25</xdr:col>
      <xdr:colOff>542925</xdr:colOff>
      <xdr:row>1</xdr:row>
      <xdr:rowOff>0</xdr:rowOff>
    </xdr:from>
    <xdr:to>
      <xdr:col>39</xdr:col>
      <xdr:colOff>293856</xdr:colOff>
      <xdr:row>28</xdr:row>
      <xdr:rowOff>109681</xdr:rowOff>
    </xdr:to>
    <xdr:pic>
      <xdr:nvPicPr>
        <xdr:cNvPr id="3" name="图片 2">
          <a:extLst>
            <a:ext uri="{FF2B5EF4-FFF2-40B4-BE49-F238E27FC236}">
              <a16:creationId xmlns:a16="http://schemas.microsoft.com/office/drawing/2014/main" id="{088B0CE8-9EA4-0D0A-476E-D287980C869A}"/>
            </a:ext>
          </a:extLst>
        </xdr:cNvPr>
        <xdr:cNvPicPr>
          <a:picLocks noChangeAspect="1"/>
        </xdr:cNvPicPr>
      </xdr:nvPicPr>
      <xdr:blipFill>
        <a:blip xmlns:r="http://schemas.openxmlformats.org/officeDocument/2006/relationships" r:embed="rId2"/>
        <a:stretch>
          <a:fillRect/>
        </a:stretch>
      </xdr:blipFill>
      <xdr:spPr>
        <a:xfrm>
          <a:off x="18145125" y="171450"/>
          <a:ext cx="9352131" cy="4738831"/>
        </a:xfrm>
        <a:prstGeom prst="rect">
          <a:avLst/>
        </a:prstGeom>
      </xdr:spPr>
    </xdr:pic>
    <xdr:clientData/>
  </xdr:twoCellAnchor>
  <xdr:twoCellAnchor editAs="oneCell">
    <xdr:from>
      <xdr:col>25</xdr:col>
      <xdr:colOff>495300</xdr:colOff>
      <xdr:row>6</xdr:row>
      <xdr:rowOff>152400</xdr:rowOff>
    </xdr:from>
    <xdr:to>
      <xdr:col>42</xdr:col>
      <xdr:colOff>484319</xdr:colOff>
      <xdr:row>41</xdr:row>
      <xdr:rowOff>75459</xdr:rowOff>
    </xdr:to>
    <xdr:pic>
      <xdr:nvPicPr>
        <xdr:cNvPr id="4" name="图片 3">
          <a:extLst>
            <a:ext uri="{FF2B5EF4-FFF2-40B4-BE49-F238E27FC236}">
              <a16:creationId xmlns:a16="http://schemas.microsoft.com/office/drawing/2014/main" id="{E6EA9C92-1086-45EF-087B-D9A200BA827F}"/>
            </a:ext>
          </a:extLst>
        </xdr:cNvPr>
        <xdr:cNvPicPr>
          <a:picLocks noChangeAspect="1"/>
        </xdr:cNvPicPr>
      </xdr:nvPicPr>
      <xdr:blipFill>
        <a:blip xmlns:r="http://schemas.openxmlformats.org/officeDocument/2006/relationships" r:embed="rId3"/>
        <a:stretch>
          <a:fillRect/>
        </a:stretch>
      </xdr:blipFill>
      <xdr:spPr>
        <a:xfrm>
          <a:off x="18097500" y="1181100"/>
          <a:ext cx="11647619" cy="5923809"/>
        </a:xfrm>
        <a:prstGeom prst="rect">
          <a:avLst/>
        </a:prstGeom>
      </xdr:spPr>
    </xdr:pic>
    <xdr:clientData/>
  </xdr:twoCellAnchor>
  <xdr:twoCellAnchor editAs="oneCell">
    <xdr:from>
      <xdr:col>25</xdr:col>
      <xdr:colOff>657225</xdr:colOff>
      <xdr:row>12</xdr:row>
      <xdr:rowOff>0</xdr:rowOff>
    </xdr:from>
    <xdr:to>
      <xdr:col>42</xdr:col>
      <xdr:colOff>265292</xdr:colOff>
      <xdr:row>46</xdr:row>
      <xdr:rowOff>46890</xdr:rowOff>
    </xdr:to>
    <xdr:pic>
      <xdr:nvPicPr>
        <xdr:cNvPr id="5" name="图片 4">
          <a:extLst>
            <a:ext uri="{FF2B5EF4-FFF2-40B4-BE49-F238E27FC236}">
              <a16:creationId xmlns:a16="http://schemas.microsoft.com/office/drawing/2014/main" id="{58B201BF-FE28-C38E-AB50-5F3725860835}"/>
            </a:ext>
          </a:extLst>
        </xdr:cNvPr>
        <xdr:cNvPicPr>
          <a:picLocks noChangeAspect="1"/>
        </xdr:cNvPicPr>
      </xdr:nvPicPr>
      <xdr:blipFill>
        <a:blip xmlns:r="http://schemas.openxmlformats.org/officeDocument/2006/relationships" r:embed="rId4"/>
        <a:stretch>
          <a:fillRect/>
        </a:stretch>
      </xdr:blipFill>
      <xdr:spPr>
        <a:xfrm>
          <a:off x="18259425" y="2057400"/>
          <a:ext cx="11266667" cy="5876190"/>
        </a:xfrm>
        <a:prstGeom prst="rect">
          <a:avLst/>
        </a:prstGeom>
      </xdr:spPr>
    </xdr:pic>
    <xdr:clientData/>
  </xdr:twoCellAnchor>
  <xdr:twoCellAnchor editAs="oneCell">
    <xdr:from>
      <xdr:col>10</xdr:col>
      <xdr:colOff>228600</xdr:colOff>
      <xdr:row>48</xdr:row>
      <xdr:rowOff>9525</xdr:rowOff>
    </xdr:from>
    <xdr:to>
      <xdr:col>21</xdr:col>
      <xdr:colOff>407622</xdr:colOff>
      <xdr:row>73</xdr:row>
      <xdr:rowOff>46669</xdr:rowOff>
    </xdr:to>
    <xdr:pic>
      <xdr:nvPicPr>
        <xdr:cNvPr id="6" name="图片 5">
          <a:extLst>
            <a:ext uri="{FF2B5EF4-FFF2-40B4-BE49-F238E27FC236}">
              <a16:creationId xmlns:a16="http://schemas.microsoft.com/office/drawing/2014/main" id="{D8E50FEE-6F9A-9148-FE65-9D0031C590F3}"/>
            </a:ext>
          </a:extLst>
        </xdr:cNvPr>
        <xdr:cNvPicPr>
          <a:picLocks noChangeAspect="1"/>
        </xdr:cNvPicPr>
      </xdr:nvPicPr>
      <xdr:blipFill>
        <a:blip xmlns:r="http://schemas.openxmlformats.org/officeDocument/2006/relationships" r:embed="rId5"/>
        <a:stretch>
          <a:fillRect/>
        </a:stretch>
      </xdr:blipFill>
      <xdr:spPr>
        <a:xfrm>
          <a:off x="7086600" y="8239125"/>
          <a:ext cx="8027622" cy="4323394"/>
        </a:xfrm>
        <a:prstGeom prst="rect">
          <a:avLst/>
        </a:prstGeom>
      </xdr:spPr>
    </xdr:pic>
    <xdr:clientData/>
  </xdr:twoCellAnchor>
  <xdr:twoCellAnchor editAs="oneCell">
    <xdr:from>
      <xdr:col>18</xdr:col>
      <xdr:colOff>85725</xdr:colOff>
      <xdr:row>49</xdr:row>
      <xdr:rowOff>42083</xdr:rowOff>
    </xdr:from>
    <xdr:to>
      <xdr:col>27</xdr:col>
      <xdr:colOff>255500</xdr:colOff>
      <xdr:row>68</xdr:row>
      <xdr:rowOff>161054</xdr:rowOff>
    </xdr:to>
    <xdr:pic>
      <xdr:nvPicPr>
        <xdr:cNvPr id="7" name="图片 6">
          <a:extLst>
            <a:ext uri="{FF2B5EF4-FFF2-40B4-BE49-F238E27FC236}">
              <a16:creationId xmlns:a16="http://schemas.microsoft.com/office/drawing/2014/main" id="{654B09A8-434B-8B0D-FCDC-7E9D909E825A}"/>
            </a:ext>
          </a:extLst>
        </xdr:cNvPr>
        <xdr:cNvPicPr>
          <a:picLocks noChangeAspect="1"/>
        </xdr:cNvPicPr>
      </xdr:nvPicPr>
      <xdr:blipFill>
        <a:blip xmlns:r="http://schemas.openxmlformats.org/officeDocument/2006/relationships" r:embed="rId6"/>
        <a:stretch>
          <a:fillRect/>
        </a:stretch>
      </xdr:blipFill>
      <xdr:spPr>
        <a:xfrm>
          <a:off x="12734925" y="8443133"/>
          <a:ext cx="6494375" cy="3376521"/>
        </a:xfrm>
        <a:prstGeom prst="rect">
          <a:avLst/>
        </a:prstGeom>
      </xdr:spPr>
    </xdr:pic>
    <xdr:clientData/>
  </xdr:twoCellAnchor>
  <xdr:twoCellAnchor editAs="oneCell">
    <xdr:from>
      <xdr:col>24</xdr:col>
      <xdr:colOff>590550</xdr:colOff>
      <xdr:row>48</xdr:row>
      <xdr:rowOff>116656</xdr:rowOff>
    </xdr:from>
    <xdr:to>
      <xdr:col>35</xdr:col>
      <xdr:colOff>684134</xdr:colOff>
      <xdr:row>68</xdr:row>
      <xdr:rowOff>165150</xdr:rowOff>
    </xdr:to>
    <xdr:pic>
      <xdr:nvPicPr>
        <xdr:cNvPr id="8" name="图片 7">
          <a:extLst>
            <a:ext uri="{FF2B5EF4-FFF2-40B4-BE49-F238E27FC236}">
              <a16:creationId xmlns:a16="http://schemas.microsoft.com/office/drawing/2014/main" id="{9DE46773-E645-0181-D397-3BCFD57BC6A5}"/>
            </a:ext>
          </a:extLst>
        </xdr:cNvPr>
        <xdr:cNvPicPr>
          <a:picLocks noChangeAspect="1"/>
        </xdr:cNvPicPr>
      </xdr:nvPicPr>
      <xdr:blipFill>
        <a:blip xmlns:r="http://schemas.openxmlformats.org/officeDocument/2006/relationships" r:embed="rId7"/>
        <a:stretch>
          <a:fillRect/>
        </a:stretch>
      </xdr:blipFill>
      <xdr:spPr>
        <a:xfrm>
          <a:off x="17506950" y="8346256"/>
          <a:ext cx="7637384" cy="34774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估价对象为北京市房地产，为所有。根据《国有土地使用证》[]，估价对象（分摊）出让国有建设用地使用权面积为0平方米，建筑面积为9500平方米。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估价对象为北京市房地产,属开发建设的，该项目尚在开发建设中。根据《国有土地使用证》[]，估价对象（分摊）出让国有建设用地使用权面积为0平方米，规划建筑面积为9500平方米。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2025年2月14日</v>
      </c>
    </row>
    <row r="13" spans="1:2">
      <c r="A13" s="1119" t="s">
        <v>529</v>
      </c>
      <c r="B13" s="1120" t="str">
        <f>'预评函-1'!A18</f>
        <v>本次估价的“房地产价值”是指在正常市场情况下，在价值时点2025年2月14日，估价对象规划用途为，土地取得方式为划拨，假定未设立法定优先受偿款下的房地产市场价值。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9500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1" t="s">
        <v>2580</v>
      </c>
      <c r="J2" s="3201"/>
      <c r="K2" s="3201"/>
      <c r="L2" s="3201"/>
      <c r="M2" s="3201"/>
      <c r="N2" s="3201"/>
      <c r="O2" s="3201"/>
      <c r="P2" s="3201"/>
      <c r="Q2" s="3201"/>
      <c r="R2" s="3201"/>
    </row>
    <row r="3" spans="1:18">
      <c r="A3" s="2763" t="s">
        <v>2501</v>
      </c>
      <c r="B3" s="2764">
        <f>项目基本情况!D3</f>
        <v>45702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1.84</v>
      </c>
      <c r="D5" s="2768">
        <f>IF(ISERROR(ROUND(POWER(1+E5,A5-C5)*(POWER(1+E5,C5)-1)/(POWER(1+E5,A5)-1),3)),0,ROUND(POWER(1+E5,A5-C5)*(POWER(1+E5,C5)-1)/(POWER(1+E5,A5)-1),4))</f>
        <v>8.7900000000000006E-2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11.85</v>
      </c>
      <c r="D6" s="2768">
        <f>IF(ISERROR(ROUND(POWER(1+E6,A6-C6)*(POWER(1+E6,C6)-1)/(POWER(1+E6,A6)-1),3)),0,ROUND(POWER(1+E6,A6-C6)*(POWER(1+E6,C6)-1)/(POWER(1+E6,A6)-1),4))</f>
        <v>0.43259999999999998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31.86</v>
      </c>
      <c r="D7" s="2768">
        <f>IF(ISERROR(ROUND(POWER(1+E7,A7-C7)*(POWER(1+E7,C7)-1)/(POWER(1+E7,A7)-1),3)),0,ROUND(POWER(1+E7,A7-C7)*(POWER(1+E7,C7)-1)/(POWER(1+E7,A7)-1),4))</f>
        <v>0.76229999999999998</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3389</v>
      </c>
    </row>
    <row r="50" spans="1:4">
      <c r="A50" s="3145" t="s">
        <v>3390</v>
      </c>
      <c r="B50" s="3145" t="s">
        <v>3391</v>
      </c>
      <c r="C50" s="3145" t="s">
        <v>3392</v>
      </c>
      <c r="D50" s="3145" t="s">
        <v>3393</v>
      </c>
    </row>
    <row r="51" spans="1:4">
      <c r="A51" s="3145" t="s">
        <v>3394</v>
      </c>
      <c r="B51" s="2765">
        <f>B52+B53</f>
        <v>15000</v>
      </c>
      <c r="C51" s="3146">
        <f>D51/B51</f>
        <v>2666.6666666666665</v>
      </c>
      <c r="D51" s="2765">
        <f>D52+D53</f>
        <v>40000000</v>
      </c>
    </row>
    <row r="52" spans="1:4">
      <c r="A52" s="3147" t="s">
        <v>3395</v>
      </c>
      <c r="B52" s="3148">
        <v>10000</v>
      </c>
      <c r="C52" s="3148">
        <v>1500</v>
      </c>
      <c r="D52" s="3149">
        <f>C52*B52</f>
        <v>15000000</v>
      </c>
    </row>
    <row r="53" spans="1:4">
      <c r="A53" s="3147" t="s">
        <v>3396</v>
      </c>
      <c r="B53" s="3148">
        <v>5000</v>
      </c>
      <c r="C53" s="3148">
        <v>5000</v>
      </c>
      <c r="D53" s="3149">
        <f>C53*B53</f>
        <v>25000000</v>
      </c>
    </row>
    <row r="54" spans="1:4">
      <c r="A54" s="3145" t="s">
        <v>3397</v>
      </c>
      <c r="B54" s="2765">
        <f>B51</f>
        <v>15000</v>
      </c>
      <c r="C54" s="2771">
        <v>700</v>
      </c>
      <c r="D54" s="2765">
        <f t="shared" ref="D54:D55" si="5">C54*B54</f>
        <v>10500000</v>
      </c>
    </row>
    <row r="55" spans="1:4">
      <c r="A55" s="3145" t="s">
        <v>3398</v>
      </c>
      <c r="B55" s="2765">
        <f>B51</f>
        <v>15000</v>
      </c>
      <c r="C55" s="2771">
        <v>1500</v>
      </c>
      <c r="D55" s="2765">
        <f t="shared" si="5"/>
        <v>22500000</v>
      </c>
    </row>
    <row r="56" spans="1:4">
      <c r="A56" s="3145" t="s">
        <v>3399</v>
      </c>
      <c r="B56" s="2765">
        <f>B51</f>
        <v>15000</v>
      </c>
      <c r="C56" s="3150">
        <f>C51+C54+C55</f>
        <v>4866.6666666666661</v>
      </c>
      <c r="D56" s="2765">
        <f>D51+D54+D55</f>
        <v>73000000</v>
      </c>
    </row>
    <row r="58" spans="1:4">
      <c r="A58" s="3145" t="s">
        <v>3400</v>
      </c>
      <c r="B58" s="3151">
        <v>0.05</v>
      </c>
      <c r="C58" s="2765">
        <f>C56*(1+B58)</f>
        <v>5110</v>
      </c>
      <c r="D58" s="2765">
        <f>D56*B58</f>
        <v>3650000</v>
      </c>
    </row>
    <row r="60" spans="1:4">
      <c r="A60" s="3145" t="s">
        <v>3401</v>
      </c>
      <c r="B60" s="2771">
        <v>3500</v>
      </c>
      <c r="C60" s="2771">
        <f>C53</f>
        <v>5000</v>
      </c>
      <c r="D60" s="2765">
        <f>C60*B60</f>
        <v>17500000</v>
      </c>
    </row>
    <row r="62" spans="1:4">
      <c r="A62" s="3145" t="s">
        <v>3402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I14" sqref="I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9" t="str">
        <f>IF(B10="北京市","北京市",C10)&amp;F10&amp;IF(结果表!G1="在建","出让国有建设用地使用权及在建建筑物",IF(结果表!G1="土地","出让国有建设用地使用权",))&amp;B9&amp;"预评估"</f>
        <v>北京市预评估</v>
      </c>
      <c r="C1" s="3210"/>
      <c r="D1" s="3210"/>
      <c r="E1" s="3210"/>
      <c r="F1" s="3210"/>
      <c r="G1" s="3210"/>
      <c r="H1" s="3210"/>
      <c r="I1" s="321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45702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2" t="s">
        <v>2177</v>
      </c>
      <c r="E8" s="2202"/>
      <c r="F8" s="2203"/>
      <c r="G8" s="2442"/>
      <c r="H8" s="2442"/>
      <c r="I8" s="2442"/>
      <c r="J8" s="2245"/>
      <c r="K8" s="2400"/>
      <c r="L8" s="2399"/>
      <c r="M8" s="2399"/>
      <c r="N8" s="2245"/>
      <c r="O8" s="1670"/>
      <c r="P8" s="2245"/>
      <c r="Q8" s="2245"/>
      <c r="R8" s="2245"/>
    </row>
    <row r="9" spans="1:30" ht="13.5" thickBot="1">
      <c r="A9" s="2204" t="s">
        <v>2178</v>
      </c>
      <c r="B9" s="2205"/>
      <c r="C9" s="2206"/>
      <c r="D9" s="3213"/>
      <c r="E9" s="2205"/>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3406</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v>40</v>
      </c>
      <c r="E14" s="2219">
        <v>50</v>
      </c>
      <c r="F14" s="2219">
        <v>50</v>
      </c>
      <c r="G14" s="2219">
        <v>50</v>
      </c>
      <c r="H14" s="2219">
        <v>50</v>
      </c>
      <c r="I14" s="2219">
        <v>50</v>
      </c>
      <c r="J14" s="2804"/>
      <c r="K14" s="2399"/>
      <c r="L14" s="2399"/>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50</v>
      </c>
      <c r="F15" s="2221">
        <f>IF(A13="出让",IF(F13="","",ROUNDDOWN(MIN((F13-$D$3)/365,F14),2)),F14)</f>
        <v>50</v>
      </c>
      <c r="G15" s="2221">
        <f>IF(A13="出让",IF(G13="","",ROUNDDOWN(MIN((G13-$D$3)/365,G14),2)),G14)</f>
        <v>50</v>
      </c>
      <c r="H15" s="2221">
        <f>IF(A13="出让",IF(H13="","",ROUNDDOWN(MIN((H13-$D$3)/365,H14),2)),H14)</f>
        <v>50</v>
      </c>
      <c r="I15" s="2221">
        <f>IF(A13="出让",IF(I13="","",ROUNDDOWN(MIN((I13-$D$3)/365,I14),2)),I14)</f>
        <v>50</v>
      </c>
      <c r="J15" s="2805"/>
      <c r="K15" s="1670"/>
      <c r="L15" s="1670"/>
      <c r="M15" s="2245"/>
      <c r="N15" s="1670"/>
      <c r="O15" s="2245"/>
      <c r="P15" s="2245"/>
      <c r="Q15" s="2245"/>
      <c r="AD15" s="1618"/>
    </row>
    <row r="16" spans="1:30">
      <c r="A16" s="2211" t="s">
        <v>2193</v>
      </c>
      <c r="B16" s="3219"/>
      <c r="C16" s="3220"/>
      <c r="D16" s="3221"/>
      <c r="E16" s="2222" t="s">
        <v>2194</v>
      </c>
      <c r="F16" s="3222"/>
      <c r="G16" s="3223"/>
      <c r="H16" s="3223"/>
      <c r="I16" s="3224"/>
      <c r="J16" s="2245"/>
      <c r="K16" s="2403"/>
      <c r="L16" s="1670"/>
      <c r="M16" s="1670"/>
      <c r="N16" s="2245"/>
      <c r="O16" s="1670"/>
      <c r="P16" s="2245"/>
      <c r="Q16" s="2245"/>
      <c r="R16" s="2245"/>
    </row>
    <row r="17" spans="1:28">
      <c r="A17" s="305" t="s">
        <v>2195</v>
      </c>
      <c r="B17" s="294" t="s">
        <v>2196</v>
      </c>
      <c r="C17" s="8">
        <f>'数据-汇总表'!E3</f>
        <v>9500</v>
      </c>
      <c r="D17" s="1256" t="s">
        <v>2197</v>
      </c>
      <c r="E17" s="3225" t="s">
        <v>2198</v>
      </c>
      <c r="F17" s="3226"/>
      <c r="G17" s="3226"/>
      <c r="H17" s="3226"/>
      <c r="I17" s="322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8" t="s">
        <v>2202</v>
      </c>
      <c r="F18" s="3229"/>
      <c r="G18" s="3229"/>
      <c r="H18" s="3229"/>
      <c r="I18" s="323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5" t="s">
        <v>2206</v>
      </c>
      <c r="C20" s="3216"/>
      <c r="D20" s="3217" t="s">
        <v>2207</v>
      </c>
      <c r="E20" s="3218"/>
      <c r="F20" s="2430" t="s">
        <v>1056</v>
      </c>
      <c r="G20" s="2442"/>
      <c r="H20" s="2442"/>
      <c r="I20" s="2442"/>
      <c r="J20" s="2245"/>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4"/>
      <c r="B30" s="294" t="s">
        <v>2218</v>
      </c>
      <c r="C30" s="3205"/>
      <c r="D30" s="3206"/>
      <c r="E30" s="2442"/>
      <c r="F30" s="2442"/>
      <c r="G30" s="2442"/>
      <c r="H30" s="2442"/>
      <c r="I30" s="2442"/>
      <c r="J30" s="2245"/>
      <c r="K30" s="2402"/>
      <c r="L30" s="2399"/>
      <c r="M30" s="2399"/>
      <c r="N30" s="2245"/>
      <c r="O30" s="1670"/>
      <c r="P30" s="2245"/>
      <c r="Q30" s="2245"/>
      <c r="R30" s="2245"/>
      <c r="S30" s="2245"/>
      <c r="T30" s="2245"/>
      <c r="U30" s="2245"/>
      <c r="V30" s="2245"/>
    </row>
    <row r="31" spans="1:28">
      <c r="A31" s="320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2" t="s">
        <v>2228</v>
      </c>
      <c r="T34" s="315" t="str">
        <f>NUMBERSTRING(7-K34,1)&amp;"通"</f>
        <v>七通</v>
      </c>
      <c r="U34" s="2245"/>
      <c r="V34" s="2245"/>
    </row>
    <row r="35" spans="1:30">
      <c r="A35" s="2236"/>
      <c r="B35" s="3202" t="s">
        <v>2229</v>
      </c>
      <c r="C35" s="3202"/>
      <c r="D35" s="3202"/>
      <c r="E35" s="320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t="s">
        <v>110</v>
      </c>
      <c r="D37" s="2237" t="s">
        <v>110</v>
      </c>
      <c r="E37" s="2237" t="s">
        <v>110</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237</v>
      </c>
      <c r="C38" s="2238" t="s">
        <v>232</v>
      </c>
      <c r="D38" s="2238" t="s">
        <v>246</v>
      </c>
      <c r="E38" s="2238" t="s">
        <v>196</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9500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9500</v>
      </c>
      <c r="H5" s="13">
        <f t="shared" ref="H5:AT5" si="0">SUM(H13:H656)</f>
        <v>9500</v>
      </c>
      <c r="I5" s="13">
        <f t="shared" si="0"/>
        <v>1300</v>
      </c>
      <c r="J5" s="13">
        <f t="shared" si="0"/>
        <v>0</v>
      </c>
      <c r="K5" s="13">
        <f t="shared" si="0"/>
        <v>8200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9500</v>
      </c>
      <c r="BA5" s="15">
        <f t="shared" si="1"/>
        <v>9500</v>
      </c>
      <c r="BB5" s="15">
        <f t="shared" si="1"/>
        <v>1300</v>
      </c>
      <c r="BC5" s="15">
        <f t="shared" si="1"/>
        <v>8200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3422</v>
      </c>
      <c r="J9" s="761"/>
      <c r="K9" s="1491" t="s">
        <v>3422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3423</v>
      </c>
      <c r="J11" s="1503"/>
      <c r="K11" s="1502" t="s">
        <v>3424</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底商</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3421</v>
      </c>
      <c r="E13" s="13">
        <f>IF($C$3="是",ROUND($A$3*G13/$B$3,2),ROUND($A$3*(G13-AT13)/$B$3,2))</f>
        <v>0</v>
      </c>
      <c r="F13" s="29"/>
      <c r="G13" s="30">
        <f>H13+AC13+AT13</f>
        <v>9500</v>
      </c>
      <c r="H13" s="17">
        <f>SUMIF(I$12:AB$12,"总值",I13:AB13)</f>
        <v>9500</v>
      </c>
      <c r="I13" s="1514">
        <v>1300</v>
      </c>
      <c r="J13" s="1514"/>
      <c r="K13" s="1514">
        <v>8200</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9500</v>
      </c>
      <c r="BA13" s="13">
        <f>SUM(BB13:BK13)</f>
        <v>9500</v>
      </c>
      <c r="BB13" s="13">
        <f>IF($D13="是",I13-J13,0)</f>
        <v>1300</v>
      </c>
      <c r="BC13" s="13">
        <f>IF($D13="是",K13-L13,0)</f>
        <v>8200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0" t="s">
        <v>1131</v>
      </c>
      <c r="B2" s="3240"/>
      <c r="C2" s="3240"/>
      <c r="D2" s="748" t="s">
        <v>1107</v>
      </c>
      <c r="E2" s="1523" t="s">
        <v>1108</v>
      </c>
      <c r="F2" s="2439"/>
      <c r="G2" s="2432"/>
      <c r="H2" s="2433"/>
      <c r="I2" s="2146" t="s">
        <v>1132</v>
      </c>
      <c r="J2" s="2439"/>
      <c r="K2" s="2439"/>
      <c r="L2" s="2439"/>
      <c r="M2" s="2439"/>
      <c r="N2" s="2440"/>
      <c r="O2" s="2439"/>
      <c r="P2" s="2439"/>
    </row>
    <row r="3" spans="1:16" ht="15.75" thickBot="1">
      <c r="A3" s="3241" t="s">
        <v>1105</v>
      </c>
      <c r="B3" s="3241"/>
      <c r="C3" s="3241"/>
      <c r="D3" s="41">
        <f>'数据-基础表'!AY6</f>
        <v>0</v>
      </c>
      <c r="E3" s="41">
        <f>'数据-基础表'!AZ5</f>
        <v>9500</v>
      </c>
      <c r="F3" s="2439"/>
      <c r="G3" s="42"/>
      <c r="H3" s="43" t="s">
        <v>1106</v>
      </c>
      <c r="I3" s="802" t="e">
        <f>ROUND('数据-基础表'!B3/'数据-基础表'!A3,2)</f>
        <v>#DIV/0!</v>
      </c>
      <c r="J3" s="2439"/>
      <c r="K3" s="2439"/>
      <c r="L3" s="2439"/>
      <c r="M3" s="2439"/>
      <c r="N3" s="2440"/>
      <c r="O3" s="2439"/>
      <c r="P3" s="2439"/>
    </row>
    <row r="4" spans="1:16" ht="15">
      <c r="A4" s="3242"/>
      <c r="B4" s="3243"/>
      <c r="C4" s="324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5" t="s">
        <v>1110</v>
      </c>
      <c r="C5" s="324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5" t="s">
        <v>1111</v>
      </c>
      <c r="C6" s="3245"/>
      <c r="D6" s="43">
        <f>ROUND($D$3*E6/$E$3,2)</f>
        <v>0</v>
      </c>
      <c r="E6" s="44">
        <f>E3-E5</f>
        <v>9500</v>
      </c>
      <c r="F6" s="2439"/>
      <c r="G6" s="1529" t="s">
        <v>1112</v>
      </c>
      <c r="H6" s="45" t="s">
        <v>1113</v>
      </c>
      <c r="I6" s="2435" t="e">
        <f>ROUND(F31/D31,2)</f>
        <v>#DIV/0!</v>
      </c>
      <c r="J6" s="2439"/>
      <c r="K6" s="2439"/>
      <c r="L6" s="2439"/>
      <c r="M6" s="2439"/>
      <c r="N6" s="2439"/>
      <c r="O6" s="2439"/>
      <c r="P6" s="2439"/>
    </row>
    <row r="7" spans="1:16" ht="15.75" thickBot="1">
      <c r="A7" s="3237"/>
      <c r="B7" s="3238"/>
      <c r="C7" s="3239"/>
      <c r="D7" s="1524" t="s">
        <v>1107</v>
      </c>
      <c r="E7" s="1528" t="s">
        <v>1114</v>
      </c>
      <c r="F7" s="2439"/>
      <c r="G7" s="2436" t="s">
        <v>1115</v>
      </c>
      <c r="H7" s="95"/>
      <c r="I7" s="2437">
        <v>1.6</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9500</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9500</v>
      </c>
      <c r="F16" s="2439"/>
      <c r="G16" s="2439"/>
      <c r="H16" s="1531" t="s">
        <v>1135</v>
      </c>
      <c r="I16" s="1532"/>
      <c r="J16" s="1071"/>
      <c r="K16" s="3234" t="s">
        <v>1135</v>
      </c>
      <c r="L16" s="3235"/>
      <c r="M16" s="3235"/>
      <c r="N16" s="3235"/>
      <c r="O16" s="3235"/>
      <c r="P16" s="3236"/>
    </row>
    <row r="17" spans="1:19" ht="15">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3407</v>
      </c>
      <c r="D19" s="43">
        <f>ROUND($D$3*E19/$E$3,2)</f>
        <v>0</v>
      </c>
      <c r="E19" s="51">
        <f t="shared" ref="E19:E26" si="1">SUM(F19:G19)</f>
        <v>1300</v>
      </c>
      <c r="F19" s="2558">
        <v>1300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1300</v>
      </c>
    </row>
    <row r="20" spans="1:19">
      <c r="A20" s="1549"/>
      <c r="B20" s="45" t="s">
        <v>1153</v>
      </c>
      <c r="C20" s="3116" t="s">
        <v>3409</v>
      </c>
      <c r="D20" s="43">
        <f t="shared" ref="D20:D26" si="6">ROUND($D$3*E20/$E$3,2)</f>
        <v>0</v>
      </c>
      <c r="E20" s="51">
        <f t="shared" si="1"/>
        <v>8200</v>
      </c>
      <c r="F20" s="2558">
        <v>8200</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8200</v>
      </c>
    </row>
    <row r="21" spans="1:19">
      <c r="A21" s="1549"/>
      <c r="B21" s="45" t="s">
        <v>1153</v>
      </c>
      <c r="C21" s="3116" t="s">
        <v>3410</v>
      </c>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t="s">
        <v>3460</v>
      </c>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9500</v>
      </c>
      <c r="F27" s="1072">
        <f>IF(SUM(F19:F26)=E8,SUM(F19:F26),"地上面积有误")</f>
        <v>9500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9500</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9500</v>
      </c>
      <c r="F31" s="644">
        <f>F27+F30</f>
        <v>9500</v>
      </c>
      <c r="G31" s="645">
        <f>G27+G30</f>
        <v>0</v>
      </c>
      <c r="H31" s="2439"/>
      <c r="I31" s="2439"/>
      <c r="J31" s="2439"/>
      <c r="K31" s="2439"/>
      <c r="L31" s="2439"/>
      <c r="M31" s="2439"/>
      <c r="N31" s="2439"/>
      <c r="O31" s="2439"/>
      <c r="P31" s="2439"/>
    </row>
    <row r="32" spans="1:19">
      <c r="A32" s="1526"/>
      <c r="B32" s="1526" t="s">
        <v>1159</v>
      </c>
      <c r="C32" s="1526"/>
      <c r="D32" s="1526"/>
      <c r="E32" s="990">
        <f>SUMIF(C19:C26,"*住宅*",E19:E26)</f>
        <v>8200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5" sqref="G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0</v>
      </c>
      <c r="F6" s="61">
        <f>SUMIF(项目基本情况!C$12:I$12,C6,项目基本情况!C$15:I$15)</f>
        <v>40</v>
      </c>
      <c r="G6" s="62">
        <f>IF(ISERROR(ROUND(POWER(1+H6,D6-F6)*(POWER(1+H6,F6)-1)/(POWER(1+H6,D6)-1),3)),0,ROUND(POWER(1+H6,D6-F6)*(POWER(1+H6,F6)-1)/(POWER(1+H6,D6)-1),3))</f>
        <v>0</v>
      </c>
      <c r="H6" s="691"/>
      <c r="I6" s="691"/>
      <c r="J6" s="63"/>
      <c r="K6" s="970">
        <f>SUMIF('数据-汇总表'!C$19:C$33,A6,'数据-汇总表'!E$19:E$33)</f>
        <v>1300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住宅</v>
      </c>
      <c r="B7" s="1587" t="str">
        <f t="shared" ref="B7:B13" si="1">IF(A7=0,"","经营性")</f>
        <v>经营性</v>
      </c>
      <c r="C7" s="1588" t="s">
        <v>3408</v>
      </c>
      <c r="D7" s="805">
        <f>SUMIF(项目基本情况!C$12:I$12,C7,项目基本情况!C$14:I$14)</f>
        <v>70</v>
      </c>
      <c r="E7" s="804">
        <f>IF(B7="","",SUMIF(项目基本情况!C$12:I$12,C7,项目基本情况!C$13:I$13))</f>
        <v>0</v>
      </c>
      <c r="F7" s="61">
        <f>SUMIF(项目基本情况!C$12:I$12,C7,项目基本情况!C$15:I$15)</f>
        <v>70</v>
      </c>
      <c r="G7" s="62">
        <f t="shared" ref="G7:G11" si="2">IF(ISERROR(ROUND(POWER(1+H7,D7-F7)*(POWER(1+H7,F7)-1)/(POWER(1+H7,D7)-1),3)),0,ROUND(POWER(1+H7,D7-F7)*(POWER(1+H7,F7)-1)/(POWER(1+H7,D7)-1),3))</f>
        <v>0</v>
      </c>
      <c r="H7" s="691"/>
      <c r="I7" s="691"/>
      <c r="J7" s="63"/>
      <c r="K7" s="970">
        <f>SUMIF('数据-汇总表'!C$19:C$33,A7,'数据-汇总表'!E$19:E$33)</f>
        <v>8200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办公</v>
      </c>
      <c r="B8" s="1587" t="str">
        <f t="shared" si="1"/>
        <v>经营性</v>
      </c>
      <c r="C8" s="1588" t="s">
        <v>21</v>
      </c>
      <c r="D8" s="805">
        <f>SUMIF(项目基本情况!C$12:I$12,C8,项目基本情况!C$14:I$14)</f>
        <v>50</v>
      </c>
      <c r="E8" s="804">
        <f>IF(B8="","",SUMIF(项目基本情况!C$12:I$12,C8,项目基本情况!C$13:I$13))</f>
        <v>0</v>
      </c>
      <c r="F8" s="61">
        <f>SUMIF(项目基本情况!C$12:I$12,C8,项目基本情况!C$15:I$15)</f>
        <v>50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场站</v>
      </c>
      <c r="B9" s="1587" t="str">
        <f t="shared" si="1"/>
        <v>经营性</v>
      </c>
      <c r="C9" s="1588" t="s">
        <v>3</v>
      </c>
      <c r="D9" s="805">
        <f>SUMIF(项目基本情况!C$12:I$12,C9,项目基本情况!C$14:I$14)</f>
        <v>50</v>
      </c>
      <c r="E9" s="804">
        <f>IF(B9="","",SUMIF(项目基本情况!C$12:I$12,C9,项目基本情况!C$13:I$13))</f>
        <v>0</v>
      </c>
      <c r="F9" s="61">
        <f>SUMIF(项目基本情况!C$12:I$12,C9,项目基本情况!C$15:I$15)</f>
        <v>50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9500</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6" t="s">
        <v>2286</v>
      </c>
      <c r="B1" s="3247"/>
      <c r="C1" s="3247"/>
      <c r="D1" s="3247"/>
      <c r="E1" s="3247"/>
      <c r="F1" s="3247"/>
      <c r="G1" s="324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4"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45702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26986</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f>E14</f>
        <v>26986</v>
      </c>
      <c r="E14" s="2306">
        <f>'基准地价修正-住宅'!C33</f>
        <v>26986</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2" t="str">
        <f>项目基本情况!S2</f>
        <v>北京市房地产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4" t="s">
        <v>1265</v>
      </c>
      <c r="B4" s="1625" t="s">
        <v>1266</v>
      </c>
      <c r="C4" s="1626"/>
      <c r="D4" s="1626"/>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2" t="s">
        <v>1268</v>
      </c>
      <c r="B5" s="3249">
        <v>25</v>
      </c>
      <c r="C5" s="3265"/>
      <c r="D5" s="3285"/>
      <c r="E5" s="123" t="s">
        <v>1269</v>
      </c>
      <c r="F5" s="1627"/>
      <c r="G5" s="1627"/>
      <c r="H5" s="1627"/>
      <c r="I5" s="1281"/>
    </row>
    <row r="6" spans="1:12" ht="12.75">
      <c r="A6" s="3262"/>
      <c r="B6" s="3249"/>
      <c r="C6" s="3266"/>
      <c r="D6" s="3285"/>
      <c r="E6" s="123" t="s">
        <v>1270</v>
      </c>
      <c r="F6" s="1627"/>
      <c r="G6" s="1627"/>
      <c r="H6" s="1627"/>
      <c r="I6" s="1281"/>
    </row>
    <row r="7" spans="1:12" ht="12.75">
      <c r="A7" s="3262"/>
      <c r="B7" s="3249"/>
      <c r="C7" s="3267"/>
      <c r="D7" s="3285"/>
      <c r="E7" s="123" t="s">
        <v>1271</v>
      </c>
      <c r="F7" s="1627"/>
      <c r="G7" s="1627"/>
      <c r="H7" s="1627"/>
      <c r="I7" s="1281"/>
    </row>
    <row r="8" spans="1:12" ht="12.75">
      <c r="A8" s="3262" t="s">
        <v>1272</v>
      </c>
      <c r="B8" s="3249">
        <v>15</v>
      </c>
      <c r="C8" s="3265"/>
      <c r="D8" s="3285"/>
      <c r="E8" s="123" t="s">
        <v>1273</v>
      </c>
      <c r="F8" s="1627"/>
      <c r="G8" s="1627"/>
      <c r="H8" s="1627"/>
      <c r="I8" s="1281"/>
    </row>
    <row r="9" spans="1:12" ht="12.75">
      <c r="A9" s="3262"/>
      <c r="B9" s="3249"/>
      <c r="C9" s="3267"/>
      <c r="D9" s="3285"/>
      <c r="E9" s="123" t="s">
        <v>1274</v>
      </c>
      <c r="F9" s="1627"/>
      <c r="G9" s="1627"/>
      <c r="H9" s="1627"/>
      <c r="I9" s="1281"/>
    </row>
    <row r="10" spans="1:12" ht="12.75">
      <c r="A10" s="3262" t="s">
        <v>1275</v>
      </c>
      <c r="B10" s="3249">
        <v>15</v>
      </c>
      <c r="C10" s="3265"/>
      <c r="D10" s="3285"/>
      <c r="E10" s="123" t="s">
        <v>1276</v>
      </c>
      <c r="F10" s="1627"/>
      <c r="G10" s="1627"/>
      <c r="H10" s="1627"/>
      <c r="I10" s="1281"/>
    </row>
    <row r="11" spans="1:12" ht="12.75">
      <c r="A11" s="3262"/>
      <c r="B11" s="3249"/>
      <c r="C11" s="3267"/>
      <c r="D11" s="3285"/>
      <c r="E11" s="123" t="s">
        <v>1277</v>
      </c>
      <c r="F11" s="1627"/>
      <c r="G11" s="1627"/>
      <c r="H11" s="1627"/>
      <c r="I11" s="1281"/>
    </row>
    <row r="12" spans="1:12" ht="12.75">
      <c r="A12" s="3262" t="s">
        <v>1278</v>
      </c>
      <c r="B12" s="3249">
        <v>15</v>
      </c>
      <c r="C12" s="3265"/>
      <c r="D12" s="3285"/>
      <c r="E12" s="123" t="s">
        <v>1279</v>
      </c>
      <c r="F12" s="1627"/>
      <c r="G12" s="1627"/>
      <c r="H12" s="1627"/>
      <c r="I12" s="1281"/>
    </row>
    <row r="13" spans="1:12" ht="12.75">
      <c r="A13" s="3262"/>
      <c r="B13" s="3249"/>
      <c r="C13" s="3267"/>
      <c r="D13" s="3285"/>
      <c r="E13" s="123" t="s">
        <v>1280</v>
      </c>
      <c r="F13" s="1627"/>
      <c r="G13" s="1627"/>
      <c r="H13" s="1627"/>
      <c r="I13" s="1281"/>
    </row>
    <row r="14" spans="1:12" ht="12.75">
      <c r="A14" s="3262" t="s">
        <v>1281</v>
      </c>
      <c r="B14" s="3249">
        <v>30</v>
      </c>
      <c r="C14" s="3265"/>
      <c r="D14" s="3285"/>
      <c r="E14" s="123" t="s">
        <v>1282</v>
      </c>
      <c r="F14" s="1627"/>
      <c r="G14" s="1627"/>
      <c r="H14" s="1627"/>
      <c r="I14" s="1281"/>
    </row>
    <row r="15" spans="1:12" ht="12.75">
      <c r="A15" s="3262"/>
      <c r="B15" s="3249"/>
      <c r="C15" s="3266"/>
      <c r="D15" s="3285"/>
      <c r="E15" s="123" t="s">
        <v>1283</v>
      </c>
      <c r="F15" s="1627"/>
      <c r="G15" s="1627"/>
      <c r="H15" s="1627"/>
      <c r="I15" s="1281"/>
    </row>
    <row r="16" spans="1:12" ht="12.75">
      <c r="A16" s="3262"/>
      <c r="B16" s="3249"/>
      <c r="C16" s="3267"/>
      <c r="D16" s="328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72" t="s">
        <v>2131</v>
      </c>
      <c r="F18" s="3273"/>
      <c r="G18" s="3273"/>
      <c r="H18" s="3273"/>
      <c r="I18" s="3273"/>
      <c r="K18" s="294" t="s">
        <v>1289</v>
      </c>
      <c r="L18" s="294">
        <f>IF(C1="",'数据-汇总表'!E3,SUMIF(项目类型,C1,'数据-汇总表'!E17:E26)+SUMIF(项目类型,C1,'数据-汇总表'!I17:I26))</f>
        <v>9500</v>
      </c>
      <c r="M18" s="294">
        <f>IF(C1="",'数据-汇总表'!E3,SUMIF(项目类型,C1,'数据-汇总表'!E17:E26))</f>
        <v>9500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6" t="s">
        <v>1299</v>
      </c>
      <c r="B24" s="1631" t="s">
        <v>1291</v>
      </c>
      <c r="C24" s="128">
        <f>IF(B30=0,0,D30)</f>
        <v>0</v>
      </c>
      <c r="D24" s="1637"/>
      <c r="E24" s="121"/>
      <c r="F24" s="121"/>
      <c r="G24" s="121"/>
      <c r="H24" s="121"/>
      <c r="I24" s="121"/>
    </row>
    <row r="25" spans="1:36" ht="14.25">
      <c r="A25" s="32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6" t="s">
        <v>1312</v>
      </c>
      <c r="B36" s="1652" t="s">
        <v>1313</v>
      </c>
      <c r="C36" s="137"/>
      <c r="D36" s="1653"/>
      <c r="E36" s="1567"/>
      <c r="F36" s="1654"/>
      <c r="G36" s="121"/>
      <c r="H36" s="121"/>
      <c r="I36" s="121"/>
    </row>
    <row r="37" spans="1:15" ht="15.75" thickBot="1">
      <c r="A37" s="3277"/>
      <c r="B37" s="1555" t="s">
        <v>1314</v>
      </c>
      <c r="C37" s="139"/>
      <c r="D37" s="1071"/>
      <c r="E37" s="1071"/>
      <c r="F37" s="1654"/>
      <c r="G37" s="121"/>
      <c r="H37" s="121"/>
      <c r="I37" s="121"/>
    </row>
    <row r="38" spans="1:15" ht="15.75" thickBot="1">
      <c r="A38" s="327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3" t="s">
        <v>1326</v>
      </c>
      <c r="B45" s="3254"/>
      <c r="C45" s="3255"/>
      <c r="D45" s="147" t="e">
        <f ca="1">ROUND(H101*F45,0)</f>
        <v>#REF!</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8"/>
      <c r="I46" s="151"/>
      <c r="J46" s="2310">
        <v>1</v>
      </c>
      <c r="K46" s="3312" t="s">
        <v>1331</v>
      </c>
      <c r="L46" s="3312"/>
      <c r="M46" s="3332"/>
      <c r="N46" s="3332"/>
      <c r="O46" s="3332"/>
    </row>
    <row r="47" spans="1:15" ht="12" customHeight="1">
      <c r="A47" s="152" t="s">
        <v>1332</v>
      </c>
      <c r="B47" s="153"/>
      <c r="C47" s="154"/>
      <c r="D47" s="1024" t="s">
        <v>1333</v>
      </c>
      <c r="E47" s="294" t="s">
        <v>1334</v>
      </c>
      <c r="F47" s="155" t="s">
        <v>1335</v>
      </c>
      <c r="G47" s="2333" t="s">
        <v>1336</v>
      </c>
      <c r="H47" s="2334"/>
      <c r="I47" s="151"/>
      <c r="J47" s="2310">
        <v>2</v>
      </c>
      <c r="K47" s="3312" t="s">
        <v>1337</v>
      </c>
      <c r="L47" s="3312"/>
      <c r="M47" s="3333">
        <f>'数据-取费表'!B2</f>
        <v>45702</v>
      </c>
      <c r="N47" s="3333"/>
      <c r="O47" s="3333"/>
    </row>
    <row r="48" spans="1:15" ht="25.5">
      <c r="A48" s="3281" t="s">
        <v>1338</v>
      </c>
      <c r="B48" s="3264"/>
      <c r="C48" s="3264"/>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2" t="s">
        <v>1340</v>
      </c>
      <c r="L48" s="3312"/>
      <c r="M48" s="3334" t="e">
        <f ca="1">H101</f>
        <v>#REF!</v>
      </c>
      <c r="N48" s="3334"/>
      <c r="O48" s="3334"/>
    </row>
    <row r="49" spans="1:35" ht="25.5" customHeight="1">
      <c r="A49" s="2152" t="s">
        <v>1341</v>
      </c>
      <c r="B49" s="3248" t="s">
        <v>1342</v>
      </c>
      <c r="C49" s="3248"/>
      <c r="D49" s="1478">
        <v>0</v>
      </c>
      <c r="E49" s="316" t="s">
        <v>1343</v>
      </c>
      <c r="F49" s="2233" t="s">
        <v>28</v>
      </c>
      <c r="G49" s="3318"/>
      <c r="H49" s="2134" t="s">
        <v>2134</v>
      </c>
      <c r="I49" s="2135"/>
      <c r="J49" s="2310">
        <v>4</v>
      </c>
      <c r="K49" s="3312" t="str">
        <f>IF(项目基本情况!E8="房地产抵押价值","房地产抵押价值","抵押担保权已注销时的房地产抵押价值")</f>
        <v>抵押担保权已注销时的房地产抵押价值</v>
      </c>
      <c r="L49" s="3312"/>
      <c r="M49" s="3334" t="str">
        <f>IF(项目基本情况!E8="房地产抵押价值",H107,H109)</f>
        <v>——</v>
      </c>
      <c r="N49" s="3334"/>
      <c r="O49" s="3334"/>
    </row>
    <row r="50" spans="1:35" ht="25.5" customHeight="1">
      <c r="A50" s="2338"/>
      <c r="B50" s="3248" t="s">
        <v>1344</v>
      </c>
      <c r="C50" s="3248"/>
      <c r="D50" s="2189"/>
      <c r="E50" s="323"/>
      <c r="F50" s="2233"/>
      <c r="G50" s="3319"/>
      <c r="H50" s="2136" t="s">
        <v>2135</v>
      </c>
      <c r="I50" s="2135"/>
      <c r="J50" s="3331" t="s">
        <v>1345</v>
      </c>
      <c r="K50" s="3331"/>
      <c r="L50" s="3331"/>
      <c r="M50" s="3331"/>
      <c r="N50" s="3331"/>
      <c r="O50" s="3331"/>
    </row>
    <row r="51" spans="1:35" ht="20.45" customHeight="1">
      <c r="A51" s="2339"/>
      <c r="B51" s="3248" t="s">
        <v>1346</v>
      </c>
      <c r="C51" s="3248"/>
      <c r="D51" s="1024"/>
      <c r="E51" s="319"/>
      <c r="F51" s="2233"/>
      <c r="G51" s="3320"/>
      <c r="H51" s="2136" t="s">
        <v>2136</v>
      </c>
      <c r="I51" s="2135"/>
      <c r="J51" s="2311" t="s">
        <v>1347</v>
      </c>
      <c r="K51" s="3312" t="s">
        <v>1348</v>
      </c>
      <c r="L51" s="3312"/>
      <c r="M51" s="2311" t="s">
        <v>1349</v>
      </c>
      <c r="N51" s="2311" t="s">
        <v>1350</v>
      </c>
      <c r="O51" s="2311" t="s">
        <v>1351</v>
      </c>
    </row>
    <row r="52" spans="1:35" ht="24" customHeight="1">
      <c r="A52" s="2153" t="s">
        <v>1352</v>
      </c>
      <c r="B52" s="3248" t="s">
        <v>1353</v>
      </c>
      <c r="C52" s="3248"/>
      <c r="D52" s="1024" t="e">
        <f ca="1">ROUND(D45*'数据-取费表'!B41/(1+'数据-取费表'!C42),0)</f>
        <v>#REF!</v>
      </c>
      <c r="E52" s="1256" t="s">
        <v>1354</v>
      </c>
      <c r="F52" s="2340">
        <f>'数据-取费表'!B41</f>
        <v>0</v>
      </c>
      <c r="G52" s="2341"/>
      <c r="H52" s="2331"/>
      <c r="I52" s="1669"/>
      <c r="J52" s="2310">
        <v>1</v>
      </c>
      <c r="K52" s="3313" t="s">
        <v>1355</v>
      </c>
      <c r="L52" s="3313"/>
      <c r="M52" s="2312" t="b">
        <f>D48</f>
        <v>0</v>
      </c>
      <c r="N52" s="2310" t="str">
        <f>E48</f>
        <v>销售额×税（费）率</v>
      </c>
      <c r="O52" s="2313">
        <f>F48</f>
        <v>0</v>
      </c>
    </row>
    <row r="53" spans="1:35" ht="12" customHeight="1">
      <c r="A53" s="2153" t="s">
        <v>1356</v>
      </c>
      <c r="B53" s="3274" t="s">
        <v>2291</v>
      </c>
      <c r="C53" s="3275"/>
      <c r="D53" s="1024" t="e">
        <f ca="1">ROUND(D45*'数据-取费表'!B41/(1+'数据-取费表'!C42),0)</f>
        <v>#REF!</v>
      </c>
      <c r="E53" s="1256" t="s">
        <v>1354</v>
      </c>
      <c r="F53" s="2340">
        <f>'数据-取费表'!B41</f>
        <v>0</v>
      </c>
      <c r="G53" s="2341"/>
      <c r="H53" s="2331"/>
      <c r="I53" s="1669"/>
      <c r="J53" s="2310">
        <v>2</v>
      </c>
      <c r="K53" s="3313" t="s">
        <v>1357</v>
      </c>
      <c r="L53" s="3313"/>
      <c r="M53" s="2312" t="e">
        <f t="shared" ref="M53:O54" ca="1" si="0">D55</f>
        <v>#REF!</v>
      </c>
      <c r="N53" s="2310" t="str">
        <f t="shared" si="0"/>
        <v>销售额×税（费）率</v>
      </c>
      <c r="O53" s="2313" t="str">
        <f t="shared" si="0"/>
        <v>免征</v>
      </c>
    </row>
    <row r="54" spans="1:35" ht="12" customHeight="1">
      <c r="A54" s="2153" t="s">
        <v>1358</v>
      </c>
      <c r="B54" s="3274" t="s">
        <v>2292</v>
      </c>
      <c r="C54" s="3275"/>
      <c r="D54" s="1024" t="e">
        <f ca="1">C68</f>
        <v>#REF!</v>
      </c>
      <c r="E54" s="319" t="s">
        <v>1359</v>
      </c>
      <c r="F54" s="2340">
        <f>'数据-取费表'!B41</f>
        <v>0</v>
      </c>
      <c r="G54" s="2341"/>
      <c r="H54" s="2342"/>
      <c r="I54" s="1669"/>
      <c r="J54" s="2310">
        <v>3</v>
      </c>
      <c r="K54" s="3313" t="s">
        <v>1360</v>
      </c>
      <c r="L54" s="3313"/>
      <c r="M54" s="2312" t="e">
        <f t="shared" ca="1" si="0"/>
        <v>#REF!</v>
      </c>
      <c r="N54" s="2310" t="str">
        <f t="shared" si="0"/>
        <v>增值额×税（费）率</v>
      </c>
      <c r="O54" s="2314" t="str">
        <f t="shared" si="0"/>
        <v>免征</v>
      </c>
    </row>
    <row r="55" spans="1:35" ht="24" customHeight="1">
      <c r="A55" s="3263" t="s">
        <v>1361</v>
      </c>
      <c r="B55" s="3264"/>
      <c r="C55" s="3264"/>
      <c r="D55" s="12" t="e">
        <f ca="1">IF(H55="个人住宅",0,ROUND(D45*I55,0))</f>
        <v>#REF!</v>
      </c>
      <c r="E55" s="1256" t="s">
        <v>1362</v>
      </c>
      <c r="F55" s="2340" t="str">
        <f>IF(H55="正常",I55,"免征")</f>
        <v>免征</v>
      </c>
      <c r="G55" s="2341"/>
      <c r="H55" s="2337"/>
      <c r="I55" s="157">
        <f>'数据-取费表'!B49</f>
        <v>0</v>
      </c>
      <c r="J55" s="2310">
        <f>IF(H59="非个人房产","",4)</f>
        <v>4</v>
      </c>
      <c r="K55" s="3313" t="str">
        <f>IF(H59="非个人房产","——","个人所得税")</f>
        <v>个人所得税</v>
      </c>
      <c r="L55" s="3313"/>
      <c r="M55" s="2315" t="e">
        <f ca="1">D59</f>
        <v>#REF!</v>
      </c>
      <c r="N55" s="1883" t="str">
        <f>E59</f>
        <v>差额计税</v>
      </c>
      <c r="O55" s="2316">
        <f>F59</f>
        <v>0.01</v>
      </c>
    </row>
    <row r="56" spans="1:35" ht="24.75">
      <c r="A56" s="3263" t="s">
        <v>1363</v>
      </c>
      <c r="B56" s="3264"/>
      <c r="C56" s="3264"/>
      <c r="D56" s="12" t="e">
        <f ca="1">IF(H56="个人住宅",D57,D58)</f>
        <v>#REF!</v>
      </c>
      <c r="E56" s="1256" t="s">
        <v>1364</v>
      </c>
      <c r="F56" s="2340" t="str">
        <f>IF(H56="正常",F58,"免征")</f>
        <v>免征</v>
      </c>
      <c r="G56" s="2343" t="s">
        <v>1365</v>
      </c>
      <c r="H56" s="2344"/>
      <c r="I56" s="1670"/>
      <c r="J56" s="2310" t="str">
        <f>IF(项目基本情况!K6="上海银行",IF(J55="",4,J55+1),"")</f>
        <v/>
      </c>
      <c r="K56" s="3336" t="str">
        <f>IF(项目基本情况!K6="上海银行","其他处置费用","")</f>
        <v/>
      </c>
      <c r="L56" s="3337"/>
      <c r="M56" s="2312" t="str">
        <f>IF(项目基本情况!K6="上海银行",M69,"")</f>
        <v/>
      </c>
      <c r="N56" s="3336" t="str">
        <f>IF(项目基本情况!K6="上海银行","包含处置中涉及的律师、诉讼、拍卖、评估等费用","")</f>
        <v/>
      </c>
      <c r="O56" s="3339"/>
    </row>
    <row r="57" spans="1:35" ht="12.75">
      <c r="A57" s="2153" t="s">
        <v>1341</v>
      </c>
      <c r="B57" s="3274" t="s">
        <v>1366</v>
      </c>
      <c r="C57" s="3275"/>
      <c r="D57" s="1478">
        <v>0</v>
      </c>
      <c r="E57" s="316" t="s">
        <v>1343</v>
      </c>
      <c r="F57" s="294"/>
      <c r="G57" s="2341"/>
      <c r="H57" s="2345"/>
      <c r="I57" s="1670"/>
      <c r="J57" s="3313">
        <f>IF(AND(J55="",J56=""),4,IF(项目基本情况!K6="上海银行",结果表!J56+1,结果表!J55+1))</f>
        <v>5</v>
      </c>
      <c r="K57" s="3313" t="s">
        <v>1367</v>
      </c>
      <c r="L57" s="2317" t="s">
        <v>1368</v>
      </c>
      <c r="M57" s="2318"/>
      <c r="N57" s="2319">
        <f ca="1">SUMIF(M52:M56,"&lt;9e307")</f>
        <v>0</v>
      </c>
      <c r="O57" s="2320"/>
      <c r="P57" s="2465" t="e">
        <f ca="1">N57/M49</f>
        <v>#VALUE!</v>
      </c>
    </row>
    <row r="58" spans="1:35" ht="24.75">
      <c r="A58" s="2153" t="s">
        <v>1352</v>
      </c>
      <c r="B58" s="3274" t="s">
        <v>1369</v>
      </c>
      <c r="C58" s="3248"/>
      <c r="D58" s="12" t="e">
        <f ca="1">IF(H58="转让取得",C81,C97)</f>
        <v>#REF!</v>
      </c>
      <c r="E58" s="1256" t="s">
        <v>1364</v>
      </c>
      <c r="F58" s="294" t="s">
        <v>28</v>
      </c>
      <c r="G58" s="2341"/>
      <c r="H58" s="2344"/>
      <c r="I58" s="1670"/>
      <c r="J58" s="3313"/>
      <c r="K58" s="3313"/>
      <c r="L58" s="2317" t="s">
        <v>1370</v>
      </c>
      <c r="M58" s="2321"/>
      <c r="N58" s="2322" t="str">
        <f ca="1">NUMBERSTRING(INT(N57*10000),2)&amp;"元整"</f>
        <v>零元整</v>
      </c>
      <c r="O58" s="2323"/>
    </row>
    <row r="59" spans="1:35" ht="24.75" thickBot="1">
      <c r="A59" s="3316" t="s">
        <v>1371</v>
      </c>
      <c r="B59" s="3317"/>
      <c r="C59" s="331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4">
        <f>J57+1</f>
        <v>6</v>
      </c>
      <c r="K59" s="3313" t="s">
        <v>1372</v>
      </c>
      <c r="L59" s="2310" t="s">
        <v>1368</v>
      </c>
      <c r="M59" s="2324"/>
      <c r="N59" s="2325" t="e">
        <f ca="1">M49-N57</f>
        <v>#VALUE!</v>
      </c>
      <c r="O59" s="2326"/>
    </row>
    <row r="60" spans="1:35" ht="12" customHeight="1">
      <c r="A60" s="1671"/>
      <c r="B60" s="646"/>
      <c r="C60" s="646"/>
      <c r="D60" s="646"/>
      <c r="E60" s="1466"/>
      <c r="F60" s="1670"/>
      <c r="G60" s="1670"/>
      <c r="H60" s="151"/>
      <c r="I60" s="121"/>
      <c r="J60" s="3315"/>
      <c r="K60" s="3313"/>
      <c r="L60" s="2317" t="s">
        <v>1370</v>
      </c>
      <c r="M60" s="2321"/>
      <c r="N60" s="2322" t="e">
        <f ca="1">NUMBERSTRING(INT(N59*10000),2)&amp;"元整"</f>
        <v>#VALUE!</v>
      </c>
      <c r="O60" s="2323"/>
    </row>
    <row r="61" spans="1:35" ht="13.5" thickBot="1">
      <c r="A61" s="3261" t="s">
        <v>1373</v>
      </c>
      <c r="B61" s="3261"/>
      <c r="C61" s="3261"/>
      <c r="D61" s="3261"/>
      <c r="E61" s="3261"/>
      <c r="F61" s="1670"/>
      <c r="G61" s="1670"/>
      <c r="H61" s="151"/>
      <c r="I61" s="121"/>
      <c r="J61" s="2310">
        <f>J59+1</f>
        <v>7</v>
      </c>
      <c r="K61" s="3313" t="s">
        <v>1374</v>
      </c>
      <c r="L61" s="3313"/>
      <c r="M61" s="2327"/>
      <c r="N61" s="2328" t="e">
        <f ca="1">ROUND(N59*10000/'数据-汇总表'!E3,0)</f>
        <v>#VALUE!</v>
      </c>
      <c r="O61" s="2329"/>
    </row>
    <row r="62" spans="1:35" ht="12.75">
      <c r="A62" s="3279" t="s">
        <v>1375</v>
      </c>
      <c r="B62" s="328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8"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8"/>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8"/>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38"/>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8"/>
      <c r="K69" s="1245" t="s">
        <v>1393</v>
      </c>
      <c r="L69" s="1245"/>
      <c r="M69" s="294" t="e">
        <f>ROUND(SUM(M63:M68),0)</f>
        <v>#VALUE!</v>
      </c>
      <c r="N69" s="2332" t="e">
        <f>M69/M49</f>
        <v>#VALUE!</v>
      </c>
      <c r="Z69" s="1623"/>
      <c r="AI69" s="1561"/>
    </row>
    <row r="70" spans="1:35" s="642"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4" t="s">
        <v>1402</v>
      </c>
      <c r="F76" s="3248"/>
      <c r="G76" s="3248"/>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58" t="s">
        <v>1406</v>
      </c>
      <c r="F78" s="3259"/>
      <c r="G78" s="3259"/>
      <c r="H78" s="326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0" t="s">
        <v>2129</v>
      </c>
      <c r="H90" s="334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8" t="s">
        <v>1419</v>
      </c>
      <c r="F91" s="3259"/>
      <c r="G91" s="325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8" t="s">
        <v>1422</v>
      </c>
      <c r="F92" s="3259"/>
      <c r="G92" s="3259"/>
      <c r="H92" s="326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58" t="s">
        <v>1406</v>
      </c>
      <c r="F93" s="3259"/>
      <c r="G93" s="3259"/>
      <c r="H93" s="326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9" t="s">
        <v>1426</v>
      </c>
      <c r="F94" s="3270"/>
      <c r="G94" s="3270"/>
      <c r="H94" s="327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1">
        <f>C4</f>
        <v>0</v>
      </c>
      <c r="D101" s="2372">
        <f>D4</f>
        <v>0</v>
      </c>
      <c r="E101" s="3335" t="s">
        <v>1431</v>
      </c>
      <c r="F101" s="3292"/>
      <c r="G101" s="1687" t="s">
        <v>1432</v>
      </c>
      <c r="H101" s="2381" t="e">
        <f ca="1">H118</f>
        <v>#REF!</v>
      </c>
      <c r="I101" s="121"/>
    </row>
    <row r="102" spans="1:35" ht="18.75" customHeight="1">
      <c r="A102" s="3294" t="s">
        <v>1433</v>
      </c>
      <c r="B102" s="2370" t="s">
        <v>1432</v>
      </c>
      <c r="C102" s="2371" t="e">
        <f ca="1">IF(D32="楼面单价",ROUND(C19,0),C19)</f>
        <v>#REF!</v>
      </c>
      <c r="D102" s="2372" t="e">
        <f ca="1">IF(D32="楼面单价",ROUND(D19,0),D19)</f>
        <v>#REF!</v>
      </c>
      <c r="E102" s="3335"/>
      <c r="F102" s="3292"/>
      <c r="G102" s="1687" t="s">
        <v>1434</v>
      </c>
      <c r="H102" s="2341" t="e">
        <f ca="1">I118</f>
        <v>#REF!</v>
      </c>
      <c r="I102" s="121"/>
    </row>
    <row r="103" spans="1:35" ht="42.75" customHeight="1">
      <c r="A103" s="3294"/>
      <c r="B103" s="2370" t="s">
        <v>1434</v>
      </c>
      <c r="C103" s="2373" t="e">
        <f ca="1">C20</f>
        <v>#REF!</v>
      </c>
      <c r="D103" s="2374" t="e">
        <f ca="1">D20</f>
        <v>#REF!</v>
      </c>
      <c r="E103" s="3329" t="s">
        <v>1435</v>
      </c>
      <c r="F103" s="3330"/>
      <c r="G103" s="1688" t="s">
        <v>1436</v>
      </c>
      <c r="H103" s="2381">
        <f>IF(D36="正常操作",H104+H105+H106,H105+H106)</f>
        <v>0</v>
      </c>
      <c r="I103" s="121"/>
    </row>
    <row r="104" spans="1:35" ht="18.75" customHeight="1">
      <c r="A104" s="329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92"/>
      <c r="G107" s="1687" t="s">
        <v>1432</v>
      </c>
      <c r="H107" s="2381" t="e">
        <f ca="1">IF(E107="——","——",H101-H103)</f>
        <v>#REF!</v>
      </c>
      <c r="I107" s="121"/>
    </row>
    <row r="108" spans="1:35" ht="18.75" customHeight="1">
      <c r="A108" s="121"/>
      <c r="B108" s="121"/>
      <c r="C108" s="121"/>
      <c r="D108" s="121"/>
      <c r="E108" s="3291"/>
      <c r="F108" s="3292"/>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7" t="s">
        <v>1432</v>
      </c>
      <c r="H109" s="2384" t="str">
        <f>IF(E109="——","——",H101-H105-H106)</f>
        <v>——</v>
      </c>
      <c r="I109" s="121"/>
    </row>
    <row r="110" spans="1:35" ht="18.75" customHeight="1">
      <c r="A110" s="121"/>
      <c r="B110" s="121"/>
      <c r="C110" s="121"/>
      <c r="D110" s="121"/>
      <c r="E110" s="3291"/>
      <c r="F110" s="3292"/>
      <c r="G110" s="1687" t="s">
        <v>1434</v>
      </c>
      <c r="H110" s="2341"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24"/>
      <c r="F112" s="3325"/>
      <c r="G112" s="1690" t="s">
        <v>1434</v>
      </c>
      <c r="H112" s="2385"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1"/>
      <c r="F114" s="1671"/>
      <c r="G114" s="1671"/>
      <c r="H114" s="1671"/>
      <c r="I114" s="646"/>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9500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2" t="s">
        <v>1452</v>
      </c>
      <c r="B119" s="3262"/>
      <c r="C119" s="3262"/>
      <c r="D119" s="3302" t="e">
        <f ca="1">NUMBERSTRING(INT(D118*10000),2)&amp;"元整"</f>
        <v>#REF!</v>
      </c>
      <c r="E119" s="3304"/>
      <c r="F119" s="3302" t="e">
        <f ca="1">NUMBERSTRING(INT(F118*10000),2)&amp;"元整"</f>
        <v>#REF!</v>
      </c>
      <c r="G119" s="3304"/>
      <c r="H119" s="3302" t="e">
        <f ca="1">NUMBERSTRING(INT(H118*10000),2)&amp;"元整"</f>
        <v>#REF!</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2" t="s">
        <v>1452</v>
      </c>
      <c r="B121" s="3303"/>
      <c r="C121" s="3304"/>
      <c r="D121" s="3302" t="str">
        <f>IF(D120=0,"零元整",NUMBERSTRING(INT(D120*10000),2)&amp;"元整")</f>
        <v>零元整</v>
      </c>
      <c r="E121" s="3303"/>
      <c r="F121" s="3303"/>
      <c r="G121" s="3303"/>
      <c r="H121" s="3303"/>
      <c r="I121" s="3304"/>
      <c r="AA121" s="684"/>
    </row>
    <row r="122" spans="1:27" ht="18.75" customHeight="1">
      <c r="A122" s="3293" t="str">
        <f>IF(项目基本情况!B9="房地产市场价值","",MID(E107,3,LEN(E107)-2))</f>
        <v>房地产抵押价值</v>
      </c>
      <c r="B122" s="3293"/>
      <c r="C122" s="3293"/>
      <c r="D122" s="3326" t="e">
        <f ca="1">H107</f>
        <v>#REF!</v>
      </c>
      <c r="E122" s="3327"/>
      <c r="F122" s="3327"/>
      <c r="G122" s="3327"/>
      <c r="H122" s="3327"/>
      <c r="I122" s="3328"/>
      <c r="AA122" s="684"/>
    </row>
    <row r="123" spans="1:27" ht="18.75" customHeight="1">
      <c r="A123" s="3262" t="s">
        <v>1452</v>
      </c>
      <c r="B123" s="3262"/>
      <c r="C123" s="3262"/>
      <c r="D123" s="3302" t="e">
        <f ca="1">NUMBERSTRING(INT(D122*10000),2)&amp;"元整"</f>
        <v>#REF!</v>
      </c>
      <c r="E123" s="3303"/>
      <c r="F123" s="3303"/>
      <c r="G123" s="3303"/>
      <c r="H123" s="3303"/>
      <c r="I123" s="3304"/>
      <c r="AA123" s="684"/>
    </row>
    <row r="124" spans="1:27" ht="18.75" customHeight="1">
      <c r="A124" s="3293" t="str">
        <f>IF(项目基本情况!B9="房地产市场价值","",MID(E109,3,LEN(E109)-2))</f>
        <v/>
      </c>
      <c r="B124" s="3293"/>
      <c r="C124" s="3293"/>
      <c r="D124" s="3326" t="str">
        <f>H109</f>
        <v>——</v>
      </c>
      <c r="E124" s="3327"/>
      <c r="F124" s="3327"/>
      <c r="G124" s="3327"/>
      <c r="H124" s="3327"/>
      <c r="I124" s="3328"/>
      <c r="AA124" s="684"/>
    </row>
    <row r="125" spans="1:27" ht="18.75" customHeight="1">
      <c r="A125" s="3262" t="s">
        <v>1452</v>
      </c>
      <c r="B125" s="3262"/>
      <c r="C125" s="3262"/>
      <c r="D125" s="3302" t="e">
        <f>NUMBERSTRING(INT(D124*10000),2)&amp;"元整"</f>
        <v>#VALUE!</v>
      </c>
      <c r="E125" s="3303"/>
      <c r="F125" s="3303"/>
      <c r="G125" s="3303"/>
      <c r="H125" s="3303"/>
      <c r="I125" s="3304"/>
      <c r="AA125" s="684"/>
    </row>
    <row r="126" spans="1:27" ht="18.75" customHeight="1">
      <c r="A126" s="3293" t="str">
        <f>IF(项目基本情况!B9="房地产市场价值","",MID(E111,3,LEN(E111)-2))</f>
        <v/>
      </c>
      <c r="B126" s="3293"/>
      <c r="C126" s="3293"/>
      <c r="D126" s="3326" t="str">
        <f>H111</f>
        <v>——</v>
      </c>
      <c r="E126" s="3327"/>
      <c r="F126" s="3327"/>
      <c r="G126" s="3327"/>
      <c r="H126" s="3327"/>
      <c r="I126" s="3328"/>
      <c r="AA126" s="684"/>
    </row>
    <row r="127" spans="1:27" ht="18.75" customHeight="1">
      <c r="A127" s="3262" t="s">
        <v>1452</v>
      </c>
      <c r="B127" s="3262"/>
      <c r="C127" s="3262"/>
      <c r="D127" s="3302" t="e">
        <f>NUMBERSTRING(INT(D126*10000),2)&amp;"元整"</f>
        <v>#VALUE!</v>
      </c>
      <c r="E127" s="3303"/>
      <c r="F127" s="3303"/>
      <c r="G127" s="3303"/>
      <c r="H127" s="3303"/>
      <c r="I127" s="3304"/>
      <c r="AA127" s="684"/>
    </row>
    <row r="128" spans="1:27" ht="21.75" customHeight="1">
      <c r="A128" s="3309" t="s">
        <v>1453</v>
      </c>
      <c r="B128" s="3309"/>
      <c r="C128" s="3309"/>
      <c r="D128" s="3309"/>
      <c r="E128" s="3309"/>
      <c r="F128" s="3309"/>
      <c r="G128" s="3309"/>
      <c r="H128" s="3309"/>
      <c r="I128" s="330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10</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9500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9500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9500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2" t="s">
        <v>1544</v>
      </c>
    </row>
    <row r="43" spans="1:7" ht="13.5" customHeight="1">
      <c r="A43" s="734" t="s">
        <v>347</v>
      </c>
      <c r="B43" s="207" t="s">
        <v>1545</v>
      </c>
      <c r="C43" s="230" t="e">
        <f ca="1">ROUND(IF('数据-取费表'!B22&lt;=1,C39*F22*'数据-取费表'!B21/2,C39*(POWER((1+F22),'数据-取费表'!B21/2)-1)),0)</f>
        <v>#VALUE!</v>
      </c>
      <c r="D43" s="230"/>
      <c r="E43" s="230"/>
      <c r="F43" s="231"/>
      <c r="G43" s="3343"/>
    </row>
    <row r="44" spans="1:7" ht="13.5" customHeight="1">
      <c r="A44" s="734" t="s">
        <v>348</v>
      </c>
      <c r="B44" s="207" t="s">
        <v>1546</v>
      </c>
      <c r="C44" s="230" t="e">
        <f ca="1">ROUND(IF('数据-取费表'!B22&lt;=1,C40*F22*'数据-取费表'!B21/2,C40*(POWER((1+F22),'数据-取费表'!B21/2)-1)),4)</f>
        <v>#VALUE!</v>
      </c>
      <c r="D44" s="230"/>
      <c r="E44" s="230"/>
      <c r="F44" s="231"/>
      <c r="G44" s="334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9500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9500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9500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2" t="s">
        <v>1591</v>
      </c>
    </row>
    <row r="43" spans="1:7" ht="13.5" customHeight="1">
      <c r="A43" s="734" t="s">
        <v>347</v>
      </c>
      <c r="B43" s="207" t="s">
        <v>1545</v>
      </c>
      <c r="C43" s="230" t="e">
        <f ca="1">ROUND(IF('数据-取费表'!B22&lt;=1,C39*F22*'数据-取费表'!B20/2,C39*(POWER((1+F22),'数据-取费表'!B20/2)-1)),0)</f>
        <v>#VALUE!</v>
      </c>
      <c r="D43" s="230"/>
      <c r="E43" s="230"/>
      <c r="F43" s="231"/>
      <c r="G43" s="3343"/>
    </row>
    <row r="44" spans="1:7" ht="13.5" customHeight="1">
      <c r="A44" s="734" t="s">
        <v>348</v>
      </c>
      <c r="B44" s="207" t="s">
        <v>1546</v>
      </c>
      <c r="C44" s="230" t="e">
        <f ca="1">ROUND(IF('数据-取费表'!B22&lt;=1,C40*F22*'数据-取费表'!B20/2,C40*(POWER((1+F22),'数据-取费表'!B20/2)-1)),4)</f>
        <v>#VALUE!</v>
      </c>
      <c r="D44" s="230"/>
      <c r="E44" s="230"/>
      <c r="F44" s="231"/>
      <c r="G44" s="334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10</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9500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9500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9500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10</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2109</v>
      </c>
      <c r="E6" s="294" t="s">
        <v>696</v>
      </c>
      <c r="F6" s="295">
        <f ca="1">INDIRECT("'数据-取费表'!u"&amp;$G$1)</f>
        <v>0</v>
      </c>
      <c r="G6" s="1292"/>
      <c r="H6" s="1006" t="s">
        <v>398</v>
      </c>
      <c r="I6" s="3347" t="s">
        <v>694</v>
      </c>
      <c r="J6" s="293">
        <f ca="1">ROUND(M6*M8*M7*(1-M9)/10000,0)</f>
        <v>0</v>
      </c>
      <c r="K6" s="147" t="s">
        <v>2108</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5" t="s">
        <v>837</v>
      </c>
      <c r="L53" s="3346"/>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9" priority="3">
      <formula>$F$10="自定义"</formula>
    </cfRule>
  </conditionalFormatting>
  <conditionalFormatting sqref="C54">
    <cfRule type="expression" dxfId="148" priority="1">
      <formula>$F$53="自定义"</formula>
    </cfRule>
  </conditionalFormatting>
  <conditionalFormatting sqref="I55 I60">
    <cfRule type="expression" dxfId="147" priority="57">
      <formula>$J$51&gt;$L$48</formula>
    </cfRule>
  </conditionalFormatting>
  <conditionalFormatting sqref="J11">
    <cfRule type="expression" dxfId="146" priority="2">
      <formula>$M$10="自定义"</formula>
    </cfRule>
  </conditionalFormatting>
  <conditionalFormatting sqref="K55 K60">
    <cfRule type="expression" dxfId="14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10</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0</v>
      </c>
      <c r="D6" s="147" t="s">
        <v>2106</v>
      </c>
      <c r="E6" s="294" t="s">
        <v>696</v>
      </c>
      <c r="F6" s="295">
        <f ca="1">INDIRECT("'数据-取费表'!u"&amp;$G$1)</f>
        <v>0</v>
      </c>
      <c r="G6" s="1292"/>
      <c r="H6" s="1006" t="s">
        <v>398</v>
      </c>
      <c r="I6" s="3347" t="s">
        <v>694</v>
      </c>
      <c r="J6" s="293">
        <f ca="1">ROUND(M6*M8*M7*(1-M9),0)</f>
        <v>0</v>
      </c>
      <c r="K6" s="1284"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5" t="s">
        <v>837</v>
      </c>
      <c r="L53" s="3346"/>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J11">
    <cfRule type="expression" dxfId="141" priority="2">
      <formula>$M$10="自定义"</formula>
    </cfRule>
  </conditionalFormatting>
  <conditionalFormatting sqref="K55 K60">
    <cfRule type="expression" dxfId="14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356" t="s">
        <v>2317</v>
      </c>
      <c r="K2" s="335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8" t="s">
        <v>2327</v>
      </c>
      <c r="K3" s="335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8" t="s">
        <v>2329</v>
      </c>
      <c r="K4" s="335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64" t="s">
        <v>2333</v>
      </c>
      <c r="B6" s="3365"/>
      <c r="C6" s="3366"/>
      <c r="D6" s="2622"/>
      <c r="E6" s="2623"/>
      <c r="F6" s="2624"/>
      <c r="G6" s="2625"/>
      <c r="H6" s="2600"/>
      <c r="I6" s="2601"/>
      <c r="J6" s="3350">
        <v>1</v>
      </c>
      <c r="K6" s="335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50"/>
      <c r="K7" s="335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7" t="s">
        <v>2347</v>
      </c>
      <c r="C8" s="3368"/>
      <c r="D8" s="2641" t="s">
        <v>2348</v>
      </c>
      <c r="E8" s="2642" t="s">
        <v>2349</v>
      </c>
      <c r="F8" s="2643" t="s">
        <v>2350</v>
      </c>
      <c r="G8" s="2644"/>
      <c r="H8" s="2600"/>
      <c r="I8" s="2601"/>
      <c r="J8" s="3350"/>
      <c r="K8" s="335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7" t="s">
        <v>2353</v>
      </c>
      <c r="C9" s="3368"/>
      <c r="D9" s="2641">
        <f>ROUND(D6*E9,0)</f>
        <v>0</v>
      </c>
      <c r="E9" s="2645"/>
      <c r="F9" s="2646" t="s">
        <v>2354</v>
      </c>
      <c r="G9" s="2625"/>
      <c r="H9" s="2600"/>
      <c r="I9" s="2601"/>
      <c r="J9" s="3350"/>
      <c r="K9" s="3352"/>
      <c r="L9" s="2635" t="s">
        <v>2355</v>
      </c>
      <c r="M9" s="2636"/>
      <c r="N9" s="2612"/>
      <c r="O9" s="2637"/>
      <c r="P9" s="2637"/>
      <c r="Q9" s="2638">
        <v>365</v>
      </c>
      <c r="R9" s="2639">
        <f t="shared" si="0"/>
        <v>0</v>
      </c>
      <c r="S9" s="2593"/>
      <c r="T9" s="2593"/>
      <c r="U9" s="2593"/>
      <c r="V9" s="2601"/>
    </row>
    <row r="10" spans="1:22" s="2605" customFormat="1" ht="13.15" customHeight="1">
      <c r="A10" s="2640">
        <v>2</v>
      </c>
      <c r="B10" s="3367" t="s">
        <v>2356</v>
      </c>
      <c r="C10" s="3368"/>
      <c r="D10" s="2641">
        <f>ROUND(D6*E10,0)</f>
        <v>0</v>
      </c>
      <c r="E10" s="2645"/>
      <c r="F10" s="2646" t="s">
        <v>2357</v>
      </c>
      <c r="G10" s="2625"/>
      <c r="H10" s="2600"/>
      <c r="I10" s="2601"/>
      <c r="J10" s="3350"/>
      <c r="K10" s="3352"/>
      <c r="L10" s="2635" t="s">
        <v>2358</v>
      </c>
      <c r="M10" s="2636"/>
      <c r="N10" s="2612"/>
      <c r="O10" s="2637"/>
      <c r="P10" s="2637"/>
      <c r="Q10" s="2638">
        <v>365</v>
      </c>
      <c r="R10" s="2639">
        <f t="shared" si="0"/>
        <v>0</v>
      </c>
      <c r="S10" s="2593"/>
      <c r="T10" s="2593"/>
      <c r="U10" s="2593"/>
      <c r="V10" s="2601"/>
    </row>
    <row r="11" spans="1:22" s="2605" customFormat="1" ht="13.15" customHeight="1">
      <c r="A11" s="2640">
        <v>3</v>
      </c>
      <c r="B11" s="3367" t="s">
        <v>2359</v>
      </c>
      <c r="C11" s="3368"/>
      <c r="D11" s="2641">
        <f>D12+D14+D15+D16</f>
        <v>0</v>
      </c>
      <c r="E11" s="2647" t="e">
        <f>D11/D6</f>
        <v>#DIV/0!</v>
      </c>
      <c r="F11" s="2643"/>
      <c r="G11" s="2644"/>
      <c r="H11" s="2600"/>
      <c r="I11" s="2601"/>
      <c r="J11" s="3350"/>
      <c r="K11" s="335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60" t="s">
        <v>2362</v>
      </c>
      <c r="C12" s="3361"/>
      <c r="D12" s="2649">
        <f>ROUND(D13*1.2%*(1-30%),0)</f>
        <v>0</v>
      </c>
      <c r="E12" s="2650">
        <v>1.2E-2</v>
      </c>
      <c r="F12" s="2643" t="s">
        <v>2363</v>
      </c>
      <c r="G12" s="2644"/>
      <c r="H12" s="2600"/>
      <c r="I12" s="2601"/>
      <c r="J12" s="3350"/>
      <c r="K12" s="335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50"/>
      <c r="K13" s="335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60" t="s">
        <v>2368</v>
      </c>
      <c r="C14" s="3361"/>
      <c r="D14" s="2649">
        <f>ROUND(E14*B5/10000,0)</f>
        <v>0</v>
      </c>
      <c r="E14" s="2638"/>
      <c r="F14" s="2643" t="s">
        <v>2369</v>
      </c>
      <c r="G14" s="2644"/>
      <c r="H14" s="2600"/>
      <c r="I14" s="2601"/>
      <c r="J14" s="3350"/>
      <c r="K14" s="335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60" t="s">
        <v>2372</v>
      </c>
      <c r="C15" s="3361"/>
      <c r="D15" s="2649">
        <f>ROUND(D6*E15,0)</f>
        <v>0</v>
      </c>
      <c r="E15" s="2650">
        <v>5.5E-2</v>
      </c>
      <c r="F15" s="2643" t="s">
        <v>2373</v>
      </c>
      <c r="G15" s="2625"/>
      <c r="H15" s="2600"/>
      <c r="I15" s="2601"/>
      <c r="J15" s="3350">
        <v>2</v>
      </c>
      <c r="K15" s="335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60" t="s">
        <v>2381</v>
      </c>
      <c r="C16" s="3361"/>
      <c r="D16" s="2660">
        <f>D6*E16</f>
        <v>0</v>
      </c>
      <c r="E16" s="2661"/>
      <c r="F16" s="2646" t="s">
        <v>2382</v>
      </c>
      <c r="G16" s="2625"/>
      <c r="H16" s="2600"/>
      <c r="I16" s="2601"/>
      <c r="J16" s="3350"/>
      <c r="K16" s="335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62" t="s">
        <v>2384</v>
      </c>
      <c r="C17" s="3363"/>
      <c r="D17" s="2663">
        <f>ROUND(D6*E17,0)</f>
        <v>0</v>
      </c>
      <c r="E17" s="2664"/>
      <c r="F17" s="2665" t="s">
        <v>2385</v>
      </c>
      <c r="G17" s="2625"/>
      <c r="H17" s="2600"/>
      <c r="I17" s="2601"/>
      <c r="J17" s="3350"/>
      <c r="K17" s="335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50"/>
      <c r="K18" s="335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50"/>
      <c r="K19" s="335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0">
        <v>3</v>
      </c>
      <c r="K20" s="335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50"/>
      <c r="K21" s="335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50"/>
      <c r="K22" s="335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50"/>
      <c r="K23" s="335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50"/>
      <c r="K24" s="335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5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5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6" t="s">
        <v>2317</v>
      </c>
      <c r="K32" s="335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8" t="s">
        <v>2327</v>
      </c>
      <c r="K33" s="335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8" t="s">
        <v>2329</v>
      </c>
      <c r="K34" s="335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50">
        <v>1</v>
      </c>
      <c r="K36" s="335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50"/>
      <c r="K37" s="335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0"/>
      <c r="K38" s="335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50"/>
      <c r="K39" s="335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50"/>
      <c r="K40" s="335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5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9" t="s">
        <v>1654</v>
      </c>
      <c r="C5" s="3370"/>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Normal="60" zoomScaleSheetLayoutView="100" workbookViewId="0">
      <selection activeCell="F19" sqref="F1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3408</v>
      </c>
      <c r="E1" s="3125"/>
      <c r="F1" s="1735" t="s">
        <v>3441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85.3</v>
      </c>
      <c r="C3" s="344" t="s">
        <v>1665</v>
      </c>
      <c r="D3" s="343">
        <f>IF(D1="",'数据-汇总表'!E3,SUMIF('数据-汇总表'!$C19:$C33,D1,'数据-汇总表'!$E19:$E33))</f>
        <v>8200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9" t="s">
        <v>1667</v>
      </c>
      <c r="D4" s="3390"/>
      <c r="E4" s="3391" t="s">
        <v>1668</v>
      </c>
      <c r="F4" s="3392"/>
      <c r="G4" s="3389" t="s">
        <v>1669</v>
      </c>
      <c r="H4" s="3390"/>
      <c r="I4" s="3389" t="s">
        <v>1670</v>
      </c>
      <c r="J4" s="3390"/>
      <c r="K4" s="1744" t="s">
        <v>1671</v>
      </c>
      <c r="L4" s="2487"/>
      <c r="M4" s="2488"/>
      <c r="N4" s="2488"/>
      <c r="O4" s="2488"/>
      <c r="P4" s="3393" t="s">
        <v>1672</v>
      </c>
      <c r="Q4" s="3394"/>
      <c r="R4" s="3399" t="s">
        <v>1668</v>
      </c>
      <c r="S4" s="3400"/>
      <c r="T4" s="3399" t="s">
        <v>1669</v>
      </c>
      <c r="U4" s="3400"/>
      <c r="V4" s="3375" t="s">
        <v>1670</v>
      </c>
      <c r="W4" s="3375"/>
      <c r="X4" s="1265"/>
      <c r="Y4" s="3399" t="s">
        <v>1672</v>
      </c>
      <c r="Z4" s="3400"/>
      <c r="AA4" s="3386" t="s">
        <v>1668</v>
      </c>
      <c r="AB4" s="3386" t="s">
        <v>1669</v>
      </c>
      <c r="AC4" s="3386" t="s">
        <v>1670</v>
      </c>
    </row>
    <row r="5" spans="1:29" ht="15">
      <c r="A5" s="348"/>
      <c r="B5" s="349"/>
      <c r="C5" s="3407" t="s">
        <v>1673</v>
      </c>
      <c r="D5" s="3408"/>
      <c r="E5" s="3414" t="str">
        <f>案例!P2</f>
        <v>政馨园三区</v>
      </c>
      <c r="F5" s="3415"/>
      <c r="G5" s="3407" t="str">
        <f>案例!P17</f>
        <v>顶秀金颐家园</v>
      </c>
      <c r="H5" s="3408"/>
      <c r="I5" s="3407" t="str">
        <f>案例!P30</f>
        <v>鑫兆雅园南区</v>
      </c>
      <c r="J5" s="3408"/>
      <c r="K5" s="1745"/>
      <c r="L5" s="2487"/>
      <c r="M5" s="2488"/>
      <c r="N5" s="2488"/>
      <c r="O5" s="2488"/>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1745" t="s">
        <v>1678</v>
      </c>
      <c r="L6" s="2487"/>
      <c r="M6" s="2488"/>
      <c r="N6" s="2488"/>
      <c r="O6" s="2488"/>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45702</v>
      </c>
      <c r="D7" s="355">
        <v>100</v>
      </c>
      <c r="E7" s="356">
        <v>45689</v>
      </c>
      <c r="F7" s="357">
        <f>SUMIF(58:58,YEAR(E7)&amp;"-"&amp;MONTH(E7),59:59)</f>
        <v>100</v>
      </c>
      <c r="G7" s="356">
        <v>45689</v>
      </c>
      <c r="H7" s="355">
        <f>SUMIF(58:58,YEAR(G7)&amp;"-"&amp;MONTH(G7),59:59)</f>
        <v>100</v>
      </c>
      <c r="I7" s="356">
        <v>45689</v>
      </c>
      <c r="J7" s="355">
        <f>SUMIF(58:58,YEAR(I7)&amp;"-"&amp;MONTH(I7),59:59)</f>
        <v>100</v>
      </c>
      <c r="K7" s="1746"/>
      <c r="L7" s="2489"/>
      <c r="M7" s="2440"/>
      <c r="N7" s="2440"/>
      <c r="O7" s="2440"/>
      <c r="P7" s="3409" t="s">
        <v>1680</v>
      </c>
      <c r="Q7" s="3411"/>
      <c r="R7" s="664" t="s">
        <v>20</v>
      </c>
      <c r="S7" s="665">
        <f t="shared" ref="S7:S15" si="0">F7</f>
        <v>100</v>
      </c>
      <c r="T7" s="664" t="s">
        <v>20</v>
      </c>
      <c r="U7" s="665">
        <f t="shared" ref="U7:U15" si="1">H7</f>
        <v>100</v>
      </c>
      <c r="V7" s="664" t="s">
        <v>20</v>
      </c>
      <c r="W7" s="665">
        <f t="shared" ref="W7:W15" si="2">J7</f>
        <v>100</v>
      </c>
      <c r="X7" s="666"/>
      <c r="Y7" s="3409" t="s">
        <v>1680</v>
      </c>
      <c r="Z7" s="3410"/>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9" t="s">
        <v>1683</v>
      </c>
      <c r="Q8" s="3410"/>
      <c r="R8" s="664" t="s">
        <v>20</v>
      </c>
      <c r="S8" s="665">
        <f t="shared" si="0"/>
        <v>100</v>
      </c>
      <c r="T8" s="664" t="s">
        <v>20</v>
      </c>
      <c r="U8" s="665">
        <f t="shared" si="1"/>
        <v>100</v>
      </c>
      <c r="V8" s="664" t="s">
        <v>20</v>
      </c>
      <c r="W8" s="665">
        <f t="shared" si="2"/>
        <v>100</v>
      </c>
      <c r="X8" s="666"/>
      <c r="Y8" s="3409" t="s">
        <v>1683</v>
      </c>
      <c r="Z8" s="341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385"/>
      <c r="Q11" s="530" t="str">
        <f t="shared" si="6"/>
        <v>容积率</v>
      </c>
      <c r="R11" s="664" t="s">
        <v>18</v>
      </c>
      <c r="S11" s="665">
        <f t="shared" si="0"/>
        <v>100</v>
      </c>
      <c r="T11" s="664" t="s">
        <v>18</v>
      </c>
      <c r="U11" s="665">
        <f t="shared" si="1"/>
        <v>100</v>
      </c>
      <c r="V11" s="664" t="s">
        <v>18</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5"/>
      <c r="Q12" s="530">
        <f t="shared" si="6"/>
        <v>111</v>
      </c>
      <c r="R12" s="664" t="s">
        <v>18</v>
      </c>
      <c r="S12" s="665">
        <f t="shared" si="0"/>
        <v>100</v>
      </c>
      <c r="T12" s="664" t="s">
        <v>18</v>
      </c>
      <c r="U12" s="665">
        <f t="shared" si="1"/>
        <v>100</v>
      </c>
      <c r="V12" s="664" t="s">
        <v>18</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5"/>
      <c r="Q13" s="530">
        <f t="shared" si="6"/>
        <v>111</v>
      </c>
      <c r="R13" s="664" t="s">
        <v>18</v>
      </c>
      <c r="S13" s="665">
        <f t="shared" si="0"/>
        <v>100</v>
      </c>
      <c r="T13" s="664" t="s">
        <v>18</v>
      </c>
      <c r="U13" s="665">
        <f t="shared" si="1"/>
        <v>100</v>
      </c>
      <c r="V13" s="664" t="s">
        <v>18</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5"/>
      <c r="Q14" s="530">
        <f t="shared" si="6"/>
        <v>111</v>
      </c>
      <c r="R14" s="664" t="s">
        <v>18</v>
      </c>
      <c r="S14" s="665">
        <f t="shared" si="0"/>
        <v>100</v>
      </c>
      <c r="T14" s="664" t="s">
        <v>18</v>
      </c>
      <c r="U14" s="665">
        <f t="shared" si="1"/>
        <v>100</v>
      </c>
      <c r="V14" s="664" t="s">
        <v>18</v>
      </c>
      <c r="W14" s="665">
        <f t="shared" si="2"/>
        <v>100</v>
      </c>
      <c r="X14" s="666"/>
      <c r="Y14" s="324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3"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4"/>
      <c r="Q16" s="1263"/>
      <c r="R16" s="667"/>
      <c r="S16" s="668"/>
      <c r="T16" s="667"/>
      <c r="U16" s="668"/>
      <c r="V16" s="667"/>
      <c r="W16" s="668"/>
      <c r="X16" s="1265"/>
      <c r="Y16" s="337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4"/>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4"/>
      <c r="Q18" s="1263"/>
      <c r="R18" s="667"/>
      <c r="S18" s="668"/>
      <c r="T18" s="667"/>
      <c r="U18" s="668"/>
      <c r="V18" s="667"/>
      <c r="W18" s="668"/>
      <c r="X18" s="1265"/>
      <c r="Y18" s="337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4"/>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4"/>
      <c r="Q20" s="1263"/>
      <c r="R20" s="667"/>
      <c r="S20" s="668"/>
      <c r="T20" s="667"/>
      <c r="U20" s="668"/>
      <c r="V20" s="667"/>
      <c r="W20" s="668"/>
      <c r="X20" s="1265"/>
      <c r="Y20" s="337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4"/>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4"/>
      <c r="Q22" s="1263"/>
      <c r="R22" s="667"/>
      <c r="S22" s="668"/>
      <c r="T22" s="667"/>
      <c r="U22" s="668"/>
      <c r="V22" s="667"/>
      <c r="W22" s="668"/>
      <c r="X22" s="1265"/>
      <c r="Y22" s="337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4"/>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4"/>
      <c r="Q24" s="1263"/>
      <c r="R24" s="667"/>
      <c r="S24" s="668"/>
      <c r="T24" s="667"/>
      <c r="U24" s="668"/>
      <c r="V24" s="667"/>
      <c r="W24" s="668"/>
      <c r="X24" s="1265"/>
      <c r="Y24" s="337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4"/>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4"/>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4"/>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4"/>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4"/>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4"/>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
      <c r="A33" s="406"/>
      <c r="B33" s="364" t="s">
        <v>1697</v>
      </c>
      <c r="C33" s="407">
        <v>80</v>
      </c>
      <c r="D33" s="119">
        <v>100</v>
      </c>
      <c r="E33" s="369">
        <f>案例!Q2</f>
        <v>66</v>
      </c>
      <c r="F33" s="364">
        <f>LOOKUP(E33,103:103,104:104)-LOOKUP(C33,103:103,104:104)+100</f>
        <v>100</v>
      </c>
      <c r="G33" s="368">
        <f>案例!Q18</f>
        <v>76.239999999999995</v>
      </c>
      <c r="H33" s="119">
        <f>LOOKUP(G33,103:103,104:104)-LOOKUP(C33,103:103,104:104)+100</f>
        <v>100</v>
      </c>
      <c r="I33" s="369">
        <f>案例!Q33</f>
        <v>93.43</v>
      </c>
      <c r="J33" s="119">
        <f>LOOKUP(I33,103:103,104:104)-LOOKUP(C33,103:103,104:104)+100</f>
        <v>100</v>
      </c>
      <c r="K33" s="1748"/>
      <c r="L33" s="2492"/>
      <c r="M33" s="2494"/>
      <c r="N33" s="2494"/>
      <c r="O33" s="2494"/>
      <c r="P33" s="3379"/>
      <c r="Q33" s="531" t="str">
        <f t="shared" si="11"/>
        <v>项目建筑规模</v>
      </c>
      <c r="R33" s="669" t="s">
        <v>18</v>
      </c>
      <c r="S33" s="670">
        <f t="shared" si="12"/>
        <v>100</v>
      </c>
      <c r="T33" s="669" t="s">
        <v>18</v>
      </c>
      <c r="U33" s="670">
        <f t="shared" si="13"/>
        <v>100</v>
      </c>
      <c r="V33" s="669" t="s">
        <v>18</v>
      </c>
      <c r="W33" s="670">
        <f t="shared" si="14"/>
        <v>100</v>
      </c>
      <c r="X33" s="671"/>
      <c r="Y33" s="3381"/>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0.9</v>
      </c>
      <c r="F37" s="364">
        <f>LOOKUP(E37,112:112,113:113)-LOOKUP(C37,112:112,113:113)+100</f>
        <v>100</v>
      </c>
      <c r="G37" s="413">
        <v>0.9</v>
      </c>
      <c r="H37" s="119">
        <f>LOOKUP(G37,112:112,113:113)-LOOKUP(C37,112:112,113:113)+100</f>
        <v>100</v>
      </c>
      <c r="I37" s="412">
        <v>0.9</v>
      </c>
      <c r="J37" s="119">
        <f>LOOKUP(I37,112:112,113:113)-LOOKUP(C37,112:112,113:113)+100</f>
        <v>100</v>
      </c>
      <c r="K37" s="365"/>
      <c r="L37" s="2489"/>
      <c r="M37" s="2440"/>
      <c r="N37" s="2440"/>
      <c r="O37" s="2440"/>
      <c r="P37" s="3379"/>
      <c r="Q37" s="530" t="str">
        <f t="shared" si="11"/>
        <v>成新度</v>
      </c>
      <c r="R37" s="664" t="s">
        <v>18</v>
      </c>
      <c r="S37" s="665">
        <f t="shared" si="12"/>
        <v>100</v>
      </c>
      <c r="T37" s="664" t="s">
        <v>18</v>
      </c>
      <c r="U37" s="665">
        <f t="shared" si="13"/>
        <v>100</v>
      </c>
      <c r="V37" s="664" t="s">
        <v>18</v>
      </c>
      <c r="W37" s="665">
        <f t="shared" si="14"/>
        <v>100</v>
      </c>
      <c r="X37" s="666"/>
      <c r="Y37" s="3381"/>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ht="15">
      <c r="A47" s="416" t="s">
        <v>1708</v>
      </c>
      <c r="B47" s="417"/>
      <c r="C47" s="1081" t="s">
        <v>16</v>
      </c>
      <c r="D47" s="418"/>
      <c r="E47" s="419">
        <f>案例!S2</f>
        <v>80.3</v>
      </c>
      <c r="F47" s="420"/>
      <c r="G47" s="421">
        <f>案例!S18</f>
        <v>87.88</v>
      </c>
      <c r="H47" s="422"/>
      <c r="I47" s="419">
        <f>案例!S33</f>
        <v>87.77</v>
      </c>
      <c r="J47" s="422"/>
      <c r="K47" s="1767"/>
      <c r="L47" s="2495"/>
      <c r="M47" s="2488"/>
      <c r="N47" s="2488"/>
      <c r="O47" s="2488"/>
      <c r="P47" s="3374" t="str">
        <f>A47</f>
        <v>成交单价（元/平方米）</v>
      </c>
      <c r="Q47" s="3374"/>
      <c r="R47" s="3375">
        <f>E47</f>
        <v>80.3</v>
      </c>
      <c r="S47" s="3375"/>
      <c r="T47" s="3375">
        <f>G47</f>
        <v>87.88</v>
      </c>
      <c r="U47" s="3375"/>
      <c r="V47" s="3375">
        <f>I47</f>
        <v>87.77</v>
      </c>
      <c r="W47" s="3375"/>
      <c r="X47" s="385"/>
      <c r="Y47" s="673"/>
      <c r="Z47" s="385"/>
      <c r="AA47" s="385"/>
      <c r="AB47" s="385"/>
      <c r="AC47" s="385"/>
    </row>
    <row r="48" spans="1:29" ht="15.75" thickBot="1">
      <c r="A48" s="423" t="s">
        <v>1709</v>
      </c>
      <c r="B48" s="424"/>
      <c r="C48" s="1082">
        <f>R49</f>
        <v>85.3</v>
      </c>
      <c r="D48" s="2141" t="s">
        <v>2138</v>
      </c>
      <c r="E48" s="1083">
        <f>R48</f>
        <v>80.3</v>
      </c>
      <c r="F48" s="2142"/>
      <c r="G48" s="1082">
        <f>T48</f>
        <v>87.9</v>
      </c>
      <c r="H48" s="2142"/>
      <c r="I48" s="1083">
        <f>V48</f>
        <v>87.8</v>
      </c>
      <c r="J48" s="2142"/>
      <c r="K48" s="2143">
        <f>F48+H48+J48</f>
        <v>0</v>
      </c>
      <c r="L48" s="2495"/>
      <c r="M48" s="2488"/>
      <c r="N48" s="2488"/>
      <c r="O48" s="2488"/>
      <c r="P48" s="3374" t="str">
        <f>A48</f>
        <v>比较价值（元/平方米）</v>
      </c>
      <c r="Q48" s="3374"/>
      <c r="R48" s="3375">
        <f>IF(F1="售价",ROUND(PRODUCT(R47,AA7:AA46),0),ROUND(PRODUCT(R47,AA7:AA46),1))</f>
        <v>80.3</v>
      </c>
      <c r="S48" s="3375"/>
      <c r="T48" s="3375">
        <f>IF(F1="售价",ROUND(PRODUCT(T47,AB7:AB46),0),ROUND(PRODUCT(T47,AB7:AB46),1))</f>
        <v>87.9</v>
      </c>
      <c r="U48" s="3375"/>
      <c r="V48" s="3375">
        <f>IF(F1="售价",ROUND(PRODUCT(V47,AC7:AC46),0),ROUND(PRODUCT(V47,AC7:AC46),1))</f>
        <v>87.8</v>
      </c>
      <c r="W48" s="3375"/>
      <c r="X48" s="385"/>
      <c r="Y48" s="385"/>
      <c r="Z48" s="385"/>
      <c r="AA48" s="385"/>
      <c r="AB48" s="385"/>
      <c r="AC48" s="385"/>
    </row>
    <row r="49" spans="1:29" ht="15.75" thickBot="1">
      <c r="A49" s="427" t="s">
        <v>1710</v>
      </c>
      <c r="B49" s="428"/>
      <c r="C49" s="1084">
        <f>R49</f>
        <v>85.3</v>
      </c>
      <c r="D49" s="351"/>
      <c r="E49" s="351"/>
      <c r="F49" s="351"/>
      <c r="G49" s="351"/>
      <c r="H49" s="351"/>
      <c r="I49" s="351"/>
      <c r="J49" s="351"/>
      <c r="K49" s="1768"/>
      <c r="L49" s="2495"/>
      <c r="M49" s="2488"/>
      <c r="N49" s="2488"/>
      <c r="O49" s="2488"/>
      <c r="P49" s="3371" t="str">
        <f>A49</f>
        <v>估价对象XX用房的比较价值（楼面单价，元/平方米）</v>
      </c>
      <c r="Q49" s="3372"/>
      <c r="R49" s="3373">
        <f>IF(F1="售价",ROUND(IF(D48="简单平均",AVERAGE(R48:V48),R48*F48+T48*H48+V48*J48),0),ROUND(IF(D48="简单平均",AVERAGE(R48:V48),R48*F48+T48*H48+V48*J48),1))</f>
        <v>85.3</v>
      </c>
      <c r="S49" s="3373"/>
      <c r="T49" s="3373"/>
      <c r="U49" s="3373"/>
      <c r="V49" s="3373"/>
      <c r="W49" s="337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v>
      </c>
      <c r="F52" s="435" t="str">
        <f>IF(OR(E52&gt;=0.3,E52&lt;=-0.3),"超过30%","")</f>
        <v/>
      </c>
      <c r="G52" s="434">
        <f>IF(G47&lt;G48,G48/G47-1,G47/G48-1)</f>
        <v>2.2758306781978099E-4</v>
      </c>
      <c r="H52" s="435" t="str">
        <f>IF(OR(G52&gt;=0.3,G52&lt;=-0.3),"超过30%","")</f>
        <v/>
      </c>
      <c r="I52" s="434">
        <f>IF(I47&lt;I48,I48/I47-1,I47/I48-1)</f>
        <v>3.418024381907081E-4</v>
      </c>
      <c r="J52" s="435" t="str">
        <f>IF(OR(I52&gt;=0.3,I52&lt;=-0.3),"超过30%","")</f>
        <v/>
      </c>
      <c r="K52" s="2500"/>
      <c r="L52" s="2496"/>
      <c r="M52" s="2488"/>
      <c r="N52" s="2488"/>
      <c r="O52" s="2488"/>
    </row>
    <row r="53" spans="1:29" ht="13.5" customHeight="1">
      <c r="A53" s="2488"/>
      <c r="B53" s="2488"/>
      <c r="C53" s="432" t="s">
        <v>1712</v>
      </c>
      <c r="D53" s="436"/>
      <c r="E53" s="434">
        <f>IF(E48&lt;G48,G48/E48-1,E48/G48-1)</f>
        <v>9.4645080946450966E-2</v>
      </c>
      <c r="F53" s="435" t="str">
        <f>IF(OR(E53&gt;=0.2,E53&lt;=-0.2),"超过20%","")</f>
        <v/>
      </c>
      <c r="G53" s="434">
        <f>IF(G48&lt;I48,I48/G48-1,G48/I48-1)</f>
        <v>1.138952164009277E-3</v>
      </c>
      <c r="H53" s="435" t="str">
        <f>IF(OR(G53&gt;=0.2,G53&lt;=-0.2),"超过20%","")</f>
        <v/>
      </c>
      <c r="I53" s="434">
        <f>IF(I48&lt;E48,E48/I48-1,I48/E48-1)</f>
        <v>9.3399750933997439E-2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9.4396014943960216E-2</v>
      </c>
      <c r="F54" s="435" t="str">
        <f>IF(OR(E54&gt;=0.3,E54&lt;=-0.3),"超过30%","")</f>
        <v/>
      </c>
      <c r="G54" s="434">
        <f>IF(G47&lt;I47,I47/G47-1,G47/I47-1)</f>
        <v>1.2532756066994111E-3</v>
      </c>
      <c r="H54" s="435" t="str">
        <f>IF(OR(G54&gt;=0.3,G54&lt;=-0.3),"超过30%","")</f>
        <v/>
      </c>
      <c r="I54" s="434">
        <f>IF(I47&lt;E47,E47/I47-1,I47/E47-1)</f>
        <v>9.3026151930261536E-2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9" priority="14"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F7:F46 H7:H46 J7:J46">
    <cfRule type="cellIs" dxfId="136" priority="1" operator="notEqual">
      <formula>100</formula>
    </cfRule>
  </conditionalFormatting>
  <conditionalFormatting sqref="F48">
    <cfRule type="expression" dxfId="135" priority="4">
      <formula>$D$48="简单平均"</formula>
    </cfRule>
  </conditionalFormatting>
  <conditionalFormatting sqref="F52:F54 H52:H54 J52:J54">
    <cfRule type="containsText" dxfId="134" priority="15" stopIfTrue="1" operator="containsText" text="超过">
      <formula>NOT(ISERROR(SEARCH("超过",F52)))</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G54">
    <cfRule type="expression" dxfId="131" priority="12" stopIfTrue="1">
      <formula>$H$54="超过30%"</formula>
    </cfRule>
  </conditionalFormatting>
  <conditionalFormatting sqref="H48">
    <cfRule type="expression" dxfId="130" priority="3">
      <formula>$D$48="简单平均"</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J48">
    <cfRule type="expression" dxfId="12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Normal="70" zoomScaleSheetLayoutView="100" workbookViewId="0">
      <selection activeCell="C48" sqref="C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9500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9" t="s">
        <v>1770</v>
      </c>
      <c r="D4" s="3390"/>
      <c r="E4" s="3391" t="s">
        <v>1771</v>
      </c>
      <c r="F4" s="3392"/>
      <c r="G4" s="3389" t="s">
        <v>1772</v>
      </c>
      <c r="H4" s="3390"/>
      <c r="I4" s="3389" t="s">
        <v>1773</v>
      </c>
      <c r="J4" s="3390"/>
      <c r="K4" s="537" t="s">
        <v>1774</v>
      </c>
      <c r="L4" s="2487"/>
      <c r="M4" s="2488"/>
      <c r="N4" s="2488"/>
      <c r="O4" s="2488"/>
      <c r="P4" s="3393" t="s">
        <v>1775</v>
      </c>
      <c r="Q4" s="3394"/>
      <c r="R4" s="3399" t="s">
        <v>1771</v>
      </c>
      <c r="S4" s="3400"/>
      <c r="T4" s="3399" t="s">
        <v>1772</v>
      </c>
      <c r="U4" s="3400"/>
      <c r="V4" s="3375" t="s">
        <v>1773</v>
      </c>
      <c r="W4" s="3375"/>
      <c r="X4" s="1265"/>
      <c r="Y4" s="3399" t="s">
        <v>1775</v>
      </c>
      <c r="Z4" s="3400"/>
      <c r="AA4" s="3386" t="s">
        <v>1771</v>
      </c>
      <c r="AB4" s="3375" t="s">
        <v>1772</v>
      </c>
      <c r="AC4" s="3386" t="s">
        <v>1773</v>
      </c>
    </row>
    <row r="5" spans="1:29" ht="15">
      <c r="A5" s="348"/>
      <c r="B5" s="349"/>
      <c r="C5" s="3407" t="s">
        <v>1673</v>
      </c>
      <c r="D5" s="3408"/>
      <c r="E5" s="3414" t="str">
        <f>案例!W2</f>
        <v>金茂府二期</v>
      </c>
      <c r="F5" s="3415"/>
      <c r="G5" s="3407" t="str">
        <f>案例!W3</f>
        <v>金茂府二期</v>
      </c>
      <c r="H5" s="3408"/>
      <c r="I5" s="3407" t="str">
        <f>案例!W4</f>
        <v>鑫兆雅园</v>
      </c>
      <c r="J5" s="3408"/>
      <c r="K5" s="537"/>
      <c r="L5" s="2487"/>
      <c r="M5" s="2488"/>
      <c r="N5" s="2488"/>
      <c r="O5" s="2488"/>
      <c r="P5" s="3395"/>
      <c r="Q5" s="3396"/>
      <c r="R5" s="3401"/>
      <c r="S5" s="3402"/>
      <c r="T5" s="3401"/>
      <c r="U5" s="3402"/>
      <c r="V5" s="3375"/>
      <c r="W5" s="3375"/>
      <c r="X5" s="1265"/>
      <c r="Y5" s="3401"/>
      <c r="Z5" s="3402"/>
      <c r="AA5" s="3387"/>
      <c r="AB5" s="3375"/>
      <c r="AC5" s="3387"/>
    </row>
    <row r="6" spans="1:29" ht="15.75" thickBot="1">
      <c r="A6" s="350"/>
      <c r="B6" s="351"/>
      <c r="C6" s="3405" t="s">
        <v>1677</v>
      </c>
      <c r="D6" s="3406"/>
      <c r="E6" s="3412" t="s">
        <v>1677</v>
      </c>
      <c r="F6" s="3413"/>
      <c r="G6" s="3405" t="s">
        <v>1677</v>
      </c>
      <c r="H6" s="3406"/>
      <c r="I6" s="3405" t="s">
        <v>1677</v>
      </c>
      <c r="J6" s="3406"/>
      <c r="K6" s="537" t="s">
        <v>1678</v>
      </c>
      <c r="L6" s="2487"/>
      <c r="M6" s="2488"/>
      <c r="N6" s="2488"/>
      <c r="O6" s="2488"/>
      <c r="P6" s="3397"/>
      <c r="Q6" s="3398"/>
      <c r="R6" s="3401"/>
      <c r="S6" s="3402"/>
      <c r="T6" s="3403"/>
      <c r="U6" s="3404"/>
      <c r="V6" s="3375"/>
      <c r="W6" s="3375"/>
      <c r="X6" s="1265"/>
      <c r="Y6" s="3403"/>
      <c r="Z6" s="3404"/>
      <c r="AA6" s="3388"/>
      <c r="AB6" s="3375"/>
      <c r="AC6" s="3388"/>
    </row>
    <row r="7" spans="1:29" s="102" customFormat="1" ht="15.75" thickBot="1">
      <c r="A7" s="352" t="s">
        <v>1679</v>
      </c>
      <c r="B7" s="353"/>
      <c r="C7" s="354">
        <f>'数据-取费表'!B2</f>
        <v>45702</v>
      </c>
      <c r="D7" s="355">
        <v>100</v>
      </c>
      <c r="E7" s="356">
        <v>45689</v>
      </c>
      <c r="F7" s="357">
        <f>SUMIF(58:58,YEAR(E7)&amp;"-"&amp;MONTH(E7),59:59)</f>
        <v>100</v>
      </c>
      <c r="G7" s="356">
        <v>45689</v>
      </c>
      <c r="H7" s="355">
        <f>SUMIF(58:58,YEAR(G7)&amp;"-"&amp;MONTH(G7),59:59)</f>
        <v>100</v>
      </c>
      <c r="I7" s="356">
        <v>45689</v>
      </c>
      <c r="J7" s="355">
        <f>SUMIF(58:58,YEAR(I7)&amp;"-"&amp;MONTH(I7),59:59)</f>
        <v>100</v>
      </c>
      <c r="K7" s="38"/>
      <c r="L7" s="2489"/>
      <c r="M7" s="2440"/>
      <c r="N7" s="2440"/>
      <c r="O7" s="2440"/>
      <c r="P7" s="3409" t="s">
        <v>1680</v>
      </c>
      <c r="Q7" s="3411"/>
      <c r="R7" s="664" t="s">
        <v>14</v>
      </c>
      <c r="S7" s="665">
        <f t="shared" ref="S7:S15" si="0">F7</f>
        <v>100</v>
      </c>
      <c r="T7" s="664" t="s">
        <v>14</v>
      </c>
      <c r="U7" s="665">
        <f t="shared" ref="U7:U15" si="1">H7</f>
        <v>100</v>
      </c>
      <c r="V7" s="664" t="s">
        <v>14</v>
      </c>
      <c r="W7" s="665">
        <f t="shared" ref="W7:W15" si="2">J7</f>
        <v>100</v>
      </c>
      <c r="X7" s="666"/>
      <c r="Y7" s="3409" t="s">
        <v>1680</v>
      </c>
      <c r="Z7" s="3410"/>
      <c r="AA7" s="50">
        <f>D7/F7</f>
        <v>1</v>
      </c>
      <c r="AB7" s="50">
        <f>D7/H7</f>
        <v>1</v>
      </c>
      <c r="AC7" s="50">
        <f>D7/J7</f>
        <v>1</v>
      </c>
    </row>
    <row r="8" spans="1:29" s="102" customFormat="1" ht="15.75" thickBot="1">
      <c r="A8" s="352" t="s">
        <v>1681</v>
      </c>
      <c r="B8" s="353"/>
      <c r="C8" s="358" t="s">
        <v>3453</v>
      </c>
      <c r="D8" s="355">
        <v>100</v>
      </c>
      <c r="E8" s="358" t="s">
        <v>3454</v>
      </c>
      <c r="F8" s="357">
        <f>SUMIF(61:61,E8,62:62)-SUMIF(61:61,C8,62:62)+100</f>
        <v>105</v>
      </c>
      <c r="G8" s="358" t="s">
        <v>3454</v>
      </c>
      <c r="H8" s="355">
        <f>SUMIF(61:61,G8,62:62)-SUMIF(61:61,C8,62:62)+100</f>
        <v>105</v>
      </c>
      <c r="I8" s="358" t="s">
        <v>3454</v>
      </c>
      <c r="J8" s="355">
        <f>SUMIF(61:61,I8,62:62)-SUMIF(61:61,C8,62:62)+100</f>
        <v>105</v>
      </c>
      <c r="K8" s="38"/>
      <c r="L8" s="2489"/>
      <c r="M8" s="2440"/>
      <c r="N8" s="2440"/>
      <c r="O8" s="2440"/>
      <c r="P8" s="3409" t="s">
        <v>1683</v>
      </c>
      <c r="Q8" s="3410"/>
      <c r="R8" s="664" t="s">
        <v>14</v>
      </c>
      <c r="S8" s="665">
        <f t="shared" si="0"/>
        <v>105</v>
      </c>
      <c r="T8" s="664" t="s">
        <v>14</v>
      </c>
      <c r="U8" s="665">
        <f t="shared" si="1"/>
        <v>105</v>
      </c>
      <c r="V8" s="664" t="s">
        <v>14</v>
      </c>
      <c r="W8" s="665">
        <f t="shared" si="2"/>
        <v>105</v>
      </c>
      <c r="X8" s="666"/>
      <c r="Y8" s="3409" t="s">
        <v>1683</v>
      </c>
      <c r="Z8" s="3410"/>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5"/>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5"/>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5"/>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5"/>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0</v>
      </c>
      <c r="L15" s="2493"/>
      <c r="M15" s="2488"/>
      <c r="N15" s="2488"/>
      <c r="O15" s="2488"/>
      <c r="P15" s="3383"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
      <c r="A16" s="367"/>
      <c r="B16" s="385"/>
      <c r="C16" s="386" t="s">
        <v>3416</v>
      </c>
      <c r="D16" s="387"/>
      <c r="E16" s="386" t="s">
        <v>3416</v>
      </c>
      <c r="F16" s="388"/>
      <c r="G16" s="386" t="s">
        <v>3416</v>
      </c>
      <c r="H16" s="389"/>
      <c r="I16" s="386" t="s">
        <v>3417</v>
      </c>
      <c r="J16" s="387"/>
      <c r="K16" s="541"/>
      <c r="L16" s="2493"/>
      <c r="M16" s="2488"/>
      <c r="N16" s="2488"/>
      <c r="O16" s="2488"/>
      <c r="P16" s="3384"/>
      <c r="Q16" s="1263"/>
      <c r="R16" s="667"/>
      <c r="S16" s="668"/>
      <c r="T16" s="667"/>
      <c r="U16" s="668"/>
      <c r="V16" s="667"/>
      <c r="W16" s="668"/>
      <c r="X16" s="1265"/>
      <c r="Y16" s="337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102</v>
      </c>
      <c r="K17" s="540">
        <v>2</v>
      </c>
      <c r="L17" s="2493"/>
      <c r="M17" s="2488"/>
      <c r="N17" s="2488"/>
      <c r="O17" s="2488"/>
      <c r="P17" s="3384"/>
      <c r="Q17" s="1263" t="str">
        <f>B17</f>
        <v>交通便捷度</v>
      </c>
      <c r="R17" s="667" t="s">
        <v>14</v>
      </c>
      <c r="S17" s="668">
        <f>F17</f>
        <v>100</v>
      </c>
      <c r="T17" s="667" t="s">
        <v>14</v>
      </c>
      <c r="U17" s="668">
        <f>H17</f>
        <v>100</v>
      </c>
      <c r="V17" s="667" t="s">
        <v>14</v>
      </c>
      <c r="W17" s="668">
        <f>J17</f>
        <v>102</v>
      </c>
      <c r="X17" s="1265"/>
      <c r="Y17" s="3377"/>
      <c r="Z17" s="1264" t="str">
        <f>Q17</f>
        <v>交通便捷度</v>
      </c>
      <c r="AA17" s="1264">
        <f t="shared" si="3"/>
        <v>1</v>
      </c>
      <c r="AB17" s="1264">
        <f t="shared" si="4"/>
        <v>1</v>
      </c>
      <c r="AC17" s="1264">
        <f t="shared" si="5"/>
        <v>0.98039215686274506</v>
      </c>
    </row>
    <row r="18" spans="1:29" ht="15">
      <c r="A18" s="367"/>
      <c r="B18" s="395"/>
      <c r="C18" s="1755" t="s">
        <v>3416</v>
      </c>
      <c r="D18" s="389"/>
      <c r="E18" s="1757" t="s">
        <v>3416</v>
      </c>
      <c r="F18" s="392"/>
      <c r="G18" s="1756" t="s">
        <v>3416</v>
      </c>
      <c r="H18" s="387"/>
      <c r="I18" s="1757" t="s">
        <v>3417</v>
      </c>
      <c r="J18" s="387"/>
      <c r="K18" s="541"/>
      <c r="L18" s="2493"/>
      <c r="M18" s="2488"/>
      <c r="N18" s="2488"/>
      <c r="O18" s="2488"/>
      <c r="P18" s="3384"/>
      <c r="Q18" s="1263"/>
      <c r="R18" s="667"/>
      <c r="S18" s="668"/>
      <c r="T18" s="667"/>
      <c r="U18" s="668"/>
      <c r="V18" s="667"/>
      <c r="W18" s="668"/>
      <c r="X18" s="1265"/>
      <c r="Y18" s="337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4"/>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4"/>
      <c r="Q20" s="1263"/>
      <c r="R20" s="667"/>
      <c r="S20" s="668"/>
      <c r="T20" s="667"/>
      <c r="U20" s="668"/>
      <c r="V20" s="667"/>
      <c r="W20" s="668"/>
      <c r="X20" s="1265"/>
      <c r="Y20" s="337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4"/>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4"/>
      <c r="Q22" s="1263"/>
      <c r="R22" s="667"/>
      <c r="S22" s="668"/>
      <c r="T22" s="667"/>
      <c r="U22" s="668"/>
      <c r="V22" s="667"/>
      <c r="W22" s="668"/>
      <c r="X22" s="1265"/>
      <c r="Y22" s="337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4"/>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4"/>
      <c r="Q24" s="1263"/>
      <c r="R24" s="667"/>
      <c r="S24" s="668"/>
      <c r="T24" s="667"/>
      <c r="U24" s="668"/>
      <c r="V24" s="667"/>
      <c r="W24" s="668"/>
      <c r="X24" s="1265"/>
      <c r="Y24" s="3377"/>
      <c r="Z24" s="1264"/>
      <c r="AA24" s="1264">
        <v>1</v>
      </c>
      <c r="AB24" s="1264">
        <v>1</v>
      </c>
      <c r="AC24" s="1264">
        <v>1</v>
      </c>
    </row>
    <row r="25" spans="1:29" ht="15">
      <c r="A25" s="367"/>
      <c r="B25" s="364" t="s">
        <v>1780</v>
      </c>
      <c r="C25" s="542" t="s">
        <v>3448</v>
      </c>
      <c r="D25" s="374">
        <v>100</v>
      </c>
      <c r="E25" s="542" t="s">
        <v>3448</v>
      </c>
      <c r="F25" s="400">
        <f>SUMIF(86:86,E25,87:87)-SUMIF(86:86,C25,87:87)+100</f>
        <v>100</v>
      </c>
      <c r="G25" s="542" t="s">
        <v>3448</v>
      </c>
      <c r="H25" s="374">
        <f>SUMIF(86:86,G25,87:87)-SUMIF(86:86,C25,87:87)+100</f>
        <v>100</v>
      </c>
      <c r="I25" s="542" t="s">
        <v>3446</v>
      </c>
      <c r="J25" s="374">
        <f>SUMIF(86:86,I25,87:87)-SUMIF(86:86,C25,87:87)+100</f>
        <v>101</v>
      </c>
      <c r="K25" s="538">
        <v>1</v>
      </c>
      <c r="L25" s="2493"/>
      <c r="M25" s="2488"/>
      <c r="N25" s="2488"/>
      <c r="O25" s="2488"/>
      <c r="P25" s="3384"/>
      <c r="Q25" s="1263" t="str">
        <f t="shared" ref="Q25:Q46" si="11">B25</f>
        <v>临街状况</v>
      </c>
      <c r="R25" s="667" t="s">
        <v>14</v>
      </c>
      <c r="S25" s="668">
        <f>F25</f>
        <v>100</v>
      </c>
      <c r="T25" s="667" t="s">
        <v>14</v>
      </c>
      <c r="U25" s="668">
        <f>H25</f>
        <v>100</v>
      </c>
      <c r="V25" s="667" t="s">
        <v>14</v>
      </c>
      <c r="W25" s="668">
        <f>J25</f>
        <v>101</v>
      </c>
      <c r="X25" s="1265"/>
      <c r="Y25" s="3377"/>
      <c r="Z25" s="1264" t="str">
        <f>Q25</f>
        <v>临街状况</v>
      </c>
      <c r="AA25" s="1264">
        <f t="shared" si="3"/>
        <v>1</v>
      </c>
      <c r="AB25" s="1264">
        <f t="shared" si="4"/>
        <v>1</v>
      </c>
      <c r="AC25" s="1264">
        <f t="shared" si="5"/>
        <v>0.99009900990099009</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4"/>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
      <c r="A27" s="370"/>
      <c r="B27" s="390" t="s">
        <v>1782</v>
      </c>
      <c r="C27" s="1807" t="s">
        <v>3444</v>
      </c>
      <c r="D27" s="401">
        <v>100</v>
      </c>
      <c r="E27" s="1807" t="s">
        <v>3444</v>
      </c>
      <c r="F27" s="395">
        <f>SUMIF(90:90,E27,91:91)-SUMIF(90:90,C27,91:91)+100</f>
        <v>100</v>
      </c>
      <c r="G27" s="1807" t="s">
        <v>3444</v>
      </c>
      <c r="H27" s="401">
        <f>SUMIF(90:90,G27,91:91)-SUMIF(90:90,C27,91:91)+100</f>
        <v>100</v>
      </c>
      <c r="I27" s="1807" t="s">
        <v>3442</v>
      </c>
      <c r="J27" s="401">
        <f>SUMIF(90:90,I27,91:91)-SUMIF(90:90,C27,91:91)+100</f>
        <v>103</v>
      </c>
      <c r="K27" s="538">
        <v>3</v>
      </c>
      <c r="L27" s="2489"/>
      <c r="M27" s="2440"/>
      <c r="N27" s="2440"/>
      <c r="O27" s="2440"/>
      <c r="P27" s="3384"/>
      <c r="Q27" s="530" t="str">
        <f t="shared" si="11"/>
        <v>人流量</v>
      </c>
      <c r="R27" s="664" t="s">
        <v>14</v>
      </c>
      <c r="S27" s="665">
        <f>F27</f>
        <v>100</v>
      </c>
      <c r="T27" s="664" t="s">
        <v>14</v>
      </c>
      <c r="U27" s="665">
        <f>H27</f>
        <v>100</v>
      </c>
      <c r="V27" s="664" t="s">
        <v>14</v>
      </c>
      <c r="W27" s="665">
        <f>J27</f>
        <v>103</v>
      </c>
      <c r="X27" s="666"/>
      <c r="Y27" s="3377"/>
      <c r="Z27" s="50" t="str">
        <f>Q27</f>
        <v>人流量</v>
      </c>
      <c r="AA27" s="1264">
        <f>D27/F27</f>
        <v>1</v>
      </c>
      <c r="AB27" s="1264">
        <f>D27/H27</f>
        <v>1</v>
      </c>
      <c r="AC27" s="1264">
        <f>D27/J27</f>
        <v>0.970873786407767</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4"/>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4"/>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4"/>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8"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
      <c r="A33" s="406"/>
      <c r="B33" s="364" t="s">
        <v>1697</v>
      </c>
      <c r="C33" s="407">
        <v>1300</v>
      </c>
      <c r="D33" s="119">
        <v>100</v>
      </c>
      <c r="E33" s="369">
        <f>案例!X2</f>
        <v>501.46</v>
      </c>
      <c r="F33" s="364">
        <f>LOOKUP(E33,103:103,104:104)-LOOKUP(C33,103:103,104:104)+100</f>
        <v>101</v>
      </c>
      <c r="G33" s="368">
        <f>案例!X3</f>
        <v>521.08000000000004</v>
      </c>
      <c r="H33" s="119">
        <f>LOOKUP(G33,103:103,104:104)-LOOKUP(C33,103:103,104:104)+100</f>
        <v>101</v>
      </c>
      <c r="I33" s="368">
        <f>案例!X4</f>
        <v>195</v>
      </c>
      <c r="J33" s="119">
        <f>LOOKUP(I33,103:103,104:104)-LOOKUP(C33,103:103,104:104)+100</f>
        <v>101</v>
      </c>
      <c r="K33" s="539"/>
      <c r="L33" s="2492"/>
      <c r="M33" s="2494"/>
      <c r="N33" s="2494"/>
      <c r="O33" s="2494"/>
      <c r="P33" s="3379"/>
      <c r="Q33" s="531" t="str">
        <f t="shared" si="11"/>
        <v>项目建筑规模</v>
      </c>
      <c r="R33" s="669" t="s">
        <v>14</v>
      </c>
      <c r="S33" s="670">
        <f t="shared" si="12"/>
        <v>101</v>
      </c>
      <c r="T33" s="669" t="s">
        <v>14</v>
      </c>
      <c r="U33" s="670">
        <f t="shared" si="13"/>
        <v>101</v>
      </c>
      <c r="V33" s="669" t="s">
        <v>14</v>
      </c>
      <c r="W33" s="670">
        <f t="shared" si="14"/>
        <v>101</v>
      </c>
      <c r="X33" s="671"/>
      <c r="Y33" s="3381"/>
      <c r="Z33" s="672" t="str">
        <f t="shared" si="15"/>
        <v>项目建筑规模</v>
      </c>
      <c r="AA33" s="1264">
        <f t="shared" si="3"/>
        <v>0.99009900990099009</v>
      </c>
      <c r="AB33" s="1264">
        <f t="shared" si="4"/>
        <v>0.99009900990099009</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
      <c r="A36" s="409"/>
      <c r="B36" s="364" t="s">
        <v>1786</v>
      </c>
      <c r="C36" s="411">
        <v>1</v>
      </c>
      <c r="D36" s="374">
        <v>100</v>
      </c>
      <c r="E36" s="411">
        <v>0.9</v>
      </c>
      <c r="F36" s="400">
        <f>LOOKUP(E36,110:110,111:111)-LOOKUP(C36,110:110,111:111)+100</f>
        <v>100</v>
      </c>
      <c r="G36" s="411">
        <v>0.9</v>
      </c>
      <c r="H36" s="400">
        <f>LOOKUP(G36,110:110,111:111)-LOOKUP(C36,110:110,111:111)+100</f>
        <v>100</v>
      </c>
      <c r="I36" s="411">
        <v>0.9</v>
      </c>
      <c r="J36" s="374">
        <f>LOOKUP(I36,110:110,111:111)-LOOKUP(C36,110:110,111:111)+100</f>
        <v>100</v>
      </c>
      <c r="K36" s="538"/>
      <c r="L36" s="2493"/>
      <c r="M36" s="2488"/>
      <c r="N36" s="2488"/>
      <c r="O36" s="2488"/>
      <c r="P36" s="3379"/>
      <c r="Q36" s="1263" t="str">
        <f t="shared" si="11"/>
        <v>成新度</v>
      </c>
      <c r="R36" s="667" t="s">
        <v>14</v>
      </c>
      <c r="S36" s="668">
        <f t="shared" si="12"/>
        <v>100</v>
      </c>
      <c r="T36" s="667" t="s">
        <v>14</v>
      </c>
      <c r="U36" s="668">
        <f t="shared" si="13"/>
        <v>100</v>
      </c>
      <c r="V36" s="667" t="s">
        <v>14</v>
      </c>
      <c r="W36" s="668">
        <f t="shared" si="14"/>
        <v>100</v>
      </c>
      <c r="X36" s="1265"/>
      <c r="Y36" s="338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ht="15">
      <c r="A47" s="416" t="s">
        <v>1708</v>
      </c>
      <c r="B47" s="417"/>
      <c r="C47" s="1081" t="s">
        <v>0</v>
      </c>
      <c r="D47" s="418"/>
      <c r="E47" s="419">
        <v>12</v>
      </c>
      <c r="F47" s="420"/>
      <c r="G47" s="421">
        <v>14</v>
      </c>
      <c r="H47" s="422"/>
      <c r="I47" s="419">
        <v>15</v>
      </c>
      <c r="J47" s="422"/>
      <c r="K47" s="674"/>
      <c r="L47" s="2495"/>
      <c r="M47" s="2488"/>
      <c r="N47" s="2488"/>
      <c r="O47" s="2488"/>
      <c r="P47" s="3374" t="str">
        <f>A47</f>
        <v>成交单价（元/平方米）</v>
      </c>
      <c r="Q47" s="3374"/>
      <c r="R47" s="3375">
        <f>E47</f>
        <v>12</v>
      </c>
      <c r="S47" s="3375"/>
      <c r="T47" s="3375">
        <f>G47</f>
        <v>14</v>
      </c>
      <c r="U47" s="3375"/>
      <c r="V47" s="3375">
        <f>I47</f>
        <v>15</v>
      </c>
      <c r="W47" s="3375"/>
      <c r="X47" s="385"/>
      <c r="Y47" s="673"/>
      <c r="Z47" s="385"/>
      <c r="AA47" s="385"/>
      <c r="AB47" s="385"/>
      <c r="AC47" s="385"/>
    </row>
    <row r="48" spans="1:29" ht="15.75" thickBot="1">
      <c r="A48" s="423" t="s">
        <v>1793</v>
      </c>
      <c r="B48" s="424"/>
      <c r="C48" s="1082">
        <f>R49</f>
        <v>12.6</v>
      </c>
      <c r="D48" s="2141" t="s">
        <v>2138</v>
      </c>
      <c r="E48" s="1083">
        <f>R48</f>
        <v>11.3</v>
      </c>
      <c r="F48" s="2142"/>
      <c r="G48" s="1082">
        <f>T48</f>
        <v>13.2</v>
      </c>
      <c r="H48" s="2142"/>
      <c r="I48" s="1083">
        <f>V48</f>
        <v>13.3</v>
      </c>
      <c r="J48" s="2142"/>
      <c r="K48" s="2144">
        <f>F48+H48+J48</f>
        <v>0</v>
      </c>
      <c r="L48" s="2495"/>
      <c r="M48" s="2488"/>
      <c r="N48" s="2488"/>
      <c r="O48" s="2488"/>
      <c r="P48" s="3374" t="str">
        <f>A48</f>
        <v>比较价值（元/平方米）</v>
      </c>
      <c r="Q48" s="3374"/>
      <c r="R48" s="3375">
        <f>IF(F1="售价",ROUND(PRODUCT(R47,AA7:AA46),0),ROUND(PRODUCT(R47,AA7:AA46),1))</f>
        <v>11.3</v>
      </c>
      <c r="S48" s="3375"/>
      <c r="T48" s="3375">
        <f>IF(F1="售价",ROUND(PRODUCT(T47,AB7:AB46),0),ROUND(PRODUCT(T47,AB7:AB46),1))</f>
        <v>13.2</v>
      </c>
      <c r="U48" s="3375"/>
      <c r="V48" s="3375">
        <f>IF(F1="售价",ROUND(PRODUCT(V47,AC7:AC46),0),ROUND(PRODUCT(V47,AC7:AC46),1))</f>
        <v>13.3</v>
      </c>
      <c r="W48" s="3375"/>
      <c r="X48" s="385"/>
      <c r="Y48" s="385"/>
      <c r="Z48" s="385"/>
      <c r="AA48" s="385"/>
      <c r="AB48" s="385"/>
      <c r="AC48" s="385"/>
    </row>
    <row r="49" spans="1:29" ht="15.75" thickBot="1">
      <c r="A49" s="427" t="s">
        <v>1794</v>
      </c>
      <c r="B49" s="428"/>
      <c r="C49" s="351">
        <f>R49</f>
        <v>12.6</v>
      </c>
      <c r="D49" s="351"/>
      <c r="E49" s="351"/>
      <c r="F49" s="351"/>
      <c r="G49" s="351"/>
      <c r="H49" s="351"/>
      <c r="I49" s="351"/>
      <c r="J49" s="351"/>
      <c r="K49" s="675"/>
      <c r="L49" s="2495"/>
      <c r="M49" s="2488"/>
      <c r="N49" s="2488"/>
      <c r="O49" s="2488"/>
      <c r="P49" s="3371" t="str">
        <f>A49</f>
        <v>估价对象XX用房的比较价值（楼面单价，元/平方米）</v>
      </c>
      <c r="Q49" s="3372"/>
      <c r="R49" s="3373">
        <f>IF(F1="售价",ROUND(IF(D48="简单平均",AVERAGE(R48:V48),R48*F48+T48*H48+V48*J48),0),ROUND(IF(D48="简单平均",AVERAGE(R48:V48),R48*F48+T48*H48+V48*J48),1))</f>
        <v>12.6</v>
      </c>
      <c r="S49" s="3373"/>
      <c r="T49" s="3373"/>
      <c r="U49" s="3373"/>
      <c r="V49" s="3373"/>
      <c r="W49" s="337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6.1946902654867131E-2</v>
      </c>
      <c r="F52" s="435" t="str">
        <f>IF(OR(E52&gt;=0.3,E52&lt;=-0.3),"超过30%","")</f>
        <v/>
      </c>
      <c r="G52" s="434">
        <f>IF(G47&lt;G48,G48/G47-1,G47/G48-1)</f>
        <v>6.0606060606060552E-2</v>
      </c>
      <c r="H52" s="435" t="str">
        <f>IF(OR(G52&gt;=0.3,G52&lt;=-0.3),"超过30%","")</f>
        <v/>
      </c>
      <c r="I52" s="434">
        <f>IF(I47&lt;I48,I48/I47-1,I47/I48-1)</f>
        <v>0.1278195488721805</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0.1681415929203538</v>
      </c>
      <c r="F53" s="435" t="str">
        <f>IF(OR(E53&gt;=0.2,E53&lt;=-0.2),"超过20%","")</f>
        <v/>
      </c>
      <c r="G53" s="434">
        <f>IF(G48&lt;I48,I48/G48-1,G48/I48-1)</f>
        <v>7.5757575757577911E-3</v>
      </c>
      <c r="H53" s="435" t="str">
        <f>IF(OR(G53&gt;=0.2,G53&lt;=-0.2),"超过20%","")</f>
        <v/>
      </c>
      <c r="I53" s="434">
        <f>IF(I48&lt;E48,E48/I48-1,I48/E48-1)</f>
        <v>0.17699115044247793</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0.16666666666666674</v>
      </c>
      <c r="F54" s="435" t="str">
        <f>IF(OR(E54&gt;=0.3,E54&lt;=-0.3),"超过30%","")</f>
        <v/>
      </c>
      <c r="G54" s="434">
        <f>IF(G47&lt;I47,I47/G47-1,G47/I47-1)</f>
        <v>7.1428571428571397E-2</v>
      </c>
      <c r="H54" s="435" t="str">
        <f>IF(OR(G54&gt;=0.3,G54&lt;=-0.3),"超过30%","")</f>
        <v/>
      </c>
      <c r="I54" s="434">
        <f>IF(I47&lt;E47,E47/I47-1,I47/E47-1)</f>
        <v>0.25</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59" t="s">
        <v>3455</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58" t="s">
        <v>3447</v>
      </c>
      <c r="D86" s="3158" t="s">
        <v>3449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99</v>
      </c>
      <c r="E87" s="475">
        <f t="shared" si="20"/>
        <v>98</v>
      </c>
      <c r="F87" s="475">
        <f t="shared" si="20"/>
        <v>97</v>
      </c>
      <c r="G87" s="475">
        <f t="shared" si="20"/>
        <v>96</v>
      </c>
      <c r="H87" s="475">
        <f t="shared" si="20"/>
        <v>95</v>
      </c>
      <c r="I87" s="475">
        <f t="shared" si="20"/>
        <v>94</v>
      </c>
      <c r="J87" s="475">
        <f t="shared" si="20"/>
        <v>93</v>
      </c>
      <c r="K87" s="475">
        <f t="shared" si="20"/>
        <v>92</v>
      </c>
      <c r="L87" s="475">
        <f t="shared" si="20"/>
        <v>91</v>
      </c>
      <c r="M87" s="475">
        <f t="shared" si="20"/>
        <v>90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8" t="s">
        <v>3443</v>
      </c>
      <c r="D90" s="3158" t="s">
        <v>3445</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29.25" thickTop="1">
      <c r="A102" s="367"/>
      <c r="B102" s="469" t="s">
        <v>1737</v>
      </c>
      <c r="C102" s="509" t="str">
        <f>C103&amp;"(含)"&amp;"-"&amp;D103</f>
        <v>0(含)-300</v>
      </c>
      <c r="D102" s="509" t="str">
        <f t="shared" ref="D102:L102" si="23">D103&amp;"(含)"&amp;"-"&amp;E103</f>
        <v>300(含)-500</v>
      </c>
      <c r="E102" s="509" t="str">
        <f t="shared" si="23"/>
        <v>500(含)-1000</v>
      </c>
      <c r="F102" s="509" t="str">
        <f t="shared" si="23"/>
        <v>1000(含)-1500</v>
      </c>
      <c r="G102" s="509" t="str">
        <f t="shared" si="23"/>
        <v>1500(含)-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300</v>
      </c>
      <c r="E103" s="6">
        <v>500</v>
      </c>
      <c r="F103" s="6">
        <v>1000</v>
      </c>
      <c r="G103" s="6">
        <v>1500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100</v>
      </c>
      <c r="F104" s="467">
        <v>99</v>
      </c>
      <c r="G104" s="467">
        <v>98</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9500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9" t="s">
        <v>1770</v>
      </c>
      <c r="D4" s="3390"/>
      <c r="E4" s="3391" t="s">
        <v>1771</v>
      </c>
      <c r="F4" s="3392"/>
      <c r="G4" s="3389" t="s">
        <v>1772</v>
      </c>
      <c r="H4" s="3390"/>
      <c r="I4" s="3389" t="s">
        <v>1773</v>
      </c>
      <c r="J4" s="3390"/>
      <c r="K4" s="537" t="s">
        <v>1774</v>
      </c>
      <c r="L4" s="2487"/>
      <c r="M4" s="2488"/>
      <c r="N4" s="2488"/>
      <c r="O4" s="2488"/>
      <c r="P4" s="3422" t="s">
        <v>1775</v>
      </c>
      <c r="Q4" s="3423"/>
      <c r="R4" s="3426" t="s">
        <v>1771</v>
      </c>
      <c r="S4" s="3427"/>
      <c r="T4" s="3426" t="s">
        <v>1772</v>
      </c>
      <c r="U4" s="3427"/>
      <c r="V4" s="3428" t="s">
        <v>1773</v>
      </c>
      <c r="W4" s="3428"/>
      <c r="X4" s="1809"/>
      <c r="Y4" s="3426" t="s">
        <v>1775</v>
      </c>
      <c r="Z4" s="3427"/>
      <c r="AA4" s="3430" t="s">
        <v>1771</v>
      </c>
      <c r="AB4" s="3430" t="s">
        <v>1772</v>
      </c>
      <c r="AC4" s="3419" t="s">
        <v>1773</v>
      </c>
    </row>
    <row r="5" spans="1:29" ht="15">
      <c r="A5" s="348"/>
      <c r="B5" s="349"/>
      <c r="C5" s="3407" t="s">
        <v>1673</v>
      </c>
      <c r="D5" s="3408"/>
      <c r="E5" s="3414" t="s">
        <v>1674</v>
      </c>
      <c r="F5" s="3415"/>
      <c r="G5" s="3407" t="s">
        <v>1675</v>
      </c>
      <c r="H5" s="3408"/>
      <c r="I5" s="3407" t="s">
        <v>1676</v>
      </c>
      <c r="J5" s="3408"/>
      <c r="K5" s="537"/>
      <c r="L5" s="2487"/>
      <c r="M5" s="2488"/>
      <c r="N5" s="2488"/>
      <c r="O5" s="2488"/>
      <c r="P5" s="3424"/>
      <c r="Q5" s="3396"/>
      <c r="R5" s="3401"/>
      <c r="S5" s="3402"/>
      <c r="T5" s="3401"/>
      <c r="U5" s="3402"/>
      <c r="V5" s="3375"/>
      <c r="W5" s="3375"/>
      <c r="X5" s="1265"/>
      <c r="Y5" s="3401"/>
      <c r="Z5" s="3402"/>
      <c r="AA5" s="3387"/>
      <c r="AB5" s="3387"/>
      <c r="AC5" s="3420"/>
    </row>
    <row r="6" spans="1:29" ht="15.75" thickBot="1">
      <c r="A6" s="350"/>
      <c r="B6" s="351"/>
      <c r="C6" s="3405" t="s">
        <v>1677</v>
      </c>
      <c r="D6" s="3406"/>
      <c r="E6" s="3412" t="s">
        <v>1677</v>
      </c>
      <c r="F6" s="3413"/>
      <c r="G6" s="3405" t="s">
        <v>1677</v>
      </c>
      <c r="H6" s="3406"/>
      <c r="I6" s="3405" t="s">
        <v>1677</v>
      </c>
      <c r="J6" s="3406"/>
      <c r="K6" s="537" t="s">
        <v>1678</v>
      </c>
      <c r="L6" s="2487"/>
      <c r="M6" s="2488"/>
      <c r="N6" s="2488"/>
      <c r="O6" s="2488"/>
      <c r="P6" s="3425"/>
      <c r="Q6" s="3398"/>
      <c r="R6" s="3401"/>
      <c r="S6" s="3402"/>
      <c r="T6" s="3403"/>
      <c r="U6" s="3404"/>
      <c r="V6" s="3375"/>
      <c r="W6" s="3375"/>
      <c r="X6" s="1265"/>
      <c r="Y6" s="3403"/>
      <c r="Z6" s="3404"/>
      <c r="AA6" s="3388"/>
      <c r="AB6" s="3388"/>
      <c r="AC6" s="3421"/>
    </row>
    <row r="7" spans="1:29" s="102" customFormat="1" ht="15.75" thickBot="1">
      <c r="A7" s="352" t="s">
        <v>1679</v>
      </c>
      <c r="B7" s="353"/>
      <c r="C7" s="354">
        <f>'数据-取费表'!B2</f>
        <v>45702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9" t="s">
        <v>1683</v>
      </c>
      <c r="Q8" s="3410"/>
      <c r="R8" s="664" t="s">
        <v>14</v>
      </c>
      <c r="S8" s="665">
        <f t="shared" si="0"/>
        <v>100</v>
      </c>
      <c r="T8" s="664" t="s">
        <v>14</v>
      </c>
      <c r="U8" s="665">
        <f t="shared" si="1"/>
        <v>100</v>
      </c>
      <c r="V8" s="664" t="s">
        <v>14</v>
      </c>
      <c r="W8" s="665">
        <f t="shared" si="2"/>
        <v>100</v>
      </c>
      <c r="X8" s="666"/>
      <c r="Y8" s="3409" t="s">
        <v>1683</v>
      </c>
      <c r="Z8" s="341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5"/>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5"/>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5"/>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5"/>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3"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4"/>
      <c r="Q16" s="1263"/>
      <c r="R16" s="667"/>
      <c r="S16" s="668"/>
      <c r="T16" s="667"/>
      <c r="U16" s="668"/>
      <c r="V16" s="667"/>
      <c r="W16" s="668"/>
      <c r="X16" s="1265"/>
      <c r="Y16" s="337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4"/>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4"/>
      <c r="Q18" s="1263"/>
      <c r="R18" s="667"/>
      <c r="S18" s="668"/>
      <c r="T18" s="667"/>
      <c r="U18" s="668"/>
      <c r="V18" s="667"/>
      <c r="W18" s="668"/>
      <c r="X18" s="1265"/>
      <c r="Y18" s="337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4"/>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4"/>
      <c r="Q20" s="1263"/>
      <c r="R20" s="667"/>
      <c r="S20" s="668"/>
      <c r="T20" s="667"/>
      <c r="U20" s="668"/>
      <c r="V20" s="667"/>
      <c r="W20" s="668"/>
      <c r="X20" s="1265"/>
      <c r="Y20" s="337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4"/>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4"/>
      <c r="Q22" s="1263"/>
      <c r="R22" s="667"/>
      <c r="S22" s="668"/>
      <c r="T22" s="667"/>
      <c r="U22" s="668"/>
      <c r="V22" s="667"/>
      <c r="W22" s="668"/>
      <c r="X22" s="1265"/>
      <c r="Y22" s="337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4"/>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4"/>
      <c r="Q24" s="1263"/>
      <c r="R24" s="667"/>
      <c r="S24" s="668"/>
      <c r="T24" s="667"/>
      <c r="U24" s="668"/>
      <c r="V24" s="667"/>
      <c r="W24" s="668"/>
      <c r="X24" s="1265"/>
      <c r="Y24" s="337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4"/>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4"/>
      <c r="Q26" s="1263"/>
      <c r="R26" s="667"/>
      <c r="S26" s="668"/>
      <c r="T26" s="667"/>
      <c r="U26" s="668"/>
      <c r="V26" s="667"/>
      <c r="W26" s="668"/>
      <c r="X26" s="1265"/>
      <c r="Y26" s="337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4"/>
      <c r="Q27" s="1263" t="str">
        <f t="shared" ref="Q27:Q47" si="11">B27</f>
        <v>楼层</v>
      </c>
      <c r="R27" s="667" t="s">
        <v>14</v>
      </c>
      <c r="S27" s="668">
        <f>F27</f>
        <v>100</v>
      </c>
      <c r="T27" s="667" t="s">
        <v>14</v>
      </c>
      <c r="U27" s="668">
        <f>H27</f>
        <v>100</v>
      </c>
      <c r="V27" s="667" t="s">
        <v>14</v>
      </c>
      <c r="W27" s="668">
        <f>J27</f>
        <v>100</v>
      </c>
      <c r="X27" s="1265"/>
      <c r="Y27" s="337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4"/>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4"/>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4"/>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4"/>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4"/>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9"/>
      <c r="Q34" s="531" t="str">
        <f t="shared" si="11"/>
        <v>项目建筑规模</v>
      </c>
      <c r="R34" s="669" t="s">
        <v>14</v>
      </c>
      <c r="S34" s="670" t="e">
        <f t="shared" si="12"/>
        <v>#N/A</v>
      </c>
      <c r="T34" s="669" t="s">
        <v>14</v>
      </c>
      <c r="U34" s="670" t="e">
        <f t="shared" si="13"/>
        <v>#N/A</v>
      </c>
      <c r="V34" s="669" t="s">
        <v>14</v>
      </c>
      <c r="W34" s="670" t="e">
        <f t="shared" si="14"/>
        <v>#N/A</v>
      </c>
      <c r="X34" s="671"/>
      <c r="Y34" s="338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9"/>
      <c r="Q37" s="1263" t="str">
        <f t="shared" si="11"/>
        <v>成新度</v>
      </c>
      <c r="R37" s="667" t="s">
        <v>14</v>
      </c>
      <c r="S37" s="668" t="e">
        <f t="shared" si="12"/>
        <v>#N/A</v>
      </c>
      <c r="T37" s="667" t="s">
        <v>14</v>
      </c>
      <c r="U37" s="668" t="e">
        <f t="shared" si="13"/>
        <v>#N/A</v>
      </c>
      <c r="V37" s="667" t="s">
        <v>14</v>
      </c>
      <c r="W37" s="668" t="e">
        <f t="shared" si="14"/>
        <v>#N/A</v>
      </c>
      <c r="X37" s="1265"/>
      <c r="Y37" s="338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5" t="str">
        <f>A48</f>
        <v>成交单价（元/平方米）</v>
      </c>
      <c r="Q48" s="3374"/>
      <c r="R48" s="3375">
        <f>E48</f>
        <v>0</v>
      </c>
      <c r="S48" s="3375"/>
      <c r="T48" s="3375">
        <f>G48</f>
        <v>0</v>
      </c>
      <c r="U48" s="3375"/>
      <c r="V48" s="3375">
        <f>I48</f>
        <v>0</v>
      </c>
      <c r="W48" s="337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5" t="str">
        <f>A49</f>
        <v>比较价值（元/平方米）</v>
      </c>
      <c r="Q49" s="337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6" t="str">
        <f>A50</f>
        <v>估价对象XX用房的比较价值（楼面单价，元/平方米）</v>
      </c>
      <c r="Q50" s="3417"/>
      <c r="R50" s="3418" t="e">
        <f>IF(F1="售价",ROUND(IF(D49="简单平均",AVERAGE(R49:V49),R49*F49+T49*H49+V49*J49),0),ROUND(IF(D49="简单平均",AVERAGE(R49:V49),R49*F49+T49*H49+V49*J49),1))</f>
        <v>#DIV/0!</v>
      </c>
      <c r="S50" s="3418"/>
      <c r="T50" s="3418"/>
      <c r="U50" s="3418"/>
      <c r="V50" s="3418"/>
      <c r="W50" s="341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F7:F47 H7:H47 J7:J47">
    <cfRule type="cellIs" dxfId="107" priority="1" operator="notEqual">
      <formula>100</formula>
    </cfRule>
  </conditionalFormatting>
  <conditionalFormatting sqref="F49">
    <cfRule type="expression" dxfId="106" priority="4">
      <formula>$D$49="简单平均"</formula>
    </cfRule>
  </conditionalFormatting>
  <conditionalFormatting sqref="F53:F55 H53:H55">
    <cfRule type="containsText" dxfId="105" priority="17"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G55">
    <cfRule type="expression" dxfId="102" priority="13" stopIfTrue="1">
      <formula>$H$55="超过30%"</formula>
    </cfRule>
  </conditionalFormatting>
  <conditionalFormatting sqref="H49">
    <cfRule type="expression" dxfId="101" priority="3">
      <formula>$D$49="简单平均"</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J49">
    <cfRule type="expression" dxfId="97" priority="2">
      <formula>$D$49="简单平均"</formula>
    </cfRule>
  </conditionalFormatting>
  <conditionalFormatting sqref="J53:J55">
    <cfRule type="containsText" dxfId="96"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9500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860"/>
      <c r="M4" s="861"/>
      <c r="N4" s="861"/>
      <c r="O4" s="861"/>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860"/>
      <c r="M5" s="861"/>
      <c r="N5" s="861"/>
      <c r="O5" s="861"/>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860"/>
      <c r="M6" s="861"/>
      <c r="N6" s="861"/>
      <c r="O6" s="861"/>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10"/>
      <c r="R8" s="664" t="s">
        <v>14</v>
      </c>
      <c r="S8" s="665">
        <f t="shared" si="0"/>
        <v>100</v>
      </c>
      <c r="T8" s="664" t="s">
        <v>14</v>
      </c>
      <c r="U8" s="665">
        <f t="shared" si="1"/>
        <v>100</v>
      </c>
      <c r="V8" s="664" t="s">
        <v>14</v>
      </c>
      <c r="W8" s="665">
        <f t="shared" si="2"/>
        <v>100</v>
      </c>
      <c r="X8" s="666"/>
      <c r="Y8" s="3409" t="s">
        <v>1683</v>
      </c>
      <c r="Z8" s="341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4"/>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1"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4" t="str">
        <f>A41</f>
        <v>成交单价（元/平方米）</v>
      </c>
      <c r="Q41" s="3374"/>
      <c r="R41" s="3375">
        <f>E41</f>
        <v>0</v>
      </c>
      <c r="S41" s="3375"/>
      <c r="T41" s="3375">
        <f>G41</f>
        <v>0</v>
      </c>
      <c r="U41" s="3375"/>
      <c r="V41" s="3375">
        <f>I41</f>
        <v>0</v>
      </c>
      <c r="W41" s="337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F7:F40 H7:H40 J7:J40">
    <cfRule type="cellIs" dxfId="92" priority="1" operator="notEqual">
      <formula>100</formula>
    </cfRule>
  </conditionalFormatting>
  <conditionalFormatting sqref="F42">
    <cfRule type="expression" dxfId="91" priority="4">
      <formula>$D$42="简单平均"</formula>
    </cfRule>
  </conditionalFormatting>
  <conditionalFormatting sqref="F46:F48 H46:H48">
    <cfRule type="containsText" dxfId="90" priority="17" stopIfTrue="1" operator="containsText" text="超过">
      <formula>NOT(ISERROR(SEARCH("超过",F46)))</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G48">
    <cfRule type="expression" dxfId="87" priority="13" stopIfTrue="1">
      <formula>$H$48="超过30%"</formula>
    </cfRule>
  </conditionalFormatting>
  <conditionalFormatting sqref="H42">
    <cfRule type="expression" dxfId="86" priority="3">
      <formula>$D$42="简单平均"</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J42">
    <cfRule type="expression" dxfId="82" priority="2">
      <formula>$D$42="简单平均"</formula>
    </cfRule>
  </conditionalFormatting>
  <conditionalFormatting sqref="J46:J48">
    <cfRule type="containsText" dxfId="8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2025年2月14日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3" zoomScaleNormal="60" zoomScaleSheetLayoutView="100" workbookViewId="0">
      <selection activeCell="C38" sqref="C3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#REF!</v>
      </c>
      <c r="N3" s="2505"/>
      <c r="O3" s="2505"/>
      <c r="P3" s="1086"/>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2487"/>
      <c r="M4" s="2488"/>
      <c r="N4" s="2488"/>
      <c r="O4" s="2488"/>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tr">
        <f>案例!W12</f>
        <v>顶秀欣园</v>
      </c>
      <c r="F5" s="3415"/>
      <c r="G5" s="3407" t="str">
        <f>案例!W13</f>
        <v>西马金润家园</v>
      </c>
      <c r="H5" s="3408"/>
      <c r="I5" s="3407" t="str">
        <f>案例!W14</f>
        <v>星河苑</v>
      </c>
      <c r="J5" s="3408"/>
      <c r="K5" s="537"/>
      <c r="L5" s="2487"/>
      <c r="M5" s="2488"/>
      <c r="N5" s="2488"/>
      <c r="O5" s="2488"/>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2487"/>
      <c r="M6" s="2488"/>
      <c r="N6" s="2488"/>
      <c r="O6" s="2488"/>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45702</v>
      </c>
      <c r="D7" s="355">
        <v>100</v>
      </c>
      <c r="E7" s="356">
        <v>45689</v>
      </c>
      <c r="F7" s="357">
        <f>SUMIF(48:48,YEAR(E7)&amp;"-"&amp;MONTH(E7),49:49)</f>
        <v>100</v>
      </c>
      <c r="G7" s="356">
        <v>45689</v>
      </c>
      <c r="H7" s="355">
        <f>SUMIF(48:48,YEAR(G7)&amp;"-"&amp;MONTH(G7),49:49)</f>
        <v>100</v>
      </c>
      <c r="I7" s="356">
        <v>45689</v>
      </c>
      <c r="J7" s="355">
        <f>SUMIF(48:48,YEAR(I7)&amp;"-"&amp;MONTH(I7),49:49)</f>
        <v>100</v>
      </c>
      <c r="K7" s="38"/>
      <c r="L7" s="2489"/>
      <c r="M7" s="2440"/>
      <c r="N7" s="2440"/>
      <c r="O7" s="2440"/>
      <c r="P7" s="3409" t="s">
        <v>1680</v>
      </c>
      <c r="Q7" s="3411"/>
      <c r="R7" s="664" t="s">
        <v>14</v>
      </c>
      <c r="S7" s="665">
        <f t="shared" ref="S7:S14" si="0">F7</f>
        <v>100</v>
      </c>
      <c r="T7" s="664" t="s">
        <v>14</v>
      </c>
      <c r="U7" s="665">
        <f t="shared" ref="U7:U14" si="1">H7</f>
        <v>100</v>
      </c>
      <c r="V7" s="664" t="s">
        <v>14</v>
      </c>
      <c r="W7" s="665">
        <f t="shared" ref="W7:W14" si="2">J7</f>
        <v>100</v>
      </c>
      <c r="X7" s="666"/>
      <c r="Y7" s="3409" t="s">
        <v>1680</v>
      </c>
      <c r="Z7" s="3410"/>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9" t="s">
        <v>1683</v>
      </c>
      <c r="Q8" s="3410"/>
      <c r="R8" s="664" t="s">
        <v>14</v>
      </c>
      <c r="S8" s="665">
        <f t="shared" si="0"/>
        <v>100</v>
      </c>
      <c r="T8" s="664" t="s">
        <v>14</v>
      </c>
      <c r="U8" s="665">
        <f t="shared" si="1"/>
        <v>100</v>
      </c>
      <c r="V8" s="664" t="s">
        <v>14</v>
      </c>
      <c r="W8" s="665">
        <f t="shared" si="2"/>
        <v>100</v>
      </c>
      <c r="X8" s="666"/>
      <c r="Y8" s="3409" t="s">
        <v>1683</v>
      </c>
      <c r="Z8" s="341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4"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4"/>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7"/>
      <c r="Q15" s="1263"/>
      <c r="R15" s="667"/>
      <c r="S15" s="668"/>
      <c r="T15" s="667"/>
      <c r="U15" s="668"/>
      <c r="V15" s="667"/>
      <c r="W15" s="668"/>
      <c r="X15" s="1265"/>
      <c r="Y15" s="337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7"/>
      <c r="Q17" s="1263"/>
      <c r="R17" s="667"/>
      <c r="S17" s="668"/>
      <c r="T17" s="667"/>
      <c r="U17" s="668"/>
      <c r="V17" s="667"/>
      <c r="W17" s="668"/>
      <c r="X17" s="1265"/>
      <c r="Y17" s="337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7"/>
      <c r="Q19" s="1263"/>
      <c r="R19" s="667"/>
      <c r="S19" s="668"/>
      <c r="T19" s="667"/>
      <c r="U19" s="668"/>
      <c r="V19" s="667"/>
      <c r="W19" s="668"/>
      <c r="X19" s="1265"/>
      <c r="Y19" s="337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7"/>
      <c r="Q21" s="1263"/>
      <c r="R21" s="667"/>
      <c r="S21" s="668"/>
      <c r="T21" s="667"/>
      <c r="U21" s="668"/>
      <c r="V21" s="667"/>
      <c r="W21" s="668"/>
      <c r="X21" s="1265"/>
      <c r="Y21" s="337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8.5">
      <c r="A26" s="574" t="s">
        <v>1694</v>
      </c>
      <c r="B26" s="59" t="s">
        <v>1836</v>
      </c>
      <c r="C26" s="1820" t="str">
        <f>B1</f>
        <v>车库</v>
      </c>
      <c r="D26" s="387">
        <v>100</v>
      </c>
      <c r="E26" s="386" t="s">
        <v>3332</v>
      </c>
      <c r="F26" s="388">
        <f>SUMIF(79:79,E26,80:80)-SUMIF(79:79,C26,80:80)+100</f>
        <v>100</v>
      </c>
      <c r="G26" s="386" t="s">
        <v>3332</v>
      </c>
      <c r="H26" s="387">
        <f>SUMIF(79:79,G26,80:80)-SUMIF(79:79,C26,80:80)+100</f>
        <v>100</v>
      </c>
      <c r="I26" s="386" t="s">
        <v>3332</v>
      </c>
      <c r="J26" s="387">
        <f>SUMIF(79:79,I26,80:80)-SUMIF(79:79,C26,80:80)+100</f>
        <v>100</v>
      </c>
      <c r="K26" s="538"/>
      <c r="L26" s="2493"/>
      <c r="M26" s="2488"/>
      <c r="N26" s="2488"/>
      <c r="O26" s="2488"/>
      <c r="P26" s="3431"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81"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
      <c r="A29" s="577"/>
      <c r="B29" s="119" t="s">
        <v>1839</v>
      </c>
      <c r="C29" s="411">
        <v>1</v>
      </c>
      <c r="D29" s="374">
        <v>100</v>
      </c>
      <c r="E29" s="411">
        <v>0.9</v>
      </c>
      <c r="F29" s="400">
        <f>LOOKUP(E29,86:86,87:87)-LOOKUP(C29,86:86,87:87)+100</f>
        <v>100</v>
      </c>
      <c r="G29" s="411">
        <v>0.9</v>
      </c>
      <c r="H29" s="400">
        <f>LOOKUP(G29,86:86,87:87)-LOOKUP(C29,86:86,87:87)+100</f>
        <v>100</v>
      </c>
      <c r="I29" s="411">
        <v>0.9</v>
      </c>
      <c r="J29" s="374">
        <f>LOOKUP(I29,86:86,87:87)-LOOKUP(C29,86:86,87:87)+100</f>
        <v>100</v>
      </c>
      <c r="K29" s="538"/>
      <c r="L29" s="2493"/>
      <c r="M29" s="2488"/>
      <c r="N29" s="2488"/>
      <c r="O29" s="2488"/>
      <c r="P29" s="3381"/>
      <c r="Q29" s="1263" t="str">
        <f t="shared" si="11"/>
        <v>成新率</v>
      </c>
      <c r="R29" s="667" t="s">
        <v>14</v>
      </c>
      <c r="S29" s="668">
        <f t="shared" si="12"/>
        <v>100</v>
      </c>
      <c r="T29" s="667" t="s">
        <v>14</v>
      </c>
      <c r="U29" s="668">
        <f t="shared" si="13"/>
        <v>100</v>
      </c>
      <c r="V29" s="667" t="s">
        <v>14</v>
      </c>
      <c r="W29" s="668">
        <f t="shared" si="14"/>
        <v>100</v>
      </c>
      <c r="X29" s="1265"/>
      <c r="Y29" s="3381"/>
      <c r="Z29" s="1264" t="str">
        <f t="shared" si="15"/>
        <v>成新率</v>
      </c>
      <c r="AA29" s="1264">
        <f t="shared" si="3"/>
        <v>1</v>
      </c>
      <c r="AB29" s="1264">
        <f t="shared" si="4"/>
        <v>1</v>
      </c>
      <c r="AC29" s="1264">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
      <c r="A31" s="579"/>
      <c r="B31" s="119" t="s">
        <v>1841</v>
      </c>
      <c r="C31" s="407">
        <v>20</v>
      </c>
      <c r="D31" s="119">
        <v>100</v>
      </c>
      <c r="E31" s="407">
        <v>12</v>
      </c>
      <c r="F31" s="400">
        <f>LOOKUP(E31,91:91,92:92)-LOOKUP(C31,91:91,92:92)+100</f>
        <v>100</v>
      </c>
      <c r="G31" s="407">
        <v>16</v>
      </c>
      <c r="H31" s="374">
        <f>LOOKUP(G31,91:91,92:92)-LOOKUP(C31,91:91,92:92)+100</f>
        <v>100</v>
      </c>
      <c r="I31" s="407">
        <v>16</v>
      </c>
      <c r="J31" s="374">
        <f>LOOKUP(I31,91:91,92:92)-LOOKUP(C31,91:91,92:92)+100</f>
        <v>100</v>
      </c>
      <c r="K31" s="538"/>
      <c r="L31" s="2489"/>
      <c r="M31" s="2440"/>
      <c r="N31" s="2440"/>
      <c r="O31" s="2440"/>
      <c r="P31" s="3381"/>
      <c r="Q31" s="530" t="str">
        <f t="shared" si="11"/>
        <v>停车位面积</v>
      </c>
      <c r="R31" s="664" t="s">
        <v>14</v>
      </c>
      <c r="S31" s="665">
        <f t="shared" si="12"/>
        <v>100</v>
      </c>
      <c r="T31" s="664" t="s">
        <v>14</v>
      </c>
      <c r="U31" s="665">
        <f t="shared" si="13"/>
        <v>100</v>
      </c>
      <c r="V31" s="664" t="s">
        <v>14</v>
      </c>
      <c r="W31" s="665">
        <f t="shared" si="14"/>
        <v>100</v>
      </c>
      <c r="X31" s="666"/>
      <c r="Y31" s="3381"/>
      <c r="Z31" s="50" t="str">
        <f t="shared" si="15"/>
        <v>停车位面积</v>
      </c>
      <c r="AA31" s="50">
        <f t="shared" si="3"/>
        <v>1</v>
      </c>
      <c r="AB31" s="50">
        <f t="shared" si="4"/>
        <v>1</v>
      </c>
      <c r="AC31" s="50">
        <f t="shared" si="5"/>
        <v>1</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ht="15">
      <c r="A37" s="416" t="s">
        <v>1844</v>
      </c>
      <c r="B37" s="1821" t="s">
        <v>3353</v>
      </c>
      <c r="C37" s="1081" t="s">
        <v>0</v>
      </c>
      <c r="D37" s="418"/>
      <c r="E37" s="419">
        <v>350</v>
      </c>
      <c r="F37" s="420"/>
      <c r="G37" s="421">
        <v>380</v>
      </c>
      <c r="H37" s="422"/>
      <c r="I37" s="419">
        <v>350</v>
      </c>
      <c r="J37" s="422"/>
      <c r="K37" s="545"/>
      <c r="L37" s="2495"/>
      <c r="M37" s="2488"/>
      <c r="N37" s="2488"/>
      <c r="O37" s="2488"/>
      <c r="P37" s="3374" t="str">
        <f>A37</f>
        <v>成交单价</v>
      </c>
      <c r="Q37" s="3374"/>
      <c r="R37" s="3375">
        <f>E37</f>
        <v>350</v>
      </c>
      <c r="S37" s="3375"/>
      <c r="T37" s="3375">
        <f>G37</f>
        <v>380</v>
      </c>
      <c r="U37" s="3375"/>
      <c r="V37" s="3375">
        <f>I37</f>
        <v>350</v>
      </c>
      <c r="W37" s="3375"/>
      <c r="X37" s="385"/>
      <c r="Y37" s="673"/>
      <c r="Z37" s="385"/>
      <c r="AA37" s="385"/>
      <c r="AB37" s="385"/>
      <c r="AC37" s="385"/>
    </row>
    <row r="38" spans="1:29" ht="15.75" thickBot="1">
      <c r="A38" s="423" t="s">
        <v>1845</v>
      </c>
      <c r="B38" s="424" t="str">
        <f>B37</f>
        <v>元/平方米</v>
      </c>
      <c r="C38" s="1082">
        <f>R39</f>
        <v>360</v>
      </c>
      <c r="D38" s="2141" t="s">
        <v>2138</v>
      </c>
      <c r="E38" s="1083">
        <f>R38</f>
        <v>350</v>
      </c>
      <c r="F38" s="2142"/>
      <c r="G38" s="1082">
        <f>T38</f>
        <v>380</v>
      </c>
      <c r="H38" s="2142"/>
      <c r="I38" s="1083">
        <f>V38</f>
        <v>350</v>
      </c>
      <c r="J38" s="2142"/>
      <c r="K38" s="2144">
        <f>F38+H38+J38</f>
        <v>0</v>
      </c>
      <c r="L38" s="2495"/>
      <c r="M38" s="2488"/>
      <c r="N38" s="2488"/>
      <c r="O38" s="2488"/>
      <c r="P38" s="3374" t="str">
        <f>A38</f>
        <v>比较价值（元/平方米）</v>
      </c>
      <c r="Q38" s="3374"/>
      <c r="R38" s="3375">
        <f>IF(F1="售价",ROUND(PRODUCT(R37,AA7:AA36),0),ROUND(PRODUCT(R37,AA7:AA36),1))</f>
        <v>350</v>
      </c>
      <c r="S38" s="3375"/>
      <c r="T38" s="3375">
        <f>IF(F1="售价",ROUND(PRODUCT(T37,AB7:AB36),0),ROUND(PRODUCT(T37,AB7:AB36),1))</f>
        <v>380</v>
      </c>
      <c r="U38" s="3375"/>
      <c r="V38" s="3375">
        <f>IF(F1="售价",ROUND(PRODUCT(V37,AC7:AC36),0),ROUND(PRODUCT(V37,AC7:AC36),1))</f>
        <v>350</v>
      </c>
      <c r="W38" s="3375"/>
      <c r="X38" s="385"/>
      <c r="Y38" s="385"/>
      <c r="Z38" s="385"/>
      <c r="AA38" s="385"/>
      <c r="AB38" s="385"/>
      <c r="AC38" s="385"/>
    </row>
    <row r="39" spans="1:29" ht="15.75" thickBot="1">
      <c r="A39" s="427" t="s">
        <v>1846</v>
      </c>
      <c r="B39" s="428"/>
      <c r="C39" s="351">
        <f>R39</f>
        <v>360</v>
      </c>
      <c r="D39" s="351"/>
      <c r="E39" s="351"/>
      <c r="F39" s="351"/>
      <c r="G39" s="351"/>
      <c r="H39" s="351"/>
      <c r="I39" s="351"/>
      <c r="J39" s="351"/>
      <c r="K39" s="546"/>
      <c r="L39" s="2495"/>
      <c r="M39" s="2488"/>
      <c r="N39" s="2488"/>
      <c r="O39" s="2488"/>
      <c r="P39" s="3371" t="str">
        <f>A39</f>
        <v>估价对象XX用房的比较价值（楼面单价，元/平方米）</v>
      </c>
      <c r="Q39" s="3372"/>
      <c r="R39" s="3432">
        <f>IF(F1="售价",ROUND(IF(D38="简单平均",AVERAGE(R38:W38),R38*F38+T38*H38+V38*J38),0),ROUND(IF(D38="简单平均",AVERAGE(R38:V38),R38*F38+T38*H38+V38*J38),1))</f>
        <v>360</v>
      </c>
      <c r="S39" s="3432"/>
      <c r="T39" s="3432"/>
      <c r="U39" s="3432"/>
      <c r="V39" s="3432"/>
      <c r="W39" s="343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f>IF(E38&lt;G38,G38/E38-1,E38/G38-1)</f>
        <v>8.5714285714285632E-2</v>
      </c>
      <c r="F43" s="435" t="str">
        <f>IF(OR(E43&gt;=0.2,E43&lt;=-0.2),"超过20%","")</f>
        <v/>
      </c>
      <c r="G43" s="434">
        <f>IF(G38&lt;I38,I38/G38-1,G38/I38-1)</f>
        <v>8.5714285714285632E-2</v>
      </c>
      <c r="H43" s="435" t="str">
        <f>IF(OR(G43&gt;=0.2,G43&lt;=-0.2),"超过20%","")</f>
        <v/>
      </c>
      <c r="I43" s="434">
        <f>IF(I38&lt;E38,E38/I38-1,I38/E38-1)</f>
        <v>0</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f>IF(E37&lt;G37,G37/E37-1,E37/G37-1)</f>
        <v>8.5714285714285632E-2</v>
      </c>
      <c r="F44" s="435" t="str">
        <f>IF(OR(E44&gt;=0.3,E44&lt;=-0.3),"超过30%","")</f>
        <v/>
      </c>
      <c r="G44" s="434">
        <f>IF(G37&lt;I37,I37/G37-1,G37/I37-1)</f>
        <v>8.5714285714285632E-2</v>
      </c>
      <c r="H44" s="435" t="str">
        <f>IF(OR(G44&gt;=0.3,G44&lt;=-0.3),"超过30%","")</f>
        <v/>
      </c>
      <c r="I44" s="434">
        <f>IF(I37&lt;E37,E37/I37-1,I37/E37-1)</f>
        <v>0</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0(含)-30</v>
      </c>
      <c r="D90" s="509" t="str">
        <f t="shared" ref="D90:L90" si="21">D91&amp;"(含)"&amp;"-"&amp;E91</f>
        <v>30(含)-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30</v>
      </c>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99</v>
      </c>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2487"/>
      <c r="M4" s="2488"/>
      <c r="N4" s="2488"/>
      <c r="O4" s="2488"/>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7"/>
      <c r="M5" s="2488"/>
      <c r="N5" s="2488"/>
      <c r="O5" s="2488"/>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2487"/>
      <c r="M6" s="2488"/>
      <c r="N6" s="2488"/>
      <c r="O6" s="2488"/>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45702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9" t="s">
        <v>1680</v>
      </c>
      <c r="Q7" s="3411"/>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9" t="s">
        <v>1683</v>
      </c>
      <c r="Q8" s="3410"/>
      <c r="R8" s="664" t="s">
        <v>14</v>
      </c>
      <c r="S8" s="665">
        <f t="shared" si="0"/>
        <v>100</v>
      </c>
      <c r="T8" s="664" t="s">
        <v>14</v>
      </c>
      <c r="U8" s="665">
        <f t="shared" si="1"/>
        <v>100</v>
      </c>
      <c r="V8" s="664" t="s">
        <v>14</v>
      </c>
      <c r="W8" s="665">
        <f t="shared" si="2"/>
        <v>100</v>
      </c>
      <c r="X8" s="666"/>
      <c r="Y8" s="3409" t="s">
        <v>1683</v>
      </c>
      <c r="Z8" s="341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4"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4"/>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7"/>
      <c r="Q15" s="1263"/>
      <c r="R15" s="667"/>
      <c r="S15" s="668"/>
      <c r="T15" s="667"/>
      <c r="U15" s="668"/>
      <c r="V15" s="667"/>
      <c r="W15" s="668"/>
      <c r="X15" s="1265"/>
      <c r="Y15" s="337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7"/>
      <c r="Q17" s="1263"/>
      <c r="R17" s="667"/>
      <c r="S17" s="668"/>
      <c r="T17" s="667"/>
      <c r="U17" s="668"/>
      <c r="V17" s="667"/>
      <c r="W17" s="668"/>
      <c r="X17" s="1265"/>
      <c r="Y17" s="337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7"/>
      <c r="Q19" s="1263"/>
      <c r="R19" s="667"/>
      <c r="S19" s="668"/>
      <c r="T19" s="667"/>
      <c r="U19" s="668"/>
      <c r="V19" s="667"/>
      <c r="W19" s="668"/>
      <c r="X19" s="1265"/>
      <c r="Y19" s="337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7"/>
      <c r="Q21" s="1263"/>
      <c r="R21" s="667"/>
      <c r="S21" s="668"/>
      <c r="T21" s="667"/>
      <c r="U21" s="668"/>
      <c r="V21" s="667"/>
      <c r="W21" s="668"/>
      <c r="X21" s="1265"/>
      <c r="Y21" s="337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4" t="str">
        <f>A35</f>
        <v>成交单价（元/平方米）</v>
      </c>
      <c r="Q35" s="3374"/>
      <c r="R35" s="3375">
        <f>E35</f>
        <v>0</v>
      </c>
      <c r="S35" s="3375"/>
      <c r="T35" s="3375">
        <f>G35</f>
        <v>0</v>
      </c>
      <c r="U35" s="3375"/>
      <c r="V35" s="3375">
        <f>I35</f>
        <v>0</v>
      </c>
      <c r="W35" s="337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1" t="str">
        <f>A37</f>
        <v>估价对象XX用房的比较价值（楼面单价，元/平方米）</v>
      </c>
      <c r="Q37" s="3372"/>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6" priority="13" stopIfTrue="1">
      <formula>$F$40="超过30%"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F7:F34 H7:H34 J7:J34">
    <cfRule type="cellIs" dxfId="63" priority="1" operator="notEqual">
      <formula>100</formula>
    </cfRule>
  </conditionalFormatting>
  <conditionalFormatting sqref="F36">
    <cfRule type="expression" dxfId="62" priority="4">
      <formula>$D$36="简单平均"</formula>
    </cfRule>
  </conditionalFormatting>
  <conditionalFormatting sqref="F40:F42 H40:H42 J40:J42">
    <cfRule type="containsText" dxfId="61" priority="14" stopIfTrue="1" operator="containsText" text="超过">
      <formula>NOT(ISERROR(SEARCH("超过",F40)))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G42">
    <cfRule type="expression" dxfId="58" priority="12" stopIfTrue="1">
      <formula>$H$54+$H$42="超过30%"</formula>
    </cfRule>
  </conditionalFormatting>
  <conditionalFormatting sqref="H36">
    <cfRule type="expression" dxfId="57" priority="3">
      <formula>$D$36="简单平均"</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J36">
    <cfRule type="expression" dxfId="5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2487"/>
      <c r="M4" s="2488"/>
      <c r="N4" s="2488"/>
      <c r="O4" s="2488"/>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7"/>
      <c r="M5" s="2488"/>
      <c r="N5" s="2488"/>
      <c r="O5" s="2488"/>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2487"/>
      <c r="M6" s="2488"/>
      <c r="N6" s="2488"/>
      <c r="O6" s="2488"/>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45702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9" t="s">
        <v>1683</v>
      </c>
      <c r="Q8" s="3410"/>
      <c r="R8" s="664" t="s">
        <v>14</v>
      </c>
      <c r="S8" s="665">
        <f t="shared" si="0"/>
        <v>0</v>
      </c>
      <c r="T8" s="664" t="s">
        <v>14</v>
      </c>
      <c r="U8" s="665">
        <f t="shared" si="1"/>
        <v>0</v>
      </c>
      <c r="V8" s="664" t="s">
        <v>14</v>
      </c>
      <c r="W8" s="665">
        <f t="shared" si="2"/>
        <v>0</v>
      </c>
      <c r="X8" s="666"/>
      <c r="Y8" s="3409" t="s">
        <v>1683</v>
      </c>
      <c r="Z8" s="341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74"/>
      <c r="Q10" s="530" t="str">
        <f t="shared" si="6"/>
        <v>土地使用年限（年）</v>
      </c>
      <c r="R10" s="664" t="s">
        <v>14</v>
      </c>
      <c r="S10" s="665" t="e">
        <f t="shared" si="0"/>
        <v>#DIV/0!</v>
      </c>
      <c r="T10" s="664" t="s">
        <v>14</v>
      </c>
      <c r="U10" s="665" t="e">
        <f t="shared" si="1"/>
        <v>#DIV/0!</v>
      </c>
      <c r="V10" s="664" t="s">
        <v>14</v>
      </c>
      <c r="W10" s="665" t="e">
        <f t="shared" si="2"/>
        <v>#DIV/0!</v>
      </c>
      <c r="X10" s="666"/>
      <c r="Y10" s="324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4"/>
      <c r="Q12" s="530" t="str">
        <f t="shared" si="6"/>
        <v>配建</v>
      </c>
      <c r="R12" s="664" t="s">
        <v>14</v>
      </c>
      <c r="S12" s="665">
        <f t="shared" si="0"/>
        <v>100</v>
      </c>
      <c r="T12" s="664" t="s">
        <v>14</v>
      </c>
      <c r="U12" s="665">
        <f t="shared" si="1"/>
        <v>100</v>
      </c>
      <c r="V12" s="664" t="s">
        <v>14</v>
      </c>
      <c r="W12" s="665">
        <f t="shared" si="2"/>
        <v>100</v>
      </c>
      <c r="X12" s="666"/>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7"/>
      <c r="Q20" s="1263"/>
      <c r="R20" s="667"/>
      <c r="S20" s="668"/>
      <c r="T20" s="667"/>
      <c r="U20" s="668"/>
      <c r="V20" s="667"/>
      <c r="W20" s="668"/>
      <c r="X20" s="1265"/>
      <c r="Y20" s="337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7"/>
      <c r="Q24" s="1263"/>
      <c r="R24" s="667"/>
      <c r="S24" s="668"/>
      <c r="T24" s="667"/>
      <c r="U24" s="668"/>
      <c r="V24" s="667"/>
      <c r="W24" s="668"/>
      <c r="X24" s="1265"/>
      <c r="Y24" s="337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7"/>
      <c r="Q26" s="1263"/>
      <c r="R26" s="667"/>
      <c r="S26" s="668"/>
      <c r="T26" s="667"/>
      <c r="U26" s="668"/>
      <c r="V26" s="667"/>
      <c r="W26" s="668"/>
      <c r="X26" s="1265"/>
      <c r="Y26" s="337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7"/>
      <c r="Q28" s="530"/>
      <c r="R28" s="664"/>
      <c r="S28" s="665"/>
      <c r="T28" s="664"/>
      <c r="U28" s="665"/>
      <c r="V28" s="664"/>
      <c r="W28" s="665"/>
      <c r="X28" s="666"/>
      <c r="Y28" s="337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7"/>
      <c r="Q30" s="530"/>
      <c r="R30" s="664"/>
      <c r="S30" s="665"/>
      <c r="T30" s="664"/>
      <c r="U30" s="665"/>
      <c r="V30" s="664"/>
      <c r="W30" s="665"/>
      <c r="X30" s="666"/>
      <c r="Y30" s="337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7"/>
      <c r="Q33" s="1263"/>
      <c r="R33" s="667"/>
      <c r="S33" s="668"/>
      <c r="T33" s="667"/>
      <c r="U33" s="668"/>
      <c r="V33" s="667"/>
      <c r="W33" s="668"/>
      <c r="X33" s="1265"/>
      <c r="Y33" s="337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1"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4" t="str">
        <f>A46</f>
        <v>成交单价</v>
      </c>
      <c r="Q46" s="3374"/>
      <c r="R46" s="3375">
        <f>E46</f>
        <v>0</v>
      </c>
      <c r="S46" s="3375"/>
      <c r="T46" s="3375">
        <f>G46</f>
        <v>0</v>
      </c>
      <c r="U46" s="3375"/>
      <c r="V46" s="3375">
        <f>I46</f>
        <v>0</v>
      </c>
      <c r="W46" s="337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4" t="str">
        <f>A47</f>
        <v>比较价值（元/平方米）</v>
      </c>
      <c r="Q47" s="3374"/>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1" t="str">
        <f>A48</f>
        <v>估价对象XX用房的比较价值（楼面单价，元/平方米）</v>
      </c>
      <c r="Q48" s="3372"/>
      <c r="R48" s="3434" t="e">
        <f>ROUND(IF(D47="简单平均",AVERAGE(R47:W47),R47*F47+T47*H47+V47*J47),0)</f>
        <v>#DIV/0!</v>
      </c>
      <c r="S48" s="3434"/>
      <c r="T48" s="3434"/>
      <c r="U48" s="3434"/>
      <c r="V48" s="3434"/>
      <c r="W48" s="343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9" t="s">
        <v>1887</v>
      </c>
      <c r="H55" s="343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9500</v>
      </c>
      <c r="F56" s="833" t="e">
        <f t="shared" ref="F56:F64" si="15">ROUND(B56*E56/10000,0)</f>
        <v>#DIV/0!</v>
      </c>
      <c r="G56" s="3385"/>
      <c r="H56" s="337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四级</v>
      </c>
      <c r="I62" s="838">
        <f>SUMIF(修正!A57:A68,H62,修正!G57:G68)</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9500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2" priority="13" stopIfTrue="1">
      <formula>$F$51="超过30%"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F7:F45 H7:H45 J7:J45">
    <cfRule type="cellIs" dxfId="49" priority="1" operator="notEqual">
      <formula>100</formula>
    </cfRule>
  </conditionalFormatting>
  <conditionalFormatting sqref="F47">
    <cfRule type="expression" dxfId="48" priority="4">
      <formula>$D$47="简单平均"</formula>
    </cfRule>
  </conditionalFormatting>
  <conditionalFormatting sqref="F51:F53 H51:H53 J51:J53">
    <cfRule type="containsText" dxfId="47" priority="14" stopIfTrue="1" operator="containsText" text="超过">
      <formula>NOT(ISERROR(SEARCH("超过",F51)))</formula>
    </cfRule>
  </conditionalFormatting>
  <conditionalFormatting sqref="G51">
    <cfRule type="expression" dxfId="46" priority="9" stopIfTrue="1">
      <formula>$H$53+$H$51="超过30%"</formula>
    </cfRule>
  </conditionalFormatting>
  <conditionalFormatting sqref="G52">
    <cfRule type="expression" dxfId="45" priority="8" stopIfTrue="1">
      <formula>$H$52="超过20%"</formula>
    </cfRule>
  </conditionalFormatting>
  <conditionalFormatting sqref="G53">
    <cfRule type="expression" dxfId="44" priority="12" stopIfTrue="1">
      <formula>$H$53="超过30%"</formula>
    </cfRule>
  </conditionalFormatting>
  <conditionalFormatting sqref="H47">
    <cfRule type="expression" dxfId="43" priority="3">
      <formula>$D$47="简单平均"</formula>
    </cfRule>
  </conditionalFormatting>
  <conditionalFormatting sqref="I51">
    <cfRule type="expression" dxfId="42" priority="7" stopIfTrue="1">
      <formula>$J$51="超过30%"</formula>
    </cfRule>
  </conditionalFormatting>
  <conditionalFormatting sqref="I52">
    <cfRule type="expression" dxfId="41" priority="6" stopIfTrue="1">
      <formula>$J$52="超过20%"</formula>
    </cfRule>
  </conditionalFormatting>
  <conditionalFormatting sqref="I53">
    <cfRule type="expression" dxfId="40" priority="5" stopIfTrue="1">
      <formula>$J$53="超过30%"</formula>
    </cfRule>
  </conditionalFormatting>
  <conditionalFormatting sqref="J47">
    <cfRule type="expression" dxfId="3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2487"/>
      <c r="M4" s="2488"/>
      <c r="N4" s="2488"/>
      <c r="O4" s="2488"/>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7"/>
      <c r="M5" s="2488"/>
      <c r="N5" s="2488"/>
      <c r="O5" s="2488"/>
      <c r="P5" s="3395"/>
      <c r="Q5" s="3396"/>
      <c r="R5" s="3401"/>
      <c r="S5" s="3402"/>
      <c r="T5" s="3401"/>
      <c r="U5" s="3402"/>
      <c r="V5" s="3375"/>
      <c r="W5" s="3375"/>
      <c r="X5" s="1265"/>
      <c r="Y5" s="3401"/>
      <c r="Z5" s="3402"/>
      <c r="AA5" s="3387"/>
      <c r="AB5" s="3387"/>
      <c r="AC5" s="3387"/>
    </row>
    <row r="6" spans="1:29" ht="15.75" thickBot="1">
      <c r="A6" s="350"/>
      <c r="B6" s="351"/>
      <c r="C6" s="3436" t="s">
        <v>1919</v>
      </c>
      <c r="D6" s="3437"/>
      <c r="E6" s="3438" t="s">
        <v>1919</v>
      </c>
      <c r="F6" s="3439"/>
      <c r="G6" s="3436" t="s">
        <v>1919</v>
      </c>
      <c r="H6" s="3437"/>
      <c r="I6" s="3436" t="s">
        <v>1919</v>
      </c>
      <c r="J6" s="3437"/>
      <c r="K6" s="537" t="s">
        <v>1678</v>
      </c>
      <c r="L6" s="2487"/>
      <c r="M6" s="2488"/>
      <c r="N6" s="2488"/>
      <c r="O6" s="2488"/>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45702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9" t="s">
        <v>1683</v>
      </c>
      <c r="Q8" s="3410"/>
      <c r="R8" s="664" t="s">
        <v>14</v>
      </c>
      <c r="S8" s="665">
        <f t="shared" si="0"/>
        <v>0</v>
      </c>
      <c r="T8" s="664" t="s">
        <v>14</v>
      </c>
      <c r="U8" s="665">
        <f t="shared" si="1"/>
        <v>0</v>
      </c>
      <c r="V8" s="664" t="s">
        <v>14</v>
      </c>
      <c r="W8" s="665">
        <f t="shared" si="2"/>
        <v>0</v>
      </c>
      <c r="X8" s="666"/>
      <c r="Y8" s="3409" t="s">
        <v>1683</v>
      </c>
      <c r="Z8" s="341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74"/>
      <c r="Q10" s="530" t="str">
        <f t="shared" si="6"/>
        <v>土地使用年限（年）</v>
      </c>
      <c r="R10" s="664" t="s">
        <v>14</v>
      </c>
      <c r="S10" s="665" t="e">
        <f t="shared" si="0"/>
        <v>#DIV/0!</v>
      </c>
      <c r="T10" s="664" t="s">
        <v>14</v>
      </c>
      <c r="U10" s="665" t="e">
        <f t="shared" si="1"/>
        <v>#DIV/0!</v>
      </c>
      <c r="V10" s="664" t="s">
        <v>14</v>
      </c>
      <c r="W10" s="665" t="e">
        <f t="shared" si="2"/>
        <v>#DIV/0!</v>
      </c>
      <c r="X10" s="666"/>
      <c r="Y10" s="324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7"/>
      <c r="Q20" s="1263"/>
      <c r="R20" s="667"/>
      <c r="S20" s="668"/>
      <c r="T20" s="667"/>
      <c r="U20" s="668"/>
      <c r="V20" s="667"/>
      <c r="W20" s="668"/>
      <c r="X20" s="1265"/>
      <c r="Y20" s="337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7"/>
      <c r="Q24" s="530"/>
      <c r="R24" s="664"/>
      <c r="S24" s="665"/>
      <c r="T24" s="664"/>
      <c r="U24" s="665"/>
      <c r="V24" s="664"/>
      <c r="W24" s="665"/>
      <c r="X24" s="666"/>
      <c r="Y24" s="337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7"/>
      <c r="Q26" s="530"/>
      <c r="R26" s="664"/>
      <c r="S26" s="665"/>
      <c r="T26" s="664"/>
      <c r="U26" s="665"/>
      <c r="V26" s="664"/>
      <c r="W26" s="665"/>
      <c r="X26" s="666"/>
      <c r="Y26" s="337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7"/>
      <c r="Q29" s="1263"/>
      <c r="R29" s="667"/>
      <c r="S29" s="668"/>
      <c r="T29" s="667"/>
      <c r="U29" s="668"/>
      <c r="V29" s="667"/>
      <c r="W29" s="668"/>
      <c r="X29" s="1265"/>
      <c r="Y29" s="337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1"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4" t="str">
        <f>A41</f>
        <v>成交单价</v>
      </c>
      <c r="Q41" s="3374"/>
      <c r="R41" s="3375">
        <f>E41</f>
        <v>0</v>
      </c>
      <c r="S41" s="3375"/>
      <c r="T41" s="3375">
        <f>G41</f>
        <v>0</v>
      </c>
      <c r="U41" s="3375"/>
      <c r="V41" s="3375">
        <f>I41</f>
        <v>0</v>
      </c>
      <c r="W41" s="337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4" t="str">
        <f>A42</f>
        <v>比较价值（元/平方米）</v>
      </c>
      <c r="Q42" s="3374"/>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1" t="str">
        <f>A43</f>
        <v>估价对象XX用房的比较价值（楼面单价，元/平方米）</v>
      </c>
      <c r="Q43" s="3372"/>
      <c r="R43" s="3434" t="e">
        <f>ROUND(IF(D42="简单平均",AVERAGE(R42:W42),R42*F42+T42*H42+V42*J42),0)</f>
        <v>#DIV/0!</v>
      </c>
      <c r="S43" s="3434"/>
      <c r="T43" s="3434"/>
      <c r="U43" s="3434"/>
      <c r="V43" s="3434"/>
      <c r="W43" s="343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9" t="s">
        <v>1887</v>
      </c>
      <c r="H50" s="343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9500</v>
      </c>
      <c r="F51" s="611" t="e">
        <f t="shared" ref="F51:F60" si="15">ROUND(B51*E51/10000,0)</f>
        <v>#DIV/0!</v>
      </c>
      <c r="G51" s="3385"/>
      <c r="H51" s="337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四级</v>
      </c>
      <c r="I58" s="727">
        <f>SUMIF(修正!A57:A68,H58,修正!G57:G68)</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8" priority="13" stopIfTrue="1">
      <formula>$F$46="超过30%"</formula>
    </cfRule>
  </conditionalFormatting>
  <conditionalFormatting sqref="E47">
    <cfRule type="expression" dxfId="37" priority="53" stopIfTrue="1">
      <formula>#REF!+$F$47="超过20%"</formula>
    </cfRule>
  </conditionalFormatting>
  <conditionalFormatting sqref="E48">
    <cfRule type="expression" dxfId="36" priority="10" stopIfTrue="1">
      <formula>$F$48="超过30%"</formula>
    </cfRule>
  </conditionalFormatting>
  <conditionalFormatting sqref="F7:F40 H7:H40 J7:J40">
    <cfRule type="cellIs" dxfId="35" priority="1" operator="notEqual">
      <formula>100</formula>
    </cfRule>
  </conditionalFormatting>
  <conditionalFormatting sqref="F42">
    <cfRule type="expression" dxfId="34" priority="4">
      <formula>$D$42="简单平均"</formula>
    </cfRule>
  </conditionalFormatting>
  <conditionalFormatting sqref="F46:F48 H46:H48 J46:J48">
    <cfRule type="containsText" dxfId="33" priority="14" stopIfTrue="1" operator="containsText" text="超过">
      <formula>NOT(ISERROR(SEARCH("超过",F46)))</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G48">
    <cfRule type="expression" dxfId="30" priority="12" stopIfTrue="1">
      <formula>$H$48="超过30%"</formula>
    </cfRule>
  </conditionalFormatting>
  <conditionalFormatting sqref="H42">
    <cfRule type="expression" dxfId="29" priority="3">
      <formula>$D$42="简单平均"</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J42">
    <cfRule type="expression" dxfId="2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3" t="s">
        <v>2084</v>
      </c>
      <c r="D1" s="3444"/>
      <c r="E1" s="3444"/>
      <c r="F1" s="3444"/>
      <c r="G1" s="3444"/>
      <c r="H1" s="3444"/>
      <c r="I1" s="3444"/>
      <c r="J1" s="3444"/>
      <c r="K1" s="3444"/>
      <c r="L1" s="3444"/>
      <c r="M1" s="3444"/>
      <c r="N1" s="3444"/>
      <c r="O1" s="3444"/>
      <c r="P1" s="3444"/>
      <c r="Q1" s="3444"/>
      <c r="R1" s="3444"/>
      <c r="S1" s="344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#REF!</v>
      </c>
      <c r="C6" s="1984" t="s">
        <v>2074</v>
      </c>
      <c r="D6" s="2545"/>
      <c r="E6" s="2398" t="e">
        <f ca="1">SUMIF(INDIRECT("'"&amp;A6&amp;"'"&amp;"!C:C"),"建筑面积",INDIRECT("'"&amp;A6&amp;"'"&amp;"!D:D"))</f>
        <v>#REF!</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34858-71A7-4A04-A9C4-C50187837F2C}">
  <sheetPr>
    <tabColor rgb="FF92D050"/>
  </sheetPr>
  <dimension ref="A1:AK122"/>
  <sheetViews>
    <sheetView tabSelected="1" view="pageBreakPreview" topLeftCell="A10" zoomScaleNormal="80" zoomScaleSheetLayoutView="100" workbookViewId="0">
      <selection activeCell="D42" sqref="D4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3408</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36557</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3411</v>
      </c>
      <c r="F3" s="1848" t="s">
        <v>3415</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28814</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8"/>
      <c r="B4" s="3449"/>
      <c r="C4" s="3449"/>
      <c r="D4" s="3450"/>
      <c r="E4" s="3450"/>
      <c r="F4" s="3450"/>
      <c r="G4" s="3450"/>
      <c r="H4" s="3450"/>
      <c r="I4" s="3450"/>
      <c r="J4" s="3451"/>
      <c r="K4" s="1056"/>
      <c r="L4" s="1847" t="s">
        <v>1946</v>
      </c>
      <c r="M4" s="811">
        <f>SUMPRODUCT((区片价!B55:B86=I2)*(区片价!C3:G3=E2)*(区片价!C55:G86))</f>
        <v>18760</v>
      </c>
      <c r="N4" s="813">
        <f>SUMPRODUCT((因素修正幅度!B55:B86=I2)*(因素修正幅度!C3:G3=E2)*(因素修正幅度!C55:G86))</f>
        <v>9.6000000000000002E-2</v>
      </c>
      <c r="O4" s="1056"/>
      <c r="P4" s="1056"/>
      <c r="Q4" s="1056"/>
      <c r="R4" s="1129">
        <v>3</v>
      </c>
      <c r="S4" s="3064">
        <f>ROUND(SUMPRODUCT((B106:B110=R4)*(C105:N105=G2)*(C106:N110)),4)</f>
        <v>1.0004999999999999</v>
      </c>
      <c r="T4" s="3064">
        <f t="shared" si="0"/>
        <v>24353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21574</v>
      </c>
      <c r="D5" s="1252">
        <f>ROUND(C6*C17+C20,0)</f>
        <v>18760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21478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18760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20641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1.6</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4"/>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1.1499999999999999</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3413</v>
      </c>
      <c r="D15" s="1887" t="s">
        <v>3413</v>
      </c>
      <c r="E15" s="1888" t="s">
        <v>3414</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v>
      </c>
      <c r="E16" s="3025">
        <v>1.1499999999999999</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5"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1896" t="s">
        <v>2002</v>
      </c>
      <c r="E23" s="717">
        <v>44197</v>
      </c>
      <c r="F23" s="1896" t="s">
        <v>2003</v>
      </c>
      <c r="G23" s="718">
        <f>'数据-取费表'!B2</f>
        <v>45702</v>
      </c>
      <c r="H23" s="3049" t="s">
        <v>3256</v>
      </c>
      <c r="I23" s="3050" t="str">
        <f>IF(H23="季度增幅（自定义）",SUMIF(N25:N28,E2,O25:O28),"")</f>
        <v/>
      </c>
      <c r="J23" s="3142" t="s">
        <v>3255</v>
      </c>
      <c r="K23" s="1061"/>
      <c r="L23" s="1897" t="s">
        <v>2004</v>
      </c>
      <c r="M23" s="1241">
        <f>ROUND(SUMIF(地价!B2:G2,E2,地价!B16:G16),0)</f>
        <v>687</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存贷款利率!E27/100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1.1087</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1.1087</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1.1087</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1.1087</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1.0683</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26986</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6747</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2036</v>
      </c>
      <c r="C37" s="167">
        <f>ROUND(D5*C22*C23*C24*C28*F37,0)</f>
        <v>12699</v>
      </c>
      <c r="D37" s="1940"/>
      <c r="E37" s="163">
        <f>ROUND(C37*D37/10000,0)</f>
        <v>0</v>
      </c>
      <c r="F37" s="163">
        <f>SUMIF(修正!A57:A68,G2,修正!B57:B68)</f>
        <v>0.6</v>
      </c>
      <c r="G37" s="163">
        <f>ROUND(IF(E2="工业",C37*$M$42,C37*$M$41),0)</f>
        <v>3175</v>
      </c>
      <c r="H37" s="163">
        <f>D37</f>
        <v>0</v>
      </c>
      <c r="I37" s="163">
        <f>ROUND(G37*H37/10000,0)</f>
        <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f>ROUND(D5*C22*C23*C24*C28*F38,0)</f>
        <v>6350</v>
      </c>
      <c r="D38" s="1940"/>
      <c r="E38" s="163">
        <f t="shared" ref="E38:E42" si="4">ROUND(C38*D38/10000,0)</f>
        <v>0</v>
      </c>
      <c r="F38" s="163">
        <f>SUMIF(修正!A57:A68,G2,修正!C57:C68)</f>
        <v>0.3</v>
      </c>
      <c r="G38" s="163">
        <f>ROUND(IF(E2="工业",C38*$M$42,C38*$M$41),0)</f>
        <v>1588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3259</v>
      </c>
      <c r="C39" s="167">
        <f>ROUND(D5*C22*C23*C24*C28*F39,0)</f>
        <v>5291</v>
      </c>
      <c r="D39" s="1940"/>
      <c r="E39" s="163">
        <f t="shared" si="4"/>
        <v>0</v>
      </c>
      <c r="F39" s="163">
        <f>SUMIF(修正!A57:A68,G2,修正!D57:D68)</f>
        <v>0.25</v>
      </c>
      <c r="G39" s="163">
        <f>ROUND(IF(E2="工业",C39*$M$42,C39*$M$41),0)</f>
        <v>1323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5291</v>
      </c>
      <c r="D40" s="1940"/>
      <c r="E40" s="163">
        <f t="shared" si="4"/>
        <v>0</v>
      </c>
      <c r="F40" s="167">
        <f>SUMIF(修正!A57:A68,G2,修正!E57:E68)</f>
        <v>0.25</v>
      </c>
      <c r="G40" s="163">
        <f>ROUND(IF(E2="工业",C40*$M$42,C40*$M$41),0)</f>
        <v>1323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5291</v>
      </c>
      <c r="D41" s="1940"/>
      <c r="E41" s="163">
        <f t="shared" si="4"/>
        <v>0</v>
      </c>
      <c r="F41" s="167">
        <f>SUMIF(修正!A57:A68,G2,修正!F57:F68)</f>
        <v>0.25</v>
      </c>
      <c r="G41" s="163">
        <f>ROUND(IF(E2="工业",C41*$M$42,C41*$M$41),0)</f>
        <v>1323</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3175</v>
      </c>
      <c r="D42" s="1945"/>
      <c r="E42" s="179">
        <f t="shared" si="4"/>
        <v>0</v>
      </c>
      <c r="F42" s="723">
        <f>SUMIF(修正!A57:A68,G2,修正!G57:G68)</f>
        <v>0.15</v>
      </c>
      <c r="G42" s="179">
        <f>ROUND(IF(E2="工业",C42*$M$42,C42*$M$41),0)</f>
        <v>794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1.0683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3416</v>
      </c>
      <c r="D72" s="1002">
        <f t="shared" ref="D72:D80" si="17">SUMIF($J$71:$N$71,C72,J72:N72)</f>
        <v>9.5999999999999992E-3</v>
      </c>
      <c r="E72" s="702">
        <f>ROUND(SUM(D72:D80),4)</f>
        <v>6.83E-2</v>
      </c>
      <c r="F72" s="1675">
        <f>IF(E2="住宅",SUMIF(L1:L12,G2,N1:N12),"——")</f>
        <v>9.6000000000000002E-2</v>
      </c>
      <c r="G72" s="1000">
        <v>9.5999999999999992E-3</v>
      </c>
      <c r="H72" s="1003">
        <f t="shared" ref="H72:H80" si="18">IFERROR(ROUNDDOWN($F$72*I72/2,4),"——")</f>
        <v>9.5999999999999992E-3</v>
      </c>
      <c r="I72" s="3069">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3417</v>
      </c>
      <c r="D73" s="1002">
        <f t="shared" si="17"/>
        <v>2.4799999999999999E-2</v>
      </c>
      <c r="E73" s="705"/>
      <c r="F73" s="1675"/>
      <c r="G73" s="1000">
        <v>1.24E-2</v>
      </c>
      <c r="H73" s="1003">
        <f t="shared" si="18"/>
        <v>1.24E-2</v>
      </c>
      <c r="I73" s="3069">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t="s">
        <v>3416</v>
      </c>
      <c r="D74" s="1002">
        <f t="shared" si="17"/>
        <v>4.7999999999999996E-3</v>
      </c>
      <c r="E74" s="705"/>
      <c r="F74" s="1675"/>
      <c r="G74" s="1000">
        <v>4.7999999999999996E-3</v>
      </c>
      <c r="H74" s="1003">
        <f t="shared" si="18"/>
        <v>4.7999999999999996E-3</v>
      </c>
      <c r="I74" s="3069">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3444</v>
      </c>
      <c r="D75" s="1002">
        <f t="shared" si="17"/>
        <v>0</v>
      </c>
      <c r="E75" s="705"/>
      <c r="F75" s="1675"/>
      <c r="G75" s="1000">
        <v>2.3999999999999998E-3</v>
      </c>
      <c r="H75" s="1003">
        <f t="shared" si="18"/>
        <v>2.3999999999999998E-3</v>
      </c>
      <c r="I75" s="3069">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3417</v>
      </c>
      <c r="D76" s="1002">
        <f t="shared" si="17"/>
        <v>7.6E-3</v>
      </c>
      <c r="E76" s="705"/>
      <c r="F76" s="1675"/>
      <c r="G76" s="1000">
        <v>3.8E-3</v>
      </c>
      <c r="H76" s="1003">
        <f t="shared" si="18"/>
        <v>3.8E-3</v>
      </c>
      <c r="I76" s="3069">
        <v>0.08</v>
      </c>
      <c r="J76" s="1001">
        <f t="shared" si="19"/>
        <v>7.6E-3</v>
      </c>
      <c r="K76" s="1001">
        <f t="shared" si="20"/>
        <v>3.8E-3</v>
      </c>
      <c r="L76" s="1001">
        <v>0</v>
      </c>
      <c r="M76" s="1001">
        <f t="shared" si="21"/>
        <v>-3.8E-3</v>
      </c>
      <c r="N76" s="1001">
        <f t="shared" si="21"/>
        <v>-7.6E-3</v>
      </c>
      <c r="O76" s="1056"/>
      <c r="P76" s="1056"/>
      <c r="Z76" s="1845"/>
      <c r="AA76" s="1895"/>
      <c r="AG76" s="1058"/>
      <c r="AK76" s="1895"/>
    </row>
    <row r="77" spans="1:37" ht="25.5">
      <c r="A77" s="1970" t="s">
        <v>2060</v>
      </c>
      <c r="B77" s="1240" t="str">
        <f>估价对象房地状况!C22</f>
        <v>估价对象所在区域基础设施水平</v>
      </c>
      <c r="C77" s="1887" t="s">
        <v>3417</v>
      </c>
      <c r="D77" s="1002">
        <f t="shared" si="17"/>
        <v>8.6E-3</v>
      </c>
      <c r="E77" s="705"/>
      <c r="F77" s="1675"/>
      <c r="G77" s="1000">
        <v>4.3E-3</v>
      </c>
      <c r="H77" s="1003">
        <f t="shared" si="18"/>
        <v>4.3E-3</v>
      </c>
      <c r="I77" s="3069">
        <v>0.09</v>
      </c>
      <c r="J77" s="1001">
        <f t="shared" si="19"/>
        <v>8.6E-3</v>
      </c>
      <c r="K77" s="1001">
        <f t="shared" si="20"/>
        <v>4.3E-3</v>
      </c>
      <c r="L77" s="1001">
        <v>0</v>
      </c>
      <c r="M77" s="1001">
        <f t="shared" si="21"/>
        <v>-4.3E-3</v>
      </c>
      <c r="N77" s="1001">
        <f t="shared" si="21"/>
        <v>-8.6E-3</v>
      </c>
      <c r="O77" s="1056"/>
      <c r="P77" s="1056"/>
      <c r="Z77" s="1845"/>
      <c r="AA77" s="1895"/>
      <c r="AG77" s="1058"/>
      <c r="AK77" s="1895"/>
    </row>
    <row r="78" spans="1:37" ht="24">
      <c r="A78" s="1970" t="s">
        <v>2057</v>
      </c>
      <c r="B78" s="1975" t="s">
        <v>2058</v>
      </c>
      <c r="C78" s="1887" t="s">
        <v>3417</v>
      </c>
      <c r="D78" s="1002">
        <f t="shared" si="17"/>
        <v>4.7999999999999996E-3</v>
      </c>
      <c r="E78" s="705"/>
      <c r="F78" s="1675"/>
      <c r="G78" s="1000">
        <v>2.3999999999999998E-3</v>
      </c>
      <c r="H78" s="1003">
        <f t="shared" si="18"/>
        <v>2.3999999999999998E-3</v>
      </c>
      <c r="I78" s="3069">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3416</v>
      </c>
      <c r="D79" s="1002">
        <f t="shared" si="17"/>
        <v>5.7000000000000002E-3</v>
      </c>
      <c r="E79" s="705"/>
      <c r="F79" s="1675"/>
      <c r="G79" s="1000">
        <v>5.7000000000000002E-3</v>
      </c>
      <c r="H79" s="1003">
        <f t="shared" si="18"/>
        <v>5.7000000000000002E-3</v>
      </c>
      <c r="I79" s="3069">
        <v>0.12</v>
      </c>
      <c r="J79" s="1001">
        <f t="shared" si="19"/>
        <v>1.14E-2</v>
      </c>
      <c r="K79" s="1001">
        <f t="shared" si="20"/>
        <v>5.7000000000000002E-3</v>
      </c>
      <c r="L79" s="1001">
        <v>0</v>
      </c>
      <c r="M79" s="1001">
        <f t="shared" si="21"/>
        <v>-5.7000000000000002E-3</v>
      </c>
      <c r="N79" s="1001">
        <f t="shared" si="21"/>
        <v>-1.14E-2</v>
      </c>
      <c r="Z79" s="1845"/>
      <c r="AA79" s="1895"/>
      <c r="AG79" s="1058"/>
      <c r="AK79" s="1895"/>
    </row>
    <row r="80" spans="1:37" ht="24.75" thickBot="1">
      <c r="A80" s="1977" t="s">
        <v>2068</v>
      </c>
      <c r="B80" s="1981"/>
      <c r="C80" s="1887" t="s">
        <v>3416</v>
      </c>
      <c r="D80" s="1002">
        <f t="shared" si="17"/>
        <v>2.3999999999999998E-3</v>
      </c>
      <c r="E80" s="706"/>
      <c r="F80" s="1675"/>
      <c r="G80" s="1000">
        <v>2.3999999999999998E-3</v>
      </c>
      <c r="H80" s="1003">
        <f t="shared" si="18"/>
        <v>2.3999999999999998E-3</v>
      </c>
      <c r="I80" s="3070">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3283</v>
      </c>
      <c r="G92" s="2310" t="s">
        <v>1989</v>
      </c>
      <c r="H92" s="3090" t="s">
        <v>3287</v>
      </c>
      <c r="I92" s="2310" t="s">
        <v>2051</v>
      </c>
      <c r="J92" s="2150" t="s">
        <v>1721</v>
      </c>
      <c r="K92" s="2150" t="s">
        <v>1722</v>
      </c>
      <c r="L92" s="2150" t="s">
        <v>1723</v>
      </c>
      <c r="M92" s="2150" t="s">
        <v>1724</v>
      </c>
      <c r="N92" s="2150" t="s">
        <v>1725</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2053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2054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2056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2057</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2059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2060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2061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9" t="s">
        <v>3294</v>
      </c>
      <c r="B103" s="3459"/>
      <c r="C103" s="3459"/>
      <c r="D103" s="3459"/>
      <c r="E103" s="3459"/>
      <c r="F103" s="3459"/>
      <c r="G103" s="3459"/>
      <c r="H103" s="3459"/>
      <c r="I103" s="3459"/>
      <c r="J103" s="3459"/>
      <c r="K103" s="1667"/>
      <c r="L103" s="1667"/>
      <c r="M103" s="1667"/>
      <c r="N103" s="1667"/>
    </row>
    <row r="104" spans="1:14">
      <c r="A104" s="3460" t="s">
        <v>3295</v>
      </c>
      <c r="B104" s="3460" t="s">
        <v>3296</v>
      </c>
      <c r="C104" s="3091" t="s">
        <v>3297</v>
      </c>
      <c r="D104" s="3092"/>
      <c r="E104" s="3092"/>
      <c r="F104" s="3092"/>
      <c r="G104" s="3092"/>
      <c r="H104" s="3092"/>
      <c r="I104" s="3092"/>
      <c r="J104" s="3093"/>
      <c r="K104" s="3094"/>
      <c r="L104" s="3094"/>
      <c r="M104" s="3094"/>
      <c r="N104" s="3094"/>
    </row>
    <row r="105" spans="1:14">
      <c r="A105" s="3460"/>
      <c r="B105" s="3460"/>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461"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3311</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0.91379999999999995</v>
      </c>
      <c r="E116" s="162" t="s">
        <v>1936</v>
      </c>
      <c r="F116" s="3102" t="str">
        <f>E2</f>
        <v>住宅</v>
      </c>
      <c r="G116" s="162" t="s">
        <v>1937</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1990</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1991</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1992</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1993</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J23" xr:uid="{25A8D7C0-5837-40E2-90D3-62E1EB1E81C5}">
      <formula1>"不用分区数据,中心城区,中心城区以外"</formula1>
    </dataValidation>
    <dataValidation type="list" allowBlank="1" showInputMessage="1" showErrorMessage="1" sqref="H20:O20" xr:uid="{6F6202C8-49F7-4928-876F-9681AFAE6203}">
      <formula1>七通一平</formula1>
    </dataValidation>
    <dataValidation type="list" allowBlank="1" showInputMessage="1" showErrorMessage="1" sqref="H23" xr:uid="{9BE52498-0BDE-4255-BC24-80A56F75915D}">
      <formula1>"地价指数,季度增幅（自定义）,按公示增长率计算"</formula1>
    </dataValidation>
    <dataValidation type="list" allowBlank="1" showInputMessage="1" showErrorMessage="1" sqref="C61:C69 C72:C80 C50:C58 C83:C91 C93:C101" xr:uid="{A49A8887-A5B9-41C0-930B-B7D112708054}">
      <formula1>五等判定</formula1>
    </dataValidation>
    <dataValidation type="list" allowBlank="1" showInputMessage="1" showErrorMessage="1" sqref="E3" xr:uid="{7F5A3E26-2712-4447-AD87-422ECB42F855}">
      <formula1>二级分类</formula1>
    </dataValidation>
    <dataValidation type="list" allowBlank="1" showInputMessage="1" showErrorMessage="1" sqref="C8" xr:uid="{7018F802-3D59-4B78-A0B3-3621C892548E}">
      <formula1>商业街名称</formula1>
    </dataValidation>
    <dataValidation type="list" allowBlank="1" showInputMessage="1" showErrorMessage="1" sqref="F3" xr:uid="{7FBE71EB-18BD-4425-AB6B-E844A41829D9}">
      <formula1>"宗地容积率,估价对象容积率,自定义容积率"</formula1>
    </dataValidation>
    <dataValidation type="list" allowBlank="1" showInputMessage="1" showErrorMessage="1" sqref="E2" xr:uid="{E0507001-A73C-4713-B616-A4893552DFD5}">
      <formula1>"商业,办公,住宅,工业,公共服务"</formula1>
    </dataValidation>
    <dataValidation type="list" allowBlank="1" showInputMessage="1" showErrorMessage="1" sqref="F21" xr:uid="{7FCE90A0-E709-461A-AA8C-3BD32AD584E9}">
      <formula1>"与级别开发程度一致,与级别开发程度不一致"</formula1>
    </dataValidation>
    <dataValidation type="list" allowBlank="1" showInputMessage="1" showErrorMessage="1" sqref="B25" xr:uid="{A95C67BC-A9E9-4BC7-8BC1-8B90A11AAC32}">
      <formula1>"容积率修正,楼层修正"</formula1>
    </dataValidation>
    <dataValidation type="list" allowBlank="1" showInputMessage="1" showErrorMessage="1" sqref="C15:D15" xr:uid="{F1A61080-C804-437A-9032-1C86F1787610}">
      <formula1>"有,无"</formula1>
    </dataValidation>
    <dataValidation type="list" allowBlank="1" showInputMessage="1" showErrorMessage="1" sqref="E15" xr:uid="{8EB6D4E5-36D5-421C-947A-A0E96E606542}">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I1" zoomScaleNormal="80" zoomScaleSheetLayoutView="100" workbookViewId="0">
      <selection activeCell="C54" sqref="C5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21763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2449</v>
      </c>
      <c r="F3" s="1848" t="s">
        <v>3415</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17153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8"/>
      <c r="B4" s="3449"/>
      <c r="C4" s="3449"/>
      <c r="D4" s="3450"/>
      <c r="E4" s="3450"/>
      <c r="F4" s="3450"/>
      <c r="G4" s="3450"/>
      <c r="H4" s="3450"/>
      <c r="I4" s="3450"/>
      <c r="J4" s="3451"/>
      <c r="K4" s="1056"/>
      <c r="L4" s="1847" t="s">
        <v>1946</v>
      </c>
      <c r="M4" s="811">
        <f>SUMPRODUCT((区片价!B55:B86=I2)*(区片价!C3:G3=E2)*(区片价!C55:G86))</f>
        <v>16370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14497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16370</v>
      </c>
      <c r="D5" s="1252">
        <f>ROUND(C6*C17+C20,0)</f>
        <v>16370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12786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12288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1.6</v>
      </c>
      <c r="AA7" s="1133"/>
      <c r="AB7" s="1133"/>
      <c r="AC7" s="1134"/>
      <c r="AD7" s="1135"/>
      <c r="AE7" s="1135"/>
      <c r="AF7" s="1135"/>
      <c r="AG7" s="1135"/>
      <c r="AH7" s="1135"/>
      <c r="AI7" s="1135"/>
      <c r="AJ7" s="1136"/>
    </row>
    <row r="8" spans="1:36" ht="25.5">
      <c r="A8" s="3010"/>
      <c r="B8" s="162" t="s">
        <v>1957</v>
      </c>
      <c r="C8" s="1870" t="s">
        <v>3419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4"/>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5"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45702</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存贷款利率!E27/100</f>
        <v>4.3499999999999997E-2</v>
      </c>
      <c r="F24" s="1902" t="s">
        <v>1999</v>
      </c>
      <c r="G24" s="724">
        <f>SUMIF(M30:Q30,E2,M33:Q33)</f>
        <v>5.5E-2</v>
      </c>
      <c r="H24" s="1902" t="s">
        <v>2008</v>
      </c>
      <c r="I24" s="725">
        <f>SUMIF('数据-取费表'!C6:C15,E2,'数据-取费表'!F6:F15)/COUNTIF('数据-取费表'!C6:C15,E2)</f>
        <v>40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3418</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1.0924</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1.0641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2036</v>
      </c>
      <c r="C37" s="167">
        <f>ROUND(D5*C22*C23*C24*C28*F37,0)</f>
        <v>8694</v>
      </c>
      <c r="D37" s="1940"/>
      <c r="E37" s="163">
        <f>ROUND(C37*D37/10000,0)</f>
        <v>0</v>
      </c>
      <c r="F37" s="163">
        <f>SUMIF(修正!A57:A68,G2,修正!B57:B68)</f>
        <v>0.6</v>
      </c>
      <c r="G37" s="163">
        <f>ROUND(IF(E2="工业",C37*$M$42,C37*$M$41),0)</f>
        <v>2174</v>
      </c>
      <c r="H37" s="163">
        <f>D37</f>
        <v>0</v>
      </c>
      <c r="I37" s="163">
        <f>ROUND(G37*H37/10000,0)</f>
        <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f>ROUND(D5*C22*C23*C24*C28*F38,0)</f>
        <v>4347</v>
      </c>
      <c r="D38" s="1940"/>
      <c r="E38" s="163">
        <f t="shared" ref="E38:E42" si="4">ROUND(C38*D38/10000,0)</f>
        <v>0</v>
      </c>
      <c r="F38" s="163">
        <f>SUMIF(修正!A57:A68,G2,修正!C57:C68)</f>
        <v>0.3</v>
      </c>
      <c r="G38" s="163">
        <f>ROUND(IF(E2="工业",C38*$M$42,C38*$M$41),0)</f>
        <v>1087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3259</v>
      </c>
      <c r="C39" s="167">
        <f>ROUND(D5*C22*C23*C24*C28*F39,0)</f>
        <v>3623</v>
      </c>
      <c r="D39" s="1940"/>
      <c r="E39" s="163">
        <f t="shared" si="4"/>
        <v>0</v>
      </c>
      <c r="F39" s="163">
        <f>SUMIF(修正!A57:A68,G2,修正!D57:D68)</f>
        <v>0.25</v>
      </c>
      <c r="G39" s="163">
        <f>ROUND(IF(E2="工业",C39*$M$42,C39*$M$41),0)</f>
        <v>906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3623</v>
      </c>
      <c r="D40" s="1940"/>
      <c r="E40" s="163">
        <f t="shared" si="4"/>
        <v>0</v>
      </c>
      <c r="F40" s="167">
        <f>SUMIF(修正!A57:A68,G2,修正!E57:E68)</f>
        <v>0.25</v>
      </c>
      <c r="G40" s="163">
        <f>ROUND(IF(E2="工业",C40*$M$42,C40*$M$41),0)</f>
        <v>906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3623</v>
      </c>
      <c r="D41" s="1940"/>
      <c r="E41" s="163">
        <f t="shared" si="4"/>
        <v>0</v>
      </c>
      <c r="F41" s="167">
        <f>SUMIF(修正!A57:A68,G2,修正!F57:F68)</f>
        <v>0.25</v>
      </c>
      <c r="G41" s="163">
        <f>ROUND(IF(E2="工业",C41*$M$42,C41*$M$41),0)</f>
        <v>906</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2174</v>
      </c>
      <c r="D42" s="1945"/>
      <c r="E42" s="179">
        <f t="shared" si="4"/>
        <v>0</v>
      </c>
      <c r="F42" s="723">
        <f>SUMIF(修正!A57:A68,G2,修正!G57:G68)</f>
        <v>0.15</v>
      </c>
      <c r="G42" s="179">
        <f>ROUND(IF(E2="工业",C42*$M$42,C42*$M$41),0)</f>
        <v>544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5.5E-2</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1.0641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3416</v>
      </c>
      <c r="D50" s="1002">
        <f t="shared" ref="D50:D58" si="7">SUMIF($J$49:$N$49,C50,J50:N50)</f>
        <v>1.47E-2</v>
      </c>
      <c r="E50" s="702">
        <f>ROUND(SUM(D50:D58),4)</f>
        <v>6.4100000000000004E-2</v>
      </c>
      <c r="F50" s="1675">
        <f>IF(E2="商业",SUMIF(L1:L12,G2,N1:N12),"——")</f>
        <v>9.8000000000000004E-2</v>
      </c>
      <c r="G50" s="1000">
        <v>1.47E-2</v>
      </c>
      <c r="H50" s="1003">
        <f t="shared" ref="H50:H58" si="8">IFERROR(ROUNDDOWN($F$50*I50/2,4),"——")</f>
        <v>1.47E-2</v>
      </c>
      <c r="I50" s="3069">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3417</v>
      </c>
      <c r="D51" s="1002">
        <f t="shared" si="7"/>
        <v>2.1399999999999999E-2</v>
      </c>
      <c r="E51" s="703"/>
      <c r="F51" s="1675"/>
      <c r="G51" s="1000">
        <v>1.0699999999999999E-2</v>
      </c>
      <c r="H51" s="1003">
        <f t="shared" si="8"/>
        <v>1.0699999999999999E-2</v>
      </c>
      <c r="I51" s="3069">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3416</v>
      </c>
      <c r="D52" s="1002">
        <f t="shared" si="7"/>
        <v>5.7999999999999996E-3</v>
      </c>
      <c r="E52" s="703"/>
      <c r="F52" s="1675"/>
      <c r="G52" s="1000">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3416</v>
      </c>
      <c r="D53" s="1002">
        <f t="shared" si="7"/>
        <v>2.3999999999999998E-3</v>
      </c>
      <c r="E53" s="703"/>
      <c r="F53" s="1675"/>
      <c r="G53" s="1000">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3444</v>
      </c>
      <c r="D54" s="1002">
        <f t="shared" si="7"/>
        <v>0</v>
      </c>
      <c r="E54" s="703"/>
      <c r="F54" s="1675"/>
      <c r="G54" s="1000">
        <v>3.8999999999999998E-3</v>
      </c>
      <c r="H54" s="1003">
        <f t="shared" si="8"/>
        <v>3.8999999999999998E-3</v>
      </c>
      <c r="I54" s="3069">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3417</v>
      </c>
      <c r="D55" s="1002">
        <f t="shared" si="7"/>
        <v>4.7999999999999996E-3</v>
      </c>
      <c r="E55" s="703"/>
      <c r="F55" s="1675"/>
      <c r="G55" s="1000">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3417</v>
      </c>
      <c r="D56" s="1002">
        <f t="shared" si="7"/>
        <v>4.7999999999999996E-3</v>
      </c>
      <c r="E56" s="703"/>
      <c r="F56" s="1675"/>
      <c r="G56" s="1000">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3417</v>
      </c>
      <c r="D57" s="1002">
        <f t="shared" si="7"/>
        <v>7.7999999999999996E-3</v>
      </c>
      <c r="E57" s="703"/>
      <c r="F57" s="1675"/>
      <c r="G57" s="1000">
        <v>3.8999999999999998E-3</v>
      </c>
      <c r="H57" s="1003">
        <f t="shared" si="8"/>
        <v>3.8999999999999998E-3</v>
      </c>
      <c r="I57" s="3069">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3416</v>
      </c>
      <c r="D58" s="1002">
        <f t="shared" si="7"/>
        <v>2.3999999999999998E-3</v>
      </c>
      <c r="E58" s="704"/>
      <c r="F58" s="1675"/>
      <c r="G58" s="1000">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9" t="s">
        <v>3294</v>
      </c>
      <c r="B103" s="3459"/>
      <c r="C103" s="3459"/>
      <c r="D103" s="3459"/>
      <c r="E103" s="3459"/>
      <c r="F103" s="3459"/>
      <c r="G103" s="3459"/>
      <c r="H103" s="3459"/>
      <c r="I103" s="3459"/>
      <c r="J103" s="3459"/>
      <c r="K103" s="1667"/>
      <c r="L103" s="1667"/>
      <c r="M103" s="1667"/>
      <c r="N103" s="1667"/>
    </row>
    <row r="104" spans="1:14">
      <c r="A104" s="3460" t="s">
        <v>3295</v>
      </c>
      <c r="B104" s="3460" t="s">
        <v>3296</v>
      </c>
      <c r="C104" s="3091" t="s">
        <v>3297</v>
      </c>
      <c r="D104" s="3092"/>
      <c r="E104" s="3092"/>
      <c r="F104" s="3092"/>
      <c r="G104" s="3092"/>
      <c r="H104" s="3092"/>
      <c r="I104" s="3092"/>
      <c r="J104" s="3093"/>
      <c r="K104" s="3094"/>
      <c r="L104" s="3094"/>
      <c r="M104" s="3094"/>
      <c r="N104" s="3094"/>
    </row>
    <row r="105" spans="1:14">
      <c r="A105" s="3460"/>
      <c r="B105" s="3460"/>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61"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3311</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0.92659999999999998</v>
      </c>
      <c r="E116" s="162" t="s">
        <v>3314</v>
      </c>
      <c r="F116" s="3102" t="str">
        <f>E2</f>
        <v>商业</v>
      </c>
      <c r="G116" s="162" t="s">
        <v>3315</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3329</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3330</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3331</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8287-ED4D-4DFE-9A02-00B24A596F1F}">
  <sheetPr>
    <tabColor rgb="FF92D050"/>
  </sheetPr>
  <dimension ref="A1:AK122"/>
  <sheetViews>
    <sheetView view="pageBreakPreview" zoomScaleNormal="80" zoomScaleSheetLayoutView="100" workbookViewId="0">
      <selection activeCell="I34" sqref="I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27489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3420</v>
      </c>
      <c r="F3" s="1848" t="s">
        <v>3415</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21667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8"/>
      <c r="B4" s="3449"/>
      <c r="C4" s="3449"/>
      <c r="D4" s="3450"/>
      <c r="E4" s="3450"/>
      <c r="F4" s="3450"/>
      <c r="G4" s="3450"/>
      <c r="H4" s="3450"/>
      <c r="I4" s="3450"/>
      <c r="J4" s="3451"/>
      <c r="K4" s="1056"/>
      <c r="L4" s="1847" t="s">
        <v>1946</v>
      </c>
      <c r="M4" s="811">
        <f>SUMPRODUCT((区片价!B55:B86=I2)*(区片价!C3:G3=E2)*(区片价!C55:G86))</f>
        <v>16300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18312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17115</v>
      </c>
      <c r="D5" s="1252">
        <f>ROUND(C6*C17+C20,0)</f>
        <v>16300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16151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15521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1.6</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4"/>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1.05</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5"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45702</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存贷款利率!E27/100</f>
        <v>4.3499999999999997E-2</v>
      </c>
      <c r="F24" s="1902" t="s">
        <v>1999</v>
      </c>
      <c r="G24" s="724">
        <f>SUMIF(M30:Q30,E2,M33:Q33)</f>
        <v>5.5E-2</v>
      </c>
      <c r="H24" s="1902" t="s">
        <v>2008</v>
      </c>
      <c r="I24" s="725">
        <f>SUMIF('数据-取费表'!C6:C15,E2,'数据-取费表'!F6:F15)/COUNTIF('数据-取费表'!C6:C15,E2)</f>
        <v>50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1.1056999999999999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1.1056999999999999</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1.0690999999999999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20238</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5060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2036</v>
      </c>
      <c r="C37" s="167">
        <f>ROUND(D5*C22*C23*C24*C28*F37,0)</f>
        <v>10459</v>
      </c>
      <c r="D37" s="1940"/>
      <c r="E37" s="163">
        <f>ROUND(C37*D37/10000,0)</f>
        <v>0</v>
      </c>
      <c r="F37" s="163">
        <f>SUMIF(修正!A57:A68,G2,修正!B57:B68)</f>
        <v>0.6</v>
      </c>
      <c r="G37" s="163">
        <f>ROUND(IF(E2="工业",C37*$M$42,C37*$M$41),0)</f>
        <v>2615</v>
      </c>
      <c r="H37" s="163">
        <f>D37</f>
        <v>0</v>
      </c>
      <c r="I37" s="163">
        <f>ROUND(G37*H37/10000,0)</f>
        <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f>ROUND(D5*C22*C23*C24*C28*F38,0)</f>
        <v>5229</v>
      </c>
      <c r="D38" s="1940"/>
      <c r="E38" s="163">
        <f t="shared" ref="E38:E42" si="4">ROUND(C38*D38/10000,0)</f>
        <v>0</v>
      </c>
      <c r="F38" s="163">
        <f>SUMIF(修正!A57:A68,G2,修正!C57:C68)</f>
        <v>0.3</v>
      </c>
      <c r="G38" s="163">
        <f>ROUND(IF(E2="工业",C38*$M$42,C38*$M$41),0)</f>
        <v>1307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3259</v>
      </c>
      <c r="C39" s="167">
        <f>ROUND(D5*C22*C23*C24*C28*F39,0)</f>
        <v>4358</v>
      </c>
      <c r="D39" s="1940"/>
      <c r="E39" s="163">
        <f t="shared" si="4"/>
        <v>0</v>
      </c>
      <c r="F39" s="163">
        <f>SUMIF(修正!A57:A68,G2,修正!D57:D68)</f>
        <v>0.25</v>
      </c>
      <c r="G39" s="163">
        <f>ROUND(IF(E2="工业",C39*$M$42,C39*$M$41),0)</f>
        <v>1090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4358</v>
      </c>
      <c r="D40" s="1940"/>
      <c r="E40" s="163">
        <f t="shared" si="4"/>
        <v>0</v>
      </c>
      <c r="F40" s="167">
        <f>SUMIF(修正!A57:A68,G2,修正!E57:E68)</f>
        <v>0.25</v>
      </c>
      <c r="G40" s="163">
        <f>ROUND(IF(E2="工业",C40*$M$42,C40*$M$41),0)</f>
        <v>1090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4358</v>
      </c>
      <c r="D41" s="1940"/>
      <c r="E41" s="163">
        <f t="shared" si="4"/>
        <v>0</v>
      </c>
      <c r="F41" s="167">
        <f>SUMIF(修正!A57:A68,G2,修正!F57:F68)</f>
        <v>0.25</v>
      </c>
      <c r="G41" s="163">
        <f>ROUND(IF(E2="工业",C41*$M$42,C41*$M$41),0)</f>
        <v>1090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2615</v>
      </c>
      <c r="D42" s="1945"/>
      <c r="E42" s="179">
        <f t="shared" si="4"/>
        <v>0</v>
      </c>
      <c r="F42" s="723">
        <f>SUMIF(修正!A57:A68,G2,修正!G57:G68)</f>
        <v>0.15</v>
      </c>
      <c r="G42" s="179">
        <f>ROUND(IF(E2="工业",C42*$M$42,C42*$M$41),0)</f>
        <v>654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5.5E-2</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1.0690999999999999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3416</v>
      </c>
      <c r="D61" s="1002">
        <f t="shared" ref="D61:D69" si="12">SUMIF($J$60:$N$60,C61,J61:N61)</f>
        <v>1.2200000000000001E-2</v>
      </c>
      <c r="E61" s="702">
        <f>ROUND(SUM(D61:D69),4)</f>
        <v>6.9099999999999995E-2</v>
      </c>
      <c r="F61" s="1675">
        <f>IF(E2="办公",SUMIF(L1:L12,G2,N1:N12),"——")</f>
        <v>9.8000000000000004E-2</v>
      </c>
      <c r="G61" s="1000">
        <v>1.2200000000000001E-2</v>
      </c>
      <c r="H61" s="1003">
        <f t="shared" ref="H61:H69" si="13">IFERROR(ROUNDDOWN($F$61*I61/2,4),"——")</f>
        <v>1.2200000000000001E-2</v>
      </c>
      <c r="I61" s="3069">
        <v>0.25</v>
      </c>
      <c r="J61" s="1001">
        <f t="shared" ref="J61:J69" si="14">K61+$G61</f>
        <v>2.4400000000000002E-2</v>
      </c>
      <c r="K61" s="1001">
        <f t="shared" ref="K61:K69" si="15">$L61+$G61</f>
        <v>1.2200000000000001E-2</v>
      </c>
      <c r="L61" s="1001">
        <v>0</v>
      </c>
      <c r="M61" s="1001">
        <f t="shared" ref="M61:N69" si="16">L61-$G61</f>
        <v>-1.2200000000000001E-2</v>
      </c>
      <c r="N61" s="1001">
        <f t="shared" si="16"/>
        <v>-2.4400000000000002E-2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3417</v>
      </c>
      <c r="D62" s="1002">
        <f t="shared" si="12"/>
        <v>2.5399999999999999E-2</v>
      </c>
      <c r="E62" s="703"/>
      <c r="F62" s="1675"/>
      <c r="G62" s="1000">
        <v>1.2699999999999999E-2</v>
      </c>
      <c r="H62" s="1003">
        <f t="shared" si="13"/>
        <v>1.2699999999999999E-2</v>
      </c>
      <c r="I62" s="3069">
        <v>0.26</v>
      </c>
      <c r="J62" s="1001">
        <f t="shared" si="14"/>
        <v>2.5399999999999999E-2</v>
      </c>
      <c r="K62" s="1001">
        <f t="shared" si="15"/>
        <v>1.2699999999999999E-2</v>
      </c>
      <c r="L62" s="1001">
        <v>0</v>
      </c>
      <c r="M62" s="1001">
        <f t="shared" si="16"/>
        <v>-1.2699999999999999E-2</v>
      </c>
      <c r="N62" s="1001">
        <f t="shared" si="16"/>
        <v>-2.5399999999999999E-2</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t="s">
        <v>3416</v>
      </c>
      <c r="D63" s="1002">
        <f t="shared" si="12"/>
        <v>5.3E-3</v>
      </c>
      <c r="E63" s="703"/>
      <c r="F63" s="1675"/>
      <c r="G63" s="1000">
        <v>5.3E-3</v>
      </c>
      <c r="H63" s="1003">
        <f t="shared" si="13"/>
        <v>5.3E-3</v>
      </c>
      <c r="I63" s="3069">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6.75">
      <c r="A64" s="1970" t="s">
        <v>2054</v>
      </c>
      <c r="B64" s="1974" t="s">
        <v>2055</v>
      </c>
      <c r="C64" s="1887" t="s">
        <v>3416</v>
      </c>
      <c r="D64" s="1002">
        <f t="shared" si="12"/>
        <v>2.3999999999999998E-3</v>
      </c>
      <c r="E64" s="703"/>
      <c r="F64" s="1675"/>
      <c r="G64" s="1000">
        <v>2.3999999999999998E-3</v>
      </c>
      <c r="H64" s="1003">
        <f t="shared" si="13"/>
        <v>2.3999999999999998E-3</v>
      </c>
      <c r="I64" s="3069">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3444</v>
      </c>
      <c r="D65" s="1002">
        <f t="shared" si="12"/>
        <v>0</v>
      </c>
      <c r="E65" s="703"/>
      <c r="F65" s="1675"/>
      <c r="G65" s="1000">
        <v>2.3999999999999998E-3</v>
      </c>
      <c r="H65" s="1003">
        <f t="shared" si="13"/>
        <v>2.3999999999999998E-3</v>
      </c>
      <c r="I65" s="3069">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70" t="s">
        <v>2057</v>
      </c>
      <c r="B66" s="1975" t="s">
        <v>2058</v>
      </c>
      <c r="C66" s="1887" t="s">
        <v>3417</v>
      </c>
      <c r="D66" s="1002">
        <f t="shared" si="12"/>
        <v>5.7999999999999996E-3</v>
      </c>
      <c r="E66" s="703"/>
      <c r="F66" s="1675"/>
      <c r="G66" s="1000">
        <v>2.8999999999999998E-3</v>
      </c>
      <c r="H66" s="1003">
        <f t="shared" si="13"/>
        <v>2.8999999999999998E-3</v>
      </c>
      <c r="I66" s="3069">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3417</v>
      </c>
      <c r="D67" s="1002">
        <f t="shared" si="12"/>
        <v>5.7999999999999996E-3</v>
      </c>
      <c r="E67" s="703"/>
      <c r="F67" s="1675"/>
      <c r="G67" s="1000">
        <v>2.8999999999999998E-3</v>
      </c>
      <c r="H67" s="1003">
        <f t="shared" si="13"/>
        <v>2.8999999999999998E-3</v>
      </c>
      <c r="I67" s="3069">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3417</v>
      </c>
      <c r="D68" s="1002">
        <f t="shared" si="12"/>
        <v>8.8000000000000005E-3</v>
      </c>
      <c r="E68" s="703"/>
      <c r="F68" s="1675"/>
      <c r="G68" s="1000">
        <v>4.4000000000000003E-3</v>
      </c>
      <c r="H68" s="1003">
        <f t="shared" si="13"/>
        <v>4.4000000000000003E-3</v>
      </c>
      <c r="I68" s="3069">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3416</v>
      </c>
      <c r="D69" s="1002">
        <f t="shared" si="12"/>
        <v>3.3999999999999998E-3</v>
      </c>
      <c r="E69" s="704"/>
      <c r="F69" s="1675"/>
      <c r="G69" s="1000">
        <v>3.3999999999999998E-3</v>
      </c>
      <c r="H69" s="1003">
        <f t="shared" si="13"/>
        <v>3.3999999999999998E-3</v>
      </c>
      <c r="I69" s="3070">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3283</v>
      </c>
      <c r="G92" s="2310" t="s">
        <v>1989</v>
      </c>
      <c r="H92" s="3090" t="s">
        <v>3287</v>
      </c>
      <c r="I92" s="2310" t="s">
        <v>2051</v>
      </c>
      <c r="J92" s="2150" t="s">
        <v>1721</v>
      </c>
      <c r="K92" s="2150" t="s">
        <v>1722</v>
      </c>
      <c r="L92" s="2150" t="s">
        <v>1723</v>
      </c>
      <c r="M92" s="2150" t="s">
        <v>1724</v>
      </c>
      <c r="N92" s="2150" t="s">
        <v>1725</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2053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2054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2056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2057</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2059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2060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2061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9" t="s">
        <v>3294</v>
      </c>
      <c r="B103" s="3459"/>
      <c r="C103" s="3459"/>
      <c r="D103" s="3459"/>
      <c r="E103" s="3459"/>
      <c r="F103" s="3459"/>
      <c r="G103" s="3459"/>
      <c r="H103" s="3459"/>
      <c r="I103" s="3459"/>
      <c r="J103" s="3459"/>
      <c r="K103" s="1667"/>
      <c r="L103" s="1667"/>
      <c r="M103" s="1667"/>
      <c r="N103" s="1667"/>
    </row>
    <row r="104" spans="1:14">
      <c r="A104" s="3460" t="s">
        <v>3295</v>
      </c>
      <c r="B104" s="3460" t="s">
        <v>3296</v>
      </c>
      <c r="C104" s="3091" t="s">
        <v>3297</v>
      </c>
      <c r="D104" s="3092"/>
      <c r="E104" s="3092"/>
      <c r="F104" s="3092"/>
      <c r="G104" s="3092"/>
      <c r="H104" s="3092"/>
      <c r="I104" s="3092"/>
      <c r="J104" s="3093"/>
      <c r="K104" s="3094"/>
      <c r="L104" s="3094"/>
      <c r="M104" s="3094"/>
      <c r="N104" s="3094"/>
    </row>
    <row r="105" spans="1:14">
      <c r="A105" s="3460"/>
      <c r="B105" s="3460"/>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461"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3311</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0.91879999999999995</v>
      </c>
      <c r="E116" s="162" t="s">
        <v>1936</v>
      </c>
      <c r="F116" s="3102" t="str">
        <f>E2</f>
        <v>办公</v>
      </c>
      <c r="G116" s="162" t="s">
        <v>1937</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1990</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1991</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1992</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1993</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xr:uid="{33C6B64C-B544-493C-B4B2-5C26BE5C6C5E}">
      <formula1>"不用分区数据,中心城区,中心城区以外"</formula1>
    </dataValidation>
    <dataValidation type="list" allowBlank="1" showInputMessage="1" showErrorMessage="1" sqref="H20:O20" xr:uid="{1E18504B-EC38-4653-9970-D04E65951E63}">
      <formula1>七通一平</formula1>
    </dataValidation>
    <dataValidation type="list" allowBlank="1" showInputMessage="1" showErrorMessage="1" sqref="H23" xr:uid="{F17A5F95-7391-4C95-B97B-9DDA1ED6653B}">
      <formula1>"地价指数,季度增幅（自定义）,按公示增长率计算"</formula1>
    </dataValidation>
    <dataValidation type="list" allowBlank="1" showInputMessage="1" showErrorMessage="1" sqref="C61:C69 C72:C80 C50:C58 C83:C91 C93:C101" xr:uid="{7EBA04CC-2C66-4D70-8E37-29CC32B245E6}">
      <formula1>五等判定</formula1>
    </dataValidation>
    <dataValidation type="list" allowBlank="1" showInputMessage="1" showErrorMessage="1" sqref="E3" xr:uid="{07D250DD-ADB8-4506-BC7E-D415886CF0F8}">
      <formula1>二级分类</formula1>
    </dataValidation>
    <dataValidation type="list" allowBlank="1" showInputMessage="1" showErrorMessage="1" sqref="C8" xr:uid="{8464ECB7-92C1-4392-B475-BEE7AFB38FB9}">
      <formula1>商业街名称</formula1>
    </dataValidation>
    <dataValidation type="list" allowBlank="1" showInputMessage="1" showErrorMessage="1" sqref="F3" xr:uid="{43364EA9-BE18-4315-9663-A601C5D15DF0}">
      <formula1>"宗地容积率,估价对象容积率,自定义容积率"</formula1>
    </dataValidation>
    <dataValidation type="list" allowBlank="1" showInputMessage="1" showErrorMessage="1" sqref="E2" xr:uid="{EC7EA970-E83A-44F5-8CEF-5F6B6FD29E8E}">
      <formula1>"商业,办公,住宅,工业,公共服务"</formula1>
    </dataValidation>
    <dataValidation type="list" allowBlank="1" showInputMessage="1" showErrorMessage="1" sqref="F21" xr:uid="{A8C6B4E0-1B5E-452C-B968-8E2D4D37A5EC}">
      <formula1>"与级别开发程度一致,与级别开发程度不一致"</formula1>
    </dataValidation>
    <dataValidation type="list" allowBlank="1" showInputMessage="1" showErrorMessage="1" sqref="B25" xr:uid="{6BE8269F-25D4-48F9-90CA-B29F1564AEC8}">
      <formula1>"容积率修正,楼层修正"</formula1>
    </dataValidation>
    <dataValidation type="list" allowBlank="1" showInputMessage="1" showErrorMessage="1" sqref="C15:D15" xr:uid="{98C4DFDA-980E-4C43-AA6F-E95D8E8900F5}">
      <formula1>"有,无"</formula1>
    </dataValidation>
    <dataValidation type="list" allowBlank="1" showInputMessage="1" showErrorMessage="1" sqref="E15" xr:uid="{51FA9142-DED5-4A36-A99B-B573097C15FA}">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84E29-FEE7-4507-9F1B-A54326BC4B1C}">
  <sheetPr>
    <tabColor rgb="FF92D050"/>
  </sheetPr>
  <dimension ref="A1:AK122"/>
  <sheetViews>
    <sheetView view="pageBreakPreview" zoomScaleNormal="80" zoomScaleSheetLayoutView="100" workbookViewId="0">
      <selection activeCell="C34" sqref="C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7578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2498</v>
      </c>
      <c r="F3" s="1848" t="s">
        <v>3415</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5973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8"/>
      <c r="B4" s="3449"/>
      <c r="C4" s="3449"/>
      <c r="D4" s="3450"/>
      <c r="E4" s="3450"/>
      <c r="F4" s="3450"/>
      <c r="G4" s="3450"/>
      <c r="H4" s="3450"/>
      <c r="I4" s="3450"/>
      <c r="J4" s="3451"/>
      <c r="K4" s="1056"/>
      <c r="L4" s="1847" t="s">
        <v>1946</v>
      </c>
      <c r="M4" s="811">
        <f>SUMPRODUCT((区片价!B55:B86=I2)*(区片价!C3:G3=E2)*(区片价!C55:G86))</f>
        <v>4390</v>
      </c>
      <c r="N4" s="813">
        <f>SUMPRODUCT((因素修正幅度!B55:B86=I2)*(因素修正幅度!C3:G3=E2)*(因素修正幅度!C55:G86))</f>
        <v>0.1</v>
      </c>
      <c r="O4" s="1056"/>
      <c r="P4" s="1056"/>
      <c r="Q4" s="1056"/>
      <c r="R4" s="1129">
        <v>3</v>
      </c>
      <c r="S4" s="3064">
        <f>ROUND(SUMPRODUCT((B106:B110=R4)*(C105:N105=G2)*(C106:N110)),4)</f>
        <v>1.0004999999999999</v>
      </c>
      <c r="T4" s="3064">
        <f t="shared" si="0"/>
        <v>5048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4390</v>
      </c>
      <c r="D5" s="1252">
        <f>ROUND(C6*C17+C20,0)</f>
        <v>4390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4452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4390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4278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1.6</v>
      </c>
      <c r="AA7" s="1133"/>
      <c r="AB7" s="1133"/>
      <c r="AC7" s="1134"/>
      <c r="AD7" s="1135"/>
      <c r="AE7" s="1135"/>
      <c r="AF7" s="1135"/>
      <c r="AG7" s="1135"/>
      <c r="AH7" s="1135"/>
      <c r="AI7" s="1135"/>
      <c r="AJ7" s="1136"/>
    </row>
    <row r="8" spans="1:36" ht="25.5">
      <c r="A8" s="3010"/>
      <c r="B8" s="162" t="s">
        <v>1957</v>
      </c>
      <c r="C8" s="1870" t="s">
        <v>3419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4"/>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3413</v>
      </c>
      <c r="D15" s="1887" t="s">
        <v>3413</v>
      </c>
      <c r="E15" s="1888" t="s">
        <v>3414</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5"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6"/>
      <c r="B21" s="2002" t="s">
        <v>1997</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3412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45702</v>
      </c>
      <c r="H23" s="3049" t="s">
        <v>3256</v>
      </c>
      <c r="I23" s="3050" t="str">
        <f>IF(H23="季度增幅（自定义）",SUMIF(N25:N28,E2,O25:O28),"")</f>
        <v/>
      </c>
      <c r="J23" s="3142" t="s">
        <v>3255</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存贷款利率!E27/100</f>
        <v>4.3499999999999997E-2</v>
      </c>
      <c r="F24" s="1902" t="s">
        <v>1999</v>
      </c>
      <c r="G24" s="724">
        <f>SUMIF(M30:Q30,E2,M33:Q33)</f>
        <v>0.05</v>
      </c>
      <c r="H24" s="1902" t="s">
        <v>2008</v>
      </c>
      <c r="I24" s="725">
        <f>SUMIF('数据-取费表'!C6:C15,E2,'数据-取费表'!F6:F15)/COUNTIF('数据-取费表'!C6:C15,E2)</f>
        <v>50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0.97950000000000004</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0.97950000000000004</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0.97950000000000004</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0.97950000000000004</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1.0615000000000001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4942</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741</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2036</v>
      </c>
      <c r="C37" s="167">
        <f>ROUND(D5*C22*C23*C24*C28*F37,0)</f>
        <v>3027</v>
      </c>
      <c r="D37" s="1940"/>
      <c r="E37" s="163">
        <f>ROUND(C37*D37/10000,0)</f>
        <v>0</v>
      </c>
      <c r="F37" s="163">
        <f>SUMIF(修正!A57:A68,G2,修正!B57:B68)</f>
        <v>0.6</v>
      </c>
      <c r="G37" s="163">
        <f>ROUND(IF(E2="工业",C37*$M$42,C37*$M$41),0)</f>
        <v>454</v>
      </c>
      <c r="H37" s="163">
        <f>D37</f>
        <v>0</v>
      </c>
      <c r="I37" s="163">
        <f>ROUND(G37*H37/10000,0)</f>
        <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f>ROUND(D5*C22*C23*C24*C28*F38,0)</f>
        <v>1514</v>
      </c>
      <c r="D38" s="1940"/>
      <c r="E38" s="163">
        <f t="shared" ref="E38:E42" si="4">ROUND(C38*D38/10000,0)</f>
        <v>0</v>
      </c>
      <c r="F38" s="163">
        <f>SUMIF(修正!A57:A68,G2,修正!C57:C68)</f>
        <v>0.3</v>
      </c>
      <c r="G38" s="163">
        <f>ROUND(IF(E2="工业",C38*$M$42,C38*$M$41),0)</f>
        <v>227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3259</v>
      </c>
      <c r="C39" s="167">
        <f>ROUND(D5*C22*C23*C24*C28*F39,0)</f>
        <v>1261</v>
      </c>
      <c r="D39" s="1940"/>
      <c r="E39" s="163">
        <f t="shared" si="4"/>
        <v>0</v>
      </c>
      <c r="F39" s="163">
        <f>SUMIF(修正!A57:A68,G2,修正!D57:D68)</f>
        <v>0.25</v>
      </c>
      <c r="G39" s="163">
        <f>ROUND(IF(E2="工业",C39*$M$42,C39*$M$41),0)</f>
        <v>189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1261</v>
      </c>
      <c r="D40" s="1940"/>
      <c r="E40" s="163">
        <f t="shared" si="4"/>
        <v>0</v>
      </c>
      <c r="F40" s="167">
        <f>SUMIF(修正!A57:A68,G2,修正!E57:E68)</f>
        <v>0.25</v>
      </c>
      <c r="G40" s="163">
        <f>ROUND(IF(E2="工业",C40*$M$42,C40*$M$41),0)</f>
        <v>189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1261</v>
      </c>
      <c r="D41" s="1940"/>
      <c r="E41" s="163">
        <f t="shared" si="4"/>
        <v>0</v>
      </c>
      <c r="F41" s="167">
        <f>SUMIF(修正!A57:A68,G2,修正!F57:F68)</f>
        <v>0.25</v>
      </c>
      <c r="G41" s="163">
        <f>ROUND(IF(E2="工业",C41*$M$42,C41*$M$41),0)</f>
        <v>189</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757</v>
      </c>
      <c r="D42" s="1945"/>
      <c r="E42" s="179">
        <f t="shared" si="4"/>
        <v>0</v>
      </c>
      <c r="F42" s="723">
        <f>SUMIF(修正!A57:A68,G2,修正!G57:G68)</f>
        <v>0.15</v>
      </c>
      <c r="G42" s="179">
        <f>ROUND(IF(E2="工业",C42*$M$42,C42*$M$41),0)</f>
        <v>114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75" hidden="1" thickBot="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5" hidden="1" thickBot="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 hidden="1" thickBot="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9" hidden="1" thickBot="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75" hidden="1" thickBot="1">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5" hidden="1" thickBot="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75" hidden="1" thickBot="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75" hidden="1" thickBot="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25" hidden="1" thickBot="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25" hidden="1" thickBot="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75" hidden="1" thickBot="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5" hidden="1" thickBot="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 hidden="1" thickBot="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9" hidden="1" thickBot="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75" hidden="1" thickBot="1">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5" hidden="1" thickBot="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75" hidden="1" thickBot="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75" hidden="1" thickBot="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25" hidden="1" thickBot="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25" hidden="1" thickBot="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1.0707</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t="s">
        <v>3416</v>
      </c>
      <c r="D72" s="1002">
        <f t="shared" ref="D72:D80" si="17">SUMIF($J$71:$N$71,C72,J72:N72)</f>
        <v>9.5999999999999992E-3</v>
      </c>
      <c r="E72" s="702">
        <f>ROUND(SUM(D72:D80),4)</f>
        <v>7.0699999999999999E-2</v>
      </c>
      <c r="F72" s="1675" t="str">
        <f>IF(E2="住宅",SUMIF(L1:L12,G2,N1:N12),"——")</f>
        <v>——</v>
      </c>
      <c r="G72" s="1000">
        <v>9.5999999999999992E-3</v>
      </c>
      <c r="H72" s="1003" t="str">
        <f t="shared" ref="H72:H80" si="18">IFERROR(ROUNDDOWN($F$72*I72/2,4),"——")</f>
        <v>——</v>
      </c>
      <c r="I72" s="3069">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t="s">
        <v>3417</v>
      </c>
      <c r="D73" s="1002">
        <f t="shared" si="17"/>
        <v>2.4799999999999999E-2</v>
      </c>
      <c r="E73" s="705"/>
      <c r="F73" s="1675"/>
      <c r="G73" s="1000">
        <v>1.24E-2</v>
      </c>
      <c r="H73" s="1003" t="str">
        <f t="shared" si="18"/>
        <v>——</v>
      </c>
      <c r="I73" s="3069">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4" customFormat="1" ht="36" hidden="1">
      <c r="A74" s="3071" t="s">
        <v>3269</v>
      </c>
      <c r="B74" s="1262">
        <f>估价对象房地状况!C19</f>
        <v>0</v>
      </c>
      <c r="C74" s="1887" t="s">
        <v>3416</v>
      </c>
      <c r="D74" s="1002">
        <f t="shared" si="17"/>
        <v>4.7999999999999996E-3</v>
      </c>
      <c r="E74" s="705"/>
      <c r="F74" s="1675"/>
      <c r="G74" s="1000">
        <v>4.7999999999999996E-3</v>
      </c>
      <c r="H74" s="1003" t="str">
        <f t="shared" si="18"/>
        <v>——</v>
      </c>
      <c r="I74" s="3069">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t="s">
        <v>3416</v>
      </c>
      <c r="D75" s="1002">
        <f t="shared" si="17"/>
        <v>2.3999999999999998E-3</v>
      </c>
      <c r="E75" s="705"/>
      <c r="F75" s="1675"/>
      <c r="G75" s="1000">
        <v>2.3999999999999998E-3</v>
      </c>
      <c r="H75" s="1003" t="str">
        <f t="shared" si="18"/>
        <v>——</v>
      </c>
      <c r="I75" s="3069">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hidden="1">
      <c r="A76" s="1970" t="s">
        <v>2059</v>
      </c>
      <c r="B76" s="1240" t="str">
        <f>估价对象房地状况!C21</f>
        <v>估价对象所在区域公共配套设施齐备情况</v>
      </c>
      <c r="C76" s="1887" t="s">
        <v>3417</v>
      </c>
      <c r="D76" s="1002">
        <f t="shared" si="17"/>
        <v>7.6E-3</v>
      </c>
      <c r="E76" s="705"/>
      <c r="F76" s="1675"/>
      <c r="G76" s="1000">
        <v>3.8E-3</v>
      </c>
      <c r="H76" s="1003" t="str">
        <f t="shared" si="18"/>
        <v>——</v>
      </c>
      <c r="I76" s="3069">
        <v>0.08</v>
      </c>
      <c r="J76" s="1001">
        <f t="shared" si="19"/>
        <v>7.6E-3</v>
      </c>
      <c r="K76" s="1001">
        <f t="shared" si="20"/>
        <v>3.8E-3</v>
      </c>
      <c r="L76" s="1001">
        <v>0</v>
      </c>
      <c r="M76" s="1001">
        <f t="shared" si="21"/>
        <v>-3.8E-3</v>
      </c>
      <c r="N76" s="1001">
        <f t="shared" si="21"/>
        <v>-7.6E-3</v>
      </c>
      <c r="O76" s="1056"/>
      <c r="P76" s="1056"/>
      <c r="Z76" s="1845"/>
      <c r="AA76" s="1895"/>
      <c r="AG76" s="1058"/>
      <c r="AK76" s="1895"/>
    </row>
    <row r="77" spans="1:37" ht="25.5" hidden="1">
      <c r="A77" s="1970" t="s">
        <v>2060</v>
      </c>
      <c r="B77" s="1240" t="str">
        <f>估价对象房地状况!C22</f>
        <v>估价对象所在区域基础设施水平</v>
      </c>
      <c r="C77" s="1887" t="s">
        <v>3417</v>
      </c>
      <c r="D77" s="1002">
        <f t="shared" si="17"/>
        <v>8.6E-3</v>
      </c>
      <c r="E77" s="705"/>
      <c r="F77" s="1675"/>
      <c r="G77" s="1000">
        <v>4.3E-3</v>
      </c>
      <c r="H77" s="1003" t="str">
        <f t="shared" si="18"/>
        <v>——</v>
      </c>
      <c r="I77" s="3069">
        <v>0.09</v>
      </c>
      <c r="J77" s="1001">
        <f t="shared" si="19"/>
        <v>8.6E-3</v>
      </c>
      <c r="K77" s="1001">
        <f t="shared" si="20"/>
        <v>4.3E-3</v>
      </c>
      <c r="L77" s="1001">
        <v>0</v>
      </c>
      <c r="M77" s="1001">
        <f t="shared" si="21"/>
        <v>-4.3E-3</v>
      </c>
      <c r="N77" s="1001">
        <f t="shared" si="21"/>
        <v>-8.6E-3</v>
      </c>
      <c r="O77" s="1056"/>
      <c r="P77" s="1056"/>
      <c r="Z77" s="1845"/>
      <c r="AA77" s="1895"/>
      <c r="AG77" s="1058"/>
      <c r="AK77" s="1895"/>
    </row>
    <row r="78" spans="1:37" ht="24" hidden="1">
      <c r="A78" s="1970" t="s">
        <v>2057</v>
      </c>
      <c r="B78" s="1975" t="s">
        <v>2058</v>
      </c>
      <c r="C78" s="1887" t="s">
        <v>3417</v>
      </c>
      <c r="D78" s="1002">
        <f t="shared" si="17"/>
        <v>4.7999999999999996E-3</v>
      </c>
      <c r="E78" s="705"/>
      <c r="F78" s="1675"/>
      <c r="G78" s="1000">
        <v>2.3999999999999998E-3</v>
      </c>
      <c r="H78" s="1003" t="str">
        <f t="shared" si="18"/>
        <v>——</v>
      </c>
      <c r="I78" s="3069">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hidden="1">
      <c r="A79" s="1970" t="s">
        <v>2061</v>
      </c>
      <c r="B79" s="1973" t="str">
        <f>估价对象房地状况!C20</f>
        <v>区域自然环境：；人文环境；综合评价环境状况一般</v>
      </c>
      <c r="C79" s="1887" t="s">
        <v>3416</v>
      </c>
      <c r="D79" s="1002">
        <f t="shared" si="17"/>
        <v>5.7000000000000002E-3</v>
      </c>
      <c r="E79" s="705"/>
      <c r="F79" s="1675"/>
      <c r="G79" s="1000">
        <v>5.7000000000000002E-3</v>
      </c>
      <c r="H79" s="1003" t="str">
        <f t="shared" si="18"/>
        <v>——</v>
      </c>
      <c r="I79" s="3069">
        <v>0.12</v>
      </c>
      <c r="J79" s="1001">
        <f t="shared" si="19"/>
        <v>1.14E-2</v>
      </c>
      <c r="K79" s="1001">
        <f t="shared" si="20"/>
        <v>5.7000000000000002E-3</v>
      </c>
      <c r="L79" s="1001">
        <v>0</v>
      </c>
      <c r="M79" s="1001">
        <f t="shared" si="21"/>
        <v>-5.7000000000000002E-3</v>
      </c>
      <c r="N79" s="1001">
        <f t="shared" si="21"/>
        <v>-1.14E-2</v>
      </c>
      <c r="Z79" s="1845"/>
      <c r="AA79" s="1895"/>
      <c r="AG79" s="1058"/>
      <c r="AK79" s="1895"/>
    </row>
    <row r="80" spans="1:37" ht="24.75" hidden="1" thickBot="1">
      <c r="A80" s="1977" t="s">
        <v>2068</v>
      </c>
      <c r="B80" s="1981"/>
      <c r="C80" s="1887" t="s">
        <v>3416</v>
      </c>
      <c r="D80" s="1002">
        <f t="shared" si="17"/>
        <v>2.3999999999999998E-3</v>
      </c>
      <c r="E80" s="706"/>
      <c r="F80" s="1675"/>
      <c r="G80" s="1000">
        <v>2.3999999999999998E-3</v>
      </c>
      <c r="H80" s="1003" t="str">
        <f t="shared" si="18"/>
        <v>——</v>
      </c>
      <c r="I80" s="3070">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1.0615000000000001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3444</v>
      </c>
      <c r="D83" s="1002">
        <f t="shared" ref="D83:D90" si="22">SUMIF($J$82:$N$82,C83,J83:N83)</f>
        <v>0</v>
      </c>
      <c r="E83" s="702">
        <f>ROUND(SUM(D83:D90),4)</f>
        <v>6.1499999999999999E-2</v>
      </c>
      <c r="F83" s="1675">
        <f>IF(E2="工业",SUMIF(L1:L12,G2,N1:N12),"——")</f>
        <v>0.1</v>
      </c>
      <c r="G83" s="1000">
        <v>1.2999999999999999E-2</v>
      </c>
      <c r="H83" s="1003">
        <f t="shared" ref="H83:H90" si="23">IFERROR(ROUNDDOWN($F$83*I83/2,4),"——")</f>
        <v>1.2999999999999999E-2</v>
      </c>
      <c r="I83" s="3069">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3417</v>
      </c>
      <c r="D84" s="1002">
        <f t="shared" si="22"/>
        <v>0.03</v>
      </c>
      <c r="E84" s="705"/>
      <c r="F84" s="1675"/>
      <c r="G84" s="1000">
        <v>1.4999999999999999E-2</v>
      </c>
      <c r="H84" s="1003">
        <f t="shared" si="23"/>
        <v>1.4999999999999999E-2</v>
      </c>
      <c r="I84" s="3069">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36">
      <c r="A85" s="3071" t="s">
        <v>3269</v>
      </c>
      <c r="B85" s="1262">
        <f>估价对象房地状况!G17</f>
        <v>0</v>
      </c>
      <c r="C85" s="1887" t="s">
        <v>3416</v>
      </c>
      <c r="D85" s="1002">
        <f t="shared" si="22"/>
        <v>5.0000000000000001E-3</v>
      </c>
      <c r="E85" s="705"/>
      <c r="F85" s="1675"/>
      <c r="G85" s="1000">
        <v>5.0000000000000001E-3</v>
      </c>
      <c r="H85" s="1003">
        <f t="shared" si="23"/>
        <v>5.0000000000000001E-3</v>
      </c>
      <c r="I85" s="3069">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4.25">
      <c r="A86" s="1970" t="s">
        <v>2067</v>
      </c>
      <c r="B86" s="1262">
        <f>估价对象房地状况!G22</f>
        <v>0</v>
      </c>
      <c r="C86" s="1887" t="s">
        <v>3444</v>
      </c>
      <c r="D86" s="1002">
        <f t="shared" si="22"/>
        <v>0</v>
      </c>
      <c r="E86" s="705"/>
      <c r="F86" s="1675"/>
      <c r="G86" s="1000">
        <v>2.5000000000000001E-3</v>
      </c>
      <c r="H86" s="1003">
        <f t="shared" si="23"/>
        <v>2.5000000000000001E-3</v>
      </c>
      <c r="I86" s="3069">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5.5">
      <c r="A87" s="1970" t="s">
        <v>2059</v>
      </c>
      <c r="B87" s="1240" t="str">
        <f>估价对象房地状况!G19</f>
        <v>估价对象所在区域公共配套设施齐备情况</v>
      </c>
      <c r="C87" s="1887" t="s">
        <v>3417</v>
      </c>
      <c r="D87" s="1002">
        <f t="shared" si="22"/>
        <v>6.0000000000000001E-3</v>
      </c>
      <c r="E87" s="705"/>
      <c r="F87" s="1675"/>
      <c r="G87" s="1000">
        <v>3.0000000000000001E-3</v>
      </c>
      <c r="H87" s="1003">
        <f t="shared" si="23"/>
        <v>3.0000000000000001E-3</v>
      </c>
      <c r="I87" s="3069">
        <v>0.06</v>
      </c>
      <c r="J87" s="1001">
        <f t="shared" si="24"/>
        <v>6.0000000000000001E-3</v>
      </c>
      <c r="K87" s="1001">
        <f t="shared" si="25"/>
        <v>3.0000000000000001E-3</v>
      </c>
      <c r="L87" s="1001">
        <v>0</v>
      </c>
      <c r="M87" s="1001">
        <f t="shared" si="26"/>
        <v>-3.0000000000000001E-3</v>
      </c>
      <c r="N87" s="1001">
        <f t="shared" si="26"/>
        <v>-6.0000000000000001E-3</v>
      </c>
    </row>
    <row r="88" spans="1:37" ht="25.5">
      <c r="A88" s="1970" t="s">
        <v>2060</v>
      </c>
      <c r="B88" s="1240" t="str">
        <f>估价对象房地状况!G20</f>
        <v>估价对象所在区域基础设施水平</v>
      </c>
      <c r="C88" s="1887" t="s">
        <v>3417</v>
      </c>
      <c r="D88" s="1002">
        <f t="shared" si="22"/>
        <v>1.2E-2</v>
      </c>
      <c r="E88" s="705"/>
      <c r="F88" s="1675"/>
      <c r="G88" s="1000">
        <v>6.0000000000000001E-3</v>
      </c>
      <c r="H88" s="1003">
        <f t="shared" si="23"/>
        <v>6.0000000000000001E-3</v>
      </c>
      <c r="I88" s="3069">
        <v>0.12</v>
      </c>
      <c r="J88" s="1001">
        <f t="shared" si="24"/>
        <v>1.2E-2</v>
      </c>
      <c r="K88" s="1001">
        <f t="shared" si="25"/>
        <v>6.0000000000000001E-3</v>
      </c>
      <c r="L88" s="1001">
        <v>0</v>
      </c>
      <c r="M88" s="1001">
        <f t="shared" si="26"/>
        <v>-6.0000000000000001E-3</v>
      </c>
      <c r="N88" s="1001">
        <f t="shared" si="26"/>
        <v>-1.2E-2</v>
      </c>
    </row>
    <row r="89" spans="1:37" ht="24">
      <c r="A89" s="1970" t="s">
        <v>2057</v>
      </c>
      <c r="B89" s="1975" t="s">
        <v>2071</v>
      </c>
      <c r="C89" s="1887" t="s">
        <v>3417</v>
      </c>
      <c r="D89" s="1002">
        <f t="shared" si="22"/>
        <v>6.0000000000000001E-3</v>
      </c>
      <c r="E89" s="705"/>
      <c r="F89" s="1675"/>
      <c r="G89" s="1000">
        <v>3.0000000000000001E-3</v>
      </c>
      <c r="H89" s="1003">
        <f t="shared" si="23"/>
        <v>3.0000000000000001E-3</v>
      </c>
      <c r="I89" s="3069">
        <v>0.06</v>
      </c>
      <c r="J89" s="1001">
        <f t="shared" si="24"/>
        <v>6.0000000000000001E-3</v>
      </c>
      <c r="K89" s="1001">
        <f t="shared" si="25"/>
        <v>3.0000000000000001E-3</v>
      </c>
      <c r="L89" s="1001">
        <v>0</v>
      </c>
      <c r="M89" s="1001">
        <f t="shared" si="26"/>
        <v>-3.0000000000000001E-3</v>
      </c>
      <c r="N89" s="1001">
        <f t="shared" si="26"/>
        <v>-6.0000000000000001E-3</v>
      </c>
    </row>
    <row r="90" spans="1:37" ht="39" thickBot="1">
      <c r="A90" s="1977" t="s">
        <v>2072</v>
      </c>
      <c r="B90" s="1982" t="str">
        <f>估价对象房地状况!G18</f>
        <v>该园区内是否有污染型企业，绿化情况，卫生条件，整体环境状况判断</v>
      </c>
      <c r="C90" s="1887" t="s">
        <v>3416</v>
      </c>
      <c r="D90" s="1002">
        <f t="shared" si="22"/>
        <v>2.5000000000000001E-3</v>
      </c>
      <c r="E90" s="706"/>
      <c r="F90" s="1675"/>
      <c r="G90" s="1000">
        <v>2.5000000000000001E-3</v>
      </c>
      <c r="H90" s="1003">
        <f t="shared" si="23"/>
        <v>2.5000000000000001E-3</v>
      </c>
      <c r="I90" s="3070">
        <v>0.05</v>
      </c>
      <c r="J90" s="1001">
        <f t="shared" si="24"/>
        <v>5.0000000000000001E-3</v>
      </c>
      <c r="K90" s="1001">
        <f t="shared" si="25"/>
        <v>2.5000000000000001E-3</v>
      </c>
      <c r="L90" s="1001">
        <v>0</v>
      </c>
      <c r="M90" s="1001">
        <f t="shared" si="26"/>
        <v>-2.5000000000000001E-3</v>
      </c>
      <c r="N90" s="1001">
        <f t="shared" si="26"/>
        <v>-5.0000000000000001E-3</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3283</v>
      </c>
      <c r="G92" s="2310" t="s">
        <v>1989</v>
      </c>
      <c r="H92" s="3090" t="s">
        <v>3287</v>
      </c>
      <c r="I92" s="2310" t="s">
        <v>2051</v>
      </c>
      <c r="J92" s="2150" t="s">
        <v>1721</v>
      </c>
      <c r="K92" s="2150" t="s">
        <v>1722</v>
      </c>
      <c r="L92" s="2150" t="s">
        <v>1723</v>
      </c>
      <c r="M92" s="2150" t="s">
        <v>1724</v>
      </c>
      <c r="N92" s="2150" t="s">
        <v>1725</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2053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2054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2056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2057</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2059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2060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2061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9" t="s">
        <v>3294</v>
      </c>
      <c r="B103" s="3459"/>
      <c r="C103" s="3459"/>
      <c r="D103" s="3459"/>
      <c r="E103" s="3459"/>
      <c r="F103" s="3459"/>
      <c r="G103" s="3459"/>
      <c r="H103" s="3459"/>
      <c r="I103" s="3459"/>
      <c r="J103" s="3459"/>
      <c r="K103" s="1667"/>
      <c r="L103" s="1667"/>
      <c r="M103" s="1667"/>
      <c r="N103" s="1667"/>
    </row>
    <row r="104" spans="1:14">
      <c r="A104" s="3460" t="s">
        <v>3295</v>
      </c>
      <c r="B104" s="3460" t="s">
        <v>3296</v>
      </c>
      <c r="C104" s="3091" t="s">
        <v>3297</v>
      </c>
      <c r="D104" s="3092"/>
      <c r="E104" s="3092"/>
      <c r="F104" s="3092"/>
      <c r="G104" s="3092"/>
      <c r="H104" s="3092"/>
      <c r="I104" s="3092"/>
      <c r="J104" s="3093"/>
      <c r="K104" s="3094"/>
      <c r="L104" s="3094"/>
      <c r="M104" s="3094"/>
      <c r="N104" s="3094"/>
    </row>
    <row r="105" spans="1:14">
      <c r="A105" s="3460"/>
      <c r="B105" s="3460"/>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461"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3311</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0.72899999999999998</v>
      </c>
      <c r="E116" s="162" t="s">
        <v>1936</v>
      </c>
      <c r="F116" s="3102" t="str">
        <f>E2</f>
        <v>工业</v>
      </c>
      <c r="G116" s="162" t="s">
        <v>1937</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1990</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1991</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1992</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1993</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C8CC1E64-D77F-4DFE-A481-959128C14AA3}">
      <formula1>"500米范围内,500-1000米,1000米以外"</formula1>
    </dataValidation>
    <dataValidation type="list" allowBlank="1" showInputMessage="1" showErrorMessage="1" sqref="C15:D15" xr:uid="{32D3453A-CF16-4F8E-A7D5-35174387CC71}">
      <formula1>"有,无"</formula1>
    </dataValidation>
    <dataValidation type="list" allowBlank="1" showInputMessage="1" showErrorMessage="1" sqref="B25" xr:uid="{BFD7154F-E1C1-4B15-A91D-4C9220E66EAF}">
      <formula1>"容积率修正,楼层修正"</formula1>
    </dataValidation>
    <dataValidation type="list" allowBlank="1" showInputMessage="1" showErrorMessage="1" sqref="F21" xr:uid="{D898A115-11E6-4362-BBAA-4A559EFEDEEE}">
      <formula1>"与级别开发程度一致,与级别开发程度不一致"</formula1>
    </dataValidation>
    <dataValidation type="list" allowBlank="1" showInputMessage="1" showErrorMessage="1" sqref="E2" xr:uid="{A19F4682-7BAC-4B4B-AD1F-A5B3AA4909F3}">
      <formula1>"商业,办公,住宅,工业,公共服务"</formula1>
    </dataValidation>
    <dataValidation type="list" allowBlank="1" showInputMessage="1" showErrorMessage="1" sqref="F3" xr:uid="{80E4F627-C7F5-4DC0-A5E7-229233831072}">
      <formula1>"宗地容积率,估价对象容积率,自定义容积率"</formula1>
    </dataValidation>
    <dataValidation type="list" allowBlank="1" showInputMessage="1" showErrorMessage="1" sqref="C8" xr:uid="{27B00248-38DC-48E6-9793-38EBD42E8054}">
      <formula1>商业街名称</formula1>
    </dataValidation>
    <dataValidation type="list" allowBlank="1" showInputMessage="1" showErrorMessage="1" sqref="E3" xr:uid="{E85A147F-6DBD-4E21-B806-346462B559E4}">
      <formula1>二级分类</formula1>
    </dataValidation>
    <dataValidation type="list" allowBlank="1" showInputMessage="1" showErrorMessage="1" sqref="C61:C69 C72:C80 C50:C58 C83:C91 C93:C101" xr:uid="{42218DDC-A043-40AA-94DE-8120210B2E64}">
      <formula1>五等判定</formula1>
    </dataValidation>
    <dataValidation type="list" allowBlank="1" showInputMessage="1" showErrorMessage="1" sqref="H23" xr:uid="{F93BC041-04A3-4239-B840-E8B1A41C72F5}">
      <formula1>"地价指数,季度增幅（自定义）,按公示增长率计算"</formula1>
    </dataValidation>
    <dataValidation type="list" allowBlank="1" showInputMessage="1" showErrorMessage="1" sqref="H20:O20" xr:uid="{7AF57600-0F80-43C8-8263-63148EB4762D}">
      <formula1>七通一平</formula1>
    </dataValidation>
    <dataValidation type="list" allowBlank="1" showInputMessage="1" showErrorMessage="1" sqref="J23" xr:uid="{353319DC-BC30-463E-9008-2B50C9D7B8A5}">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1"/>
      <c r="B4" s="3164" t="s">
        <v>917</v>
      </c>
      <c r="C4" s="3164"/>
      <c r="D4" s="3164"/>
      <c r="E4" s="1391"/>
    </row>
    <row r="5" spans="1:5" ht="16.5" thickTop="1">
      <c r="B5" s="3162" t="s">
        <v>909</v>
      </c>
      <c r="C5" s="1392" t="s">
        <v>910</v>
      </c>
      <c r="D5" s="797" t="e">
        <f ca="1">结果表!H101</f>
        <v>#REF!</v>
      </c>
    </row>
    <row r="6" spans="1:5" ht="15.75">
      <c r="B6" s="3162"/>
      <c r="C6" s="1392" t="s">
        <v>911</v>
      </c>
      <c r="D6" s="797" t="e">
        <f ca="1">NUMBERSTRING(INT(D5*10000),2)&amp;"元整"</f>
        <v>#REF!</v>
      </c>
    </row>
    <row r="7" spans="1:5" ht="15.75">
      <c r="B7" s="3167"/>
      <c r="C7" s="1393" t="s">
        <v>912</v>
      </c>
      <c r="D7" s="798" t="e">
        <f ca="1">结果表!H102</f>
        <v>#REF!</v>
      </c>
    </row>
    <row r="8" spans="1:5" ht="15.75">
      <c r="B8" s="3168" t="str">
        <f>结果表!E103</f>
        <v>2.估价师知悉的法定优先受偿款</v>
      </c>
      <c r="C8" s="1394" t="s">
        <v>913</v>
      </c>
      <c r="D8" s="798">
        <f>结果表!H103</f>
        <v>0</v>
      </c>
    </row>
    <row r="9" spans="1:5" ht="15.75">
      <c r="B9" s="317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1" t="str">
        <f>结果表!E107</f>
        <v>3.房地产抵押价值</v>
      </c>
      <c r="C13" s="1397" t="s">
        <v>910</v>
      </c>
      <c r="D13" s="800" t="e">
        <f ca="1">结果表!H107</f>
        <v>#REF!</v>
      </c>
    </row>
    <row r="14" spans="1:5" ht="15.75">
      <c r="B14" s="3162"/>
      <c r="C14" s="1392" t="s">
        <v>911</v>
      </c>
      <c r="D14" s="797" t="e">
        <f ca="1">NUMBERSTRING(INT(D13*10000),2)&amp;"元整"</f>
        <v>#REF!</v>
      </c>
    </row>
    <row r="15" spans="1:5" ht="15">
      <c r="B15" s="3167"/>
      <c r="C15" s="1393" t="s">
        <v>921</v>
      </c>
      <c r="D15" s="806" t="e">
        <f ca="1">结果表!H108</f>
        <v>#REF!</v>
      </c>
    </row>
    <row r="16" spans="1:5" ht="15">
      <c r="B16" s="3168" t="str">
        <f>结果表!E109</f>
        <v>——</v>
      </c>
      <c r="C16" s="1397" t="s">
        <v>922</v>
      </c>
      <c r="D16" s="1398" t="str">
        <f>结果表!H109</f>
        <v>——</v>
      </c>
    </row>
    <row r="17" spans="1:5" ht="15.75">
      <c r="B17" s="3169"/>
      <c r="C17" s="1392" t="s">
        <v>923</v>
      </c>
      <c r="D17" s="797" t="e">
        <f>NUMBERSTRING(INT(D16*10000),2)&amp;"元整"</f>
        <v>#VALUE!</v>
      </c>
    </row>
    <row r="18" spans="1:5" ht="15">
      <c r="B18" s="3170"/>
      <c r="C18" s="1393" t="s">
        <v>912</v>
      </c>
      <c r="D18" s="806" t="str">
        <f>结果表!H110</f>
        <v>——</v>
      </c>
    </row>
    <row r="19" spans="1:5" ht="15.75">
      <c r="B19" s="3161" t="str">
        <f>结果表!E111</f>
        <v>——</v>
      </c>
      <c r="C19" s="1397" t="s">
        <v>910</v>
      </c>
      <c r="D19" s="798" t="str">
        <f>结果表!H111</f>
        <v>——</v>
      </c>
    </row>
    <row r="20" spans="1:5" ht="15.75">
      <c r="B20" s="3162"/>
      <c r="C20" s="1392" t="s">
        <v>923</v>
      </c>
      <c r="D20" s="797" t="e">
        <f>NUMBERSTRING(INT(D19*10000),2)&amp;"元整"</f>
        <v>#VALUE!</v>
      </c>
    </row>
    <row r="21" spans="1:5" ht="15.75" thickBot="1">
      <c r="B21" s="316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B14B5-13D8-40E9-B1B6-1C64A3AAE945}">
  <dimension ref="K41:S49"/>
  <sheetViews>
    <sheetView topLeftCell="F1" workbookViewId="0">
      <selection activeCell="M50" sqref="M50"/>
    </sheetView>
  </sheetViews>
  <sheetFormatPr defaultRowHeight="13.5"/>
  <cols>
    <col min="12" max="12" width="17.25" bestFit="1" customWidth="1"/>
    <col min="13" max="13" width="9" customWidth="1"/>
  </cols>
  <sheetData>
    <row r="41" spans="11:19">
      <c r="K41" s="1405" t="s">
        <v>3465</v>
      </c>
    </row>
    <row r="42" spans="11:19">
      <c r="K42" s="1405" t="s">
        <v>3462</v>
      </c>
      <c r="M42" s="1405" t="s">
        <v>3426</v>
      </c>
      <c r="N42" s="1405" t="s">
        <v>3427</v>
      </c>
      <c r="S42" s="1405" t="s">
        <v>3431</v>
      </c>
    </row>
    <row r="43" spans="11:19">
      <c r="L43" s="1405" t="s">
        <v>3425</v>
      </c>
      <c r="M43">
        <f>'基准地价修正-商业'!T2</f>
        <v>21763</v>
      </c>
      <c r="N43">
        <f>ROUND(M43*0.25,0)</f>
        <v>5441</v>
      </c>
      <c r="O43" s="1405" t="s">
        <v>3459</v>
      </c>
      <c r="R43" s="1405" t="s">
        <v>3429</v>
      </c>
      <c r="S43" s="1405" t="s">
        <v>3458</v>
      </c>
    </row>
    <row r="44" spans="11:19">
      <c r="L44" s="1405" t="s">
        <v>2812</v>
      </c>
      <c r="M44">
        <f>'基准地价修正-办公'!C33</f>
        <v>20238</v>
      </c>
      <c r="N44">
        <f>ROUND(M44*0.25,0)</f>
        <v>5060</v>
      </c>
      <c r="O44" s="1405" t="s">
        <v>3459</v>
      </c>
      <c r="R44" s="1405" t="s">
        <v>3425</v>
      </c>
      <c r="S44" s="1405" t="s">
        <v>3457</v>
      </c>
    </row>
    <row r="45" spans="11:19">
      <c r="L45" s="1405" t="s">
        <v>3428</v>
      </c>
      <c r="M45">
        <f>'基准地价修正-住宅'!C41</f>
        <v>5291</v>
      </c>
      <c r="N45">
        <f>ROUND(M45*0.25,0)</f>
        <v>1323</v>
      </c>
      <c r="O45" s="1405" t="s">
        <v>3459</v>
      </c>
      <c r="R45" s="1405" t="s">
        <v>3430</v>
      </c>
      <c r="S45" s="1405" t="s">
        <v>3456</v>
      </c>
    </row>
    <row r="46" spans="11:19">
      <c r="L46" s="1405" t="s">
        <v>3461</v>
      </c>
      <c r="M46">
        <f>'基准地价修正-交通'!C33</f>
        <v>4942</v>
      </c>
      <c r="N46">
        <f>ROUND(M46*0.25,0)</f>
        <v>1236</v>
      </c>
      <c r="O46" s="1405" t="s">
        <v>3459</v>
      </c>
    </row>
    <row r="47" spans="11:19">
      <c r="L47" s="1405"/>
      <c r="O47" s="1405"/>
    </row>
    <row r="48" spans="11:19">
      <c r="K48" s="1405" t="s">
        <v>3464</v>
      </c>
      <c r="L48" s="1405"/>
      <c r="M48" s="1405" t="s">
        <v>3426</v>
      </c>
      <c r="N48" s="1405" t="s">
        <v>3427</v>
      </c>
    </row>
    <row r="49" spans="12:15">
      <c r="L49" s="1405" t="s">
        <v>3463</v>
      </c>
      <c r="M49">
        <f>'基准地价修正-住宅'!C42</f>
        <v>3175</v>
      </c>
      <c r="N49">
        <f>'基准地价修正-住宅'!G42</f>
        <v>794</v>
      </c>
      <c r="O49" s="1405" t="s">
        <v>3459</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97910-A844-4A87-AA9E-7636BAB48994}">
  <dimension ref="O2:Y40"/>
  <sheetViews>
    <sheetView topLeftCell="F1" workbookViewId="0">
      <selection activeCell="X19" sqref="X19"/>
    </sheetView>
  </sheetViews>
  <sheetFormatPr defaultRowHeight="13.5"/>
  <cols>
    <col min="16" max="16" width="13" bestFit="1" customWidth="1"/>
    <col min="23" max="23" width="11" bestFit="1" customWidth="1"/>
  </cols>
  <sheetData>
    <row r="2" spans="15:25">
      <c r="O2" s="1405" t="s">
        <v>2552</v>
      </c>
      <c r="P2" s="3154" t="s">
        <v>3432</v>
      </c>
      <c r="Q2" s="3155">
        <v>66</v>
      </c>
      <c r="R2" s="3155">
        <v>5300</v>
      </c>
      <c r="S2" s="3155">
        <f>ROUND(R2/Q2,2)</f>
        <v>80.3</v>
      </c>
      <c r="V2" s="1405" t="s">
        <v>3425</v>
      </c>
      <c r="W2" s="1405" t="s">
        <v>3433</v>
      </c>
      <c r="X2">
        <v>501.46</v>
      </c>
      <c r="Y2">
        <v>12</v>
      </c>
    </row>
    <row r="3" spans="15:25">
      <c r="P3" s="3155"/>
      <c r="Q3" s="3155">
        <v>103</v>
      </c>
      <c r="R3" s="3155">
        <v>6700</v>
      </c>
      <c r="S3" s="3155">
        <f t="shared" ref="S3:S40" si="0">ROUND(R3/Q3,2)</f>
        <v>65.05</v>
      </c>
      <c r="W3" s="1405" t="s">
        <v>3433</v>
      </c>
      <c r="X3">
        <v>521.08000000000004</v>
      </c>
      <c r="Y3">
        <v>14</v>
      </c>
    </row>
    <row r="4" spans="15:25">
      <c r="P4" s="3155"/>
      <c r="Q4" s="3155">
        <v>63</v>
      </c>
      <c r="R4" s="3155">
        <v>5300</v>
      </c>
      <c r="S4" s="3155">
        <f t="shared" si="0"/>
        <v>84.13</v>
      </c>
      <c r="W4" s="1405" t="s">
        <v>3438</v>
      </c>
      <c r="X4">
        <v>195</v>
      </c>
      <c r="Y4">
        <v>15</v>
      </c>
    </row>
    <row r="5" spans="15:25">
      <c r="P5" s="3155"/>
      <c r="Q5" s="3155">
        <v>123.16</v>
      </c>
      <c r="R5" s="3155">
        <v>8300</v>
      </c>
      <c r="S5" s="3155">
        <f t="shared" si="0"/>
        <v>67.39</v>
      </c>
    </row>
    <row r="6" spans="15:25">
      <c r="P6" s="1405" t="s">
        <v>3433</v>
      </c>
      <c r="Q6">
        <v>76.400000000000006</v>
      </c>
      <c r="R6">
        <v>12000</v>
      </c>
      <c r="S6">
        <f t="shared" si="0"/>
        <v>157.07</v>
      </c>
    </row>
    <row r="7" spans="15:25">
      <c r="Q7">
        <v>76.41</v>
      </c>
      <c r="R7">
        <v>11000</v>
      </c>
      <c r="S7">
        <f t="shared" si="0"/>
        <v>143.96</v>
      </c>
    </row>
    <row r="8" spans="15:25">
      <c r="Q8">
        <v>105</v>
      </c>
      <c r="R8">
        <v>15500</v>
      </c>
      <c r="S8">
        <f t="shared" si="0"/>
        <v>147.62</v>
      </c>
    </row>
    <row r="9" spans="15:25">
      <c r="Q9">
        <v>160.99</v>
      </c>
      <c r="R9">
        <v>25000</v>
      </c>
      <c r="S9">
        <f t="shared" si="0"/>
        <v>155.29</v>
      </c>
    </row>
    <row r="10" spans="15:25">
      <c r="Q10">
        <v>133</v>
      </c>
      <c r="R10">
        <v>23500</v>
      </c>
      <c r="S10">
        <f t="shared" si="0"/>
        <v>176.69</v>
      </c>
    </row>
    <row r="11" spans="15:25">
      <c r="P11" s="1405" t="s">
        <v>3434</v>
      </c>
      <c r="Q11">
        <v>208.26</v>
      </c>
      <c r="R11">
        <v>33000</v>
      </c>
      <c r="S11">
        <f t="shared" si="0"/>
        <v>158.46</v>
      </c>
    </row>
    <row r="12" spans="15:25">
      <c r="Q12">
        <v>89</v>
      </c>
      <c r="R12">
        <v>9600</v>
      </c>
      <c r="S12">
        <f t="shared" si="0"/>
        <v>107.87</v>
      </c>
      <c r="V12" s="1405" t="s">
        <v>3430</v>
      </c>
      <c r="W12" s="1405" t="s">
        <v>3450</v>
      </c>
      <c r="X12">
        <v>12</v>
      </c>
      <c r="Y12">
        <v>350</v>
      </c>
    </row>
    <row r="13" spans="15:25">
      <c r="Q13">
        <v>82.14</v>
      </c>
      <c r="R13">
        <v>9100</v>
      </c>
      <c r="S13">
        <f t="shared" si="0"/>
        <v>110.79</v>
      </c>
      <c r="W13" s="1405" t="s">
        <v>3451</v>
      </c>
      <c r="X13">
        <v>16</v>
      </c>
      <c r="Y13">
        <v>380</v>
      </c>
    </row>
    <row r="14" spans="15:25">
      <c r="Q14">
        <v>358</v>
      </c>
      <c r="R14">
        <v>47700</v>
      </c>
      <c r="S14">
        <f t="shared" si="0"/>
        <v>133.24</v>
      </c>
      <c r="W14" s="1405" t="s">
        <v>3452</v>
      </c>
      <c r="X14">
        <v>16</v>
      </c>
      <c r="Y14">
        <v>350</v>
      </c>
    </row>
    <row r="15" spans="15:25">
      <c r="Q15">
        <v>198</v>
      </c>
      <c r="R15">
        <v>29500</v>
      </c>
      <c r="S15">
        <f t="shared" si="0"/>
        <v>148.99</v>
      </c>
    </row>
    <row r="16" spans="15:25">
      <c r="Q16">
        <v>90</v>
      </c>
      <c r="R16">
        <v>8000</v>
      </c>
      <c r="S16">
        <f t="shared" si="0"/>
        <v>88.89</v>
      </c>
    </row>
    <row r="17" spans="16:19">
      <c r="P17" s="3156" t="s">
        <v>3435</v>
      </c>
      <c r="Q17" s="3157">
        <v>90</v>
      </c>
      <c r="R17" s="3157">
        <v>6800</v>
      </c>
      <c r="S17" s="3157">
        <f t="shared" si="0"/>
        <v>75.56</v>
      </c>
    </row>
    <row r="18" spans="16:19">
      <c r="P18" s="3157"/>
      <c r="Q18" s="3157">
        <v>76.239999999999995</v>
      </c>
      <c r="R18" s="3157">
        <v>6700</v>
      </c>
      <c r="S18" s="3157">
        <f t="shared" si="0"/>
        <v>87.88</v>
      </c>
    </row>
    <row r="19" spans="16:19">
      <c r="P19" s="3157"/>
      <c r="Q19" s="3157">
        <v>77.55</v>
      </c>
      <c r="R19" s="3157">
        <v>6600</v>
      </c>
      <c r="S19" s="3157">
        <f t="shared" si="0"/>
        <v>85.11</v>
      </c>
    </row>
    <row r="20" spans="16:19">
      <c r="P20" s="3157"/>
      <c r="Q20" s="3157">
        <v>78</v>
      </c>
      <c r="R20" s="3157">
        <v>6700</v>
      </c>
      <c r="S20" s="3157">
        <f t="shared" si="0"/>
        <v>85.9</v>
      </c>
    </row>
    <row r="21" spans="16:19">
      <c r="P21" s="3154" t="s">
        <v>3436</v>
      </c>
      <c r="Q21" s="3155">
        <v>110</v>
      </c>
      <c r="R21" s="3155">
        <v>8800</v>
      </c>
      <c r="S21" s="3155">
        <f t="shared" si="0"/>
        <v>80</v>
      </c>
    </row>
    <row r="22" spans="16:19">
      <c r="P22" s="3155"/>
      <c r="Q22" s="3155">
        <v>60</v>
      </c>
      <c r="R22" s="3155">
        <v>5500</v>
      </c>
      <c r="S22" s="3155">
        <f t="shared" si="0"/>
        <v>91.67</v>
      </c>
    </row>
    <row r="23" spans="16:19">
      <c r="P23" s="3155"/>
      <c r="Q23" s="3155">
        <v>43.69</v>
      </c>
      <c r="R23" s="3155">
        <v>4800</v>
      </c>
      <c r="S23" s="3155">
        <f t="shared" si="0"/>
        <v>109.86</v>
      </c>
    </row>
    <row r="24" spans="16:19">
      <c r="P24" s="3156" t="s">
        <v>3437</v>
      </c>
      <c r="Q24" s="3157">
        <v>60.49</v>
      </c>
      <c r="R24" s="3157">
        <v>5860</v>
      </c>
      <c r="S24" s="3157">
        <f t="shared" si="0"/>
        <v>96.88</v>
      </c>
    </row>
    <row r="25" spans="16:19">
      <c r="P25" s="3157"/>
      <c r="Q25" s="3157">
        <v>67</v>
      </c>
      <c r="R25" s="3157">
        <v>5800</v>
      </c>
      <c r="S25" s="3157">
        <f t="shared" si="0"/>
        <v>86.57</v>
      </c>
    </row>
    <row r="26" spans="16:19">
      <c r="P26" s="3157"/>
      <c r="Q26" s="3157">
        <v>81.16</v>
      </c>
      <c r="R26" s="3157">
        <v>7000</v>
      </c>
      <c r="S26" s="3157">
        <f t="shared" si="0"/>
        <v>86.25</v>
      </c>
    </row>
    <row r="27" spans="16:19">
      <c r="P27" s="3157"/>
      <c r="Q27" s="3157">
        <v>81.430000000000007</v>
      </c>
      <c r="R27" s="3157">
        <v>7000</v>
      </c>
      <c r="S27" s="3157">
        <f t="shared" si="0"/>
        <v>85.96</v>
      </c>
    </row>
    <row r="28" spans="16:19">
      <c r="P28" s="3157"/>
      <c r="Q28" s="3157">
        <v>80.55</v>
      </c>
      <c r="R28" s="3157">
        <v>7400</v>
      </c>
      <c r="S28" s="3157">
        <f t="shared" si="0"/>
        <v>91.87</v>
      </c>
    </row>
    <row r="29" spans="16:19">
      <c r="P29" s="3157"/>
      <c r="Q29" s="3157">
        <v>52.41</v>
      </c>
      <c r="R29" s="3157">
        <v>5200</v>
      </c>
      <c r="S29" s="3157">
        <f t="shared" si="0"/>
        <v>99.22</v>
      </c>
    </row>
    <row r="30" spans="16:19">
      <c r="P30" s="3154" t="s">
        <v>3439</v>
      </c>
      <c r="Q30" s="3155">
        <v>56.98</v>
      </c>
      <c r="R30" s="3155">
        <v>6600</v>
      </c>
      <c r="S30" s="3155">
        <f t="shared" si="0"/>
        <v>115.83</v>
      </c>
    </row>
    <row r="31" spans="16:19">
      <c r="P31" s="3155"/>
      <c r="Q31" s="3155">
        <v>91.59</v>
      </c>
      <c r="R31" s="3155">
        <v>7000</v>
      </c>
      <c r="S31" s="3155">
        <f t="shared" si="0"/>
        <v>76.430000000000007</v>
      </c>
    </row>
    <row r="32" spans="16:19">
      <c r="P32" s="3155"/>
      <c r="Q32" s="3155">
        <v>115</v>
      </c>
      <c r="R32" s="3155">
        <v>11000</v>
      </c>
      <c r="S32" s="3155">
        <f t="shared" si="0"/>
        <v>95.65</v>
      </c>
    </row>
    <row r="33" spans="16:19">
      <c r="P33" s="3155"/>
      <c r="Q33" s="3155">
        <v>93.43</v>
      </c>
      <c r="R33" s="3155">
        <v>8200</v>
      </c>
      <c r="S33" s="3155">
        <f t="shared" si="0"/>
        <v>87.77</v>
      </c>
    </row>
    <row r="34" spans="16:19">
      <c r="P34" s="3155"/>
      <c r="Q34" s="3155">
        <v>55</v>
      </c>
      <c r="R34" s="3155">
        <v>5400</v>
      </c>
      <c r="S34" s="3155">
        <f t="shared" si="0"/>
        <v>98.18</v>
      </c>
    </row>
    <row r="35" spans="16:19">
      <c r="P35" s="3155"/>
      <c r="Q35" s="3155">
        <v>104.88</v>
      </c>
      <c r="R35" s="3155">
        <v>6500</v>
      </c>
      <c r="S35" s="3155">
        <f t="shared" si="0"/>
        <v>61.98</v>
      </c>
    </row>
    <row r="36" spans="16:19">
      <c r="P36" s="1405" t="s">
        <v>3440</v>
      </c>
      <c r="Q36" s="3157">
        <v>93.85</v>
      </c>
      <c r="R36" s="3157">
        <v>8260</v>
      </c>
      <c r="S36" s="3157">
        <f t="shared" si="0"/>
        <v>88.01</v>
      </c>
    </row>
    <row r="37" spans="16:19">
      <c r="Q37" s="3157">
        <v>34.26</v>
      </c>
      <c r="R37" s="3157">
        <v>5630</v>
      </c>
      <c r="S37" s="3157">
        <f t="shared" si="0"/>
        <v>164.33</v>
      </c>
    </row>
    <row r="38" spans="16:19">
      <c r="Q38" s="3157">
        <v>78.94</v>
      </c>
      <c r="R38" s="3157">
        <v>7760</v>
      </c>
      <c r="S38" s="3157">
        <f t="shared" si="0"/>
        <v>98.3</v>
      </c>
    </row>
    <row r="39" spans="16:19">
      <c r="Q39" s="3157">
        <v>74.52</v>
      </c>
      <c r="R39" s="3157">
        <v>7300</v>
      </c>
      <c r="S39" s="3157">
        <f t="shared" si="0"/>
        <v>97.96</v>
      </c>
    </row>
    <row r="40" spans="16:19">
      <c r="Q40" s="3157">
        <v>36.44</v>
      </c>
      <c r="R40" s="3157">
        <v>4400</v>
      </c>
      <c r="S40" s="3157">
        <f t="shared" si="0"/>
        <v>120.75</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4" t="s">
        <v>2607</v>
      </c>
      <c r="B20" s="3469" t="s">
        <v>2628</v>
      </c>
      <c r="C20" s="2843" t="s">
        <v>2439</v>
      </c>
      <c r="D20" s="2844"/>
      <c r="E20" s="2845">
        <v>1</v>
      </c>
      <c r="F20" s="2846" t="s">
        <v>2440</v>
      </c>
      <c r="G20" s="2846"/>
    </row>
    <row r="21" spans="1:13" ht="19.5" customHeight="1">
      <c r="A21" s="3475"/>
      <c r="B21" s="3468"/>
      <c r="C21" s="2847" t="s">
        <v>2441</v>
      </c>
      <c r="D21" s="2848"/>
      <c r="E21" s="2849">
        <v>1</v>
      </c>
      <c r="F21" s="2846" t="s">
        <v>2442</v>
      </c>
      <c r="G21" s="2846"/>
    </row>
    <row r="22" spans="1:13" ht="19.5" customHeight="1">
      <c r="A22" s="3475"/>
      <c r="B22" s="3468"/>
      <c r="C22" s="2847" t="s">
        <v>2443</v>
      </c>
      <c r="D22" s="2848"/>
      <c r="E22" s="2849">
        <v>0.9</v>
      </c>
      <c r="F22" s="2846" t="s">
        <v>2444</v>
      </c>
      <c r="G22" s="2846"/>
    </row>
    <row r="23" spans="1:13" ht="19.5" customHeight="1">
      <c r="A23" s="3475"/>
      <c r="B23" s="3468"/>
      <c r="C23" s="2847" t="s">
        <v>2445</v>
      </c>
      <c r="D23" s="2848"/>
      <c r="E23" s="2849">
        <v>0.9</v>
      </c>
      <c r="F23" s="2846" t="s">
        <v>2446</v>
      </c>
      <c r="G23" s="2846"/>
    </row>
    <row r="24" spans="1:13" ht="19.5" customHeight="1">
      <c r="A24" s="3475"/>
      <c r="B24" s="3468"/>
      <c r="C24" s="2847" t="s">
        <v>2447</v>
      </c>
      <c r="D24" s="2848"/>
      <c r="E24" s="2849">
        <v>0.8</v>
      </c>
      <c r="F24" s="2846" t="s">
        <v>2448</v>
      </c>
      <c r="G24" s="2846"/>
    </row>
    <row r="25" spans="1:13" ht="19.5" customHeight="1" thickBot="1">
      <c r="A25" s="3476"/>
      <c r="B25" s="3470"/>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1" t="s">
        <v>2631</v>
      </c>
      <c r="B27" s="3469" t="s">
        <v>2612</v>
      </c>
      <c r="C27" s="2843" t="s">
        <v>2452</v>
      </c>
      <c r="D27" s="2844"/>
      <c r="E27" s="2845">
        <v>1</v>
      </c>
      <c r="F27" s="2846" t="s">
        <v>2453</v>
      </c>
      <c r="G27" s="2846"/>
    </row>
    <row r="28" spans="1:13" ht="19.5" customHeight="1">
      <c r="A28" s="3472"/>
      <c r="B28" s="3468"/>
      <c r="C28" s="2847" t="s">
        <v>2454</v>
      </c>
      <c r="D28" s="2848"/>
      <c r="E28" s="2849">
        <v>1</v>
      </c>
      <c r="F28" s="2846" t="s">
        <v>2455</v>
      </c>
      <c r="G28" s="2846"/>
    </row>
    <row r="29" spans="1:13" ht="19.5" customHeight="1">
      <c r="A29" s="3472"/>
      <c r="B29" s="3468"/>
      <c r="C29" s="2847" t="s">
        <v>2456</v>
      </c>
      <c r="D29" s="2848"/>
      <c r="E29" s="2849">
        <v>0.8</v>
      </c>
      <c r="F29" s="2846" t="s">
        <v>2457</v>
      </c>
      <c r="G29" s="2846"/>
    </row>
    <row r="30" spans="1:13" ht="19.5" customHeight="1">
      <c r="A30" s="3472"/>
      <c r="B30" s="3468"/>
      <c r="C30" s="2847" t="s">
        <v>2458</v>
      </c>
      <c r="D30" s="2848"/>
      <c r="E30" s="2849">
        <v>0.8</v>
      </c>
      <c r="F30" s="2846" t="s">
        <v>2459</v>
      </c>
      <c r="G30" s="2846"/>
    </row>
    <row r="31" spans="1:13" ht="19.5" customHeight="1">
      <c r="A31" s="3472"/>
      <c r="B31" s="3468"/>
      <c r="C31" s="2847" t="s">
        <v>2460</v>
      </c>
      <c r="D31" s="2848"/>
      <c r="E31" s="2849">
        <v>0.8</v>
      </c>
      <c r="F31" s="2846" t="s">
        <v>2461</v>
      </c>
      <c r="G31" s="2846"/>
    </row>
    <row r="32" spans="1:13" ht="19.5" customHeight="1">
      <c r="A32" s="3472"/>
      <c r="B32" s="3468"/>
      <c r="C32" s="2847" t="s">
        <v>2462</v>
      </c>
      <c r="D32" s="2848"/>
      <c r="E32" s="2849">
        <v>0.7</v>
      </c>
      <c r="F32" s="2846" t="s">
        <v>2463</v>
      </c>
      <c r="G32" s="2846"/>
    </row>
    <row r="33" spans="1:7" ht="19.5" customHeight="1">
      <c r="A33" s="3472"/>
      <c r="B33" s="3468"/>
      <c r="C33" s="2847" t="s">
        <v>2464</v>
      </c>
      <c r="D33" s="2848"/>
      <c r="E33" s="2849">
        <v>0.8</v>
      </c>
      <c r="F33" s="2846" t="s">
        <v>2465</v>
      </c>
      <c r="G33" s="2846"/>
    </row>
    <row r="34" spans="1:7" ht="19.5" customHeight="1">
      <c r="A34" s="3472"/>
      <c r="B34" s="3468"/>
      <c r="C34" s="2847" t="s">
        <v>2466</v>
      </c>
      <c r="D34" s="2848"/>
      <c r="E34" s="2849">
        <v>0.6</v>
      </c>
      <c r="F34" s="2846" t="s">
        <v>2467</v>
      </c>
      <c r="G34" s="2846"/>
    </row>
    <row r="35" spans="1:7" ht="19.5" customHeight="1">
      <c r="A35" s="3472"/>
      <c r="B35" s="3468"/>
      <c r="C35" s="2847" t="s">
        <v>2468</v>
      </c>
      <c r="D35" s="2848"/>
      <c r="E35" s="2849">
        <v>0.2</v>
      </c>
      <c r="F35" s="2846" t="s">
        <v>2469</v>
      </c>
      <c r="G35" s="2846"/>
    </row>
    <row r="36" spans="1:7" ht="19.5" customHeight="1">
      <c r="A36" s="3472"/>
      <c r="B36" s="3468"/>
      <c r="C36" s="2847" t="s">
        <v>2470</v>
      </c>
      <c r="D36" s="2848"/>
      <c r="E36" s="2849">
        <v>0.2</v>
      </c>
      <c r="F36" s="2846" t="s">
        <v>2471</v>
      </c>
      <c r="G36" s="2846"/>
    </row>
    <row r="37" spans="1:7" ht="19.5" customHeight="1">
      <c r="A37" s="3472"/>
      <c r="B37" s="3466" t="s">
        <v>2632</v>
      </c>
      <c r="C37" s="2847" t="s">
        <v>2472</v>
      </c>
      <c r="D37" s="2848"/>
      <c r="E37" s="2849">
        <v>0.6</v>
      </c>
      <c r="F37" s="2846" t="s">
        <v>2473</v>
      </c>
      <c r="G37" s="2846"/>
    </row>
    <row r="38" spans="1:7" ht="19.5" customHeight="1">
      <c r="A38" s="3472"/>
      <c r="B38" s="3468"/>
      <c r="C38" s="2847" t="s">
        <v>2474</v>
      </c>
      <c r="D38" s="2848"/>
      <c r="E38" s="2849">
        <v>0.6</v>
      </c>
      <c r="F38" s="2846" t="s">
        <v>2475</v>
      </c>
      <c r="G38" s="2846"/>
    </row>
    <row r="39" spans="1:7" ht="19.5" customHeight="1" thickBot="1">
      <c r="A39" s="3473"/>
      <c r="B39" s="3470"/>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4" t="s">
        <v>2610</v>
      </c>
      <c r="B41" s="3469" t="s">
        <v>2634</v>
      </c>
      <c r="C41" s="2843" t="s">
        <v>2479</v>
      </c>
      <c r="D41" s="2844"/>
      <c r="E41" s="2845">
        <v>1</v>
      </c>
      <c r="F41" s="2846" t="s">
        <v>2480</v>
      </c>
      <c r="G41" s="2846"/>
    </row>
    <row r="42" spans="1:7" ht="19.5" customHeight="1">
      <c r="A42" s="3475"/>
      <c r="B42" s="3468"/>
      <c r="C42" s="2847" t="s">
        <v>2481</v>
      </c>
      <c r="D42" s="2848"/>
      <c r="E42" s="2849">
        <v>1</v>
      </c>
      <c r="F42" s="2846" t="s">
        <v>2482</v>
      </c>
      <c r="G42" s="2846"/>
    </row>
    <row r="43" spans="1:7" ht="19.5" customHeight="1">
      <c r="A43" s="3475"/>
      <c r="B43" s="3467"/>
      <c r="C43" s="2847" t="s">
        <v>2483</v>
      </c>
      <c r="D43" s="2848"/>
      <c r="E43" s="2849">
        <v>1.5</v>
      </c>
      <c r="F43" s="2846" t="s">
        <v>2484</v>
      </c>
      <c r="G43" s="2846"/>
    </row>
    <row r="44" spans="1:7" ht="19.5" customHeight="1">
      <c r="A44" s="3475"/>
      <c r="B44" s="2858" t="s">
        <v>2635</v>
      </c>
      <c r="C44" s="2847" t="s">
        <v>2636</v>
      </c>
      <c r="D44" s="2848"/>
      <c r="E44" s="2849">
        <v>2</v>
      </c>
      <c r="F44" s="2846" t="s">
        <v>2485</v>
      </c>
      <c r="G44" s="2846"/>
    </row>
    <row r="45" spans="1:7" ht="19.5" customHeight="1">
      <c r="A45" s="3475"/>
      <c r="B45" s="3466" t="s">
        <v>2637</v>
      </c>
      <c r="C45" s="2847" t="s">
        <v>2486</v>
      </c>
      <c r="D45" s="2848"/>
      <c r="E45" s="2849">
        <v>1</v>
      </c>
      <c r="F45" s="2846" t="s">
        <v>2487</v>
      </c>
      <c r="G45" s="2846"/>
    </row>
    <row r="46" spans="1:7" ht="19.5" customHeight="1">
      <c r="A46" s="3475"/>
      <c r="B46" s="3468"/>
      <c r="C46" s="2847" t="s">
        <v>2488</v>
      </c>
      <c r="D46" s="2848"/>
      <c r="E46" s="2849">
        <v>1</v>
      </c>
      <c r="F46" s="2846" t="s">
        <v>2489</v>
      </c>
      <c r="G46" s="2846"/>
    </row>
    <row r="47" spans="1:7" ht="19.5" customHeight="1">
      <c r="A47" s="3475"/>
      <c r="B47" s="3468"/>
      <c r="C47" s="2847" t="s">
        <v>2490</v>
      </c>
      <c r="D47" s="2848"/>
      <c r="E47" s="2849">
        <v>1</v>
      </c>
      <c r="F47" s="2846" t="s">
        <v>2491</v>
      </c>
      <c r="G47" s="2846"/>
    </row>
    <row r="48" spans="1:7" ht="19.5" customHeight="1">
      <c r="A48" s="3475"/>
      <c r="B48" s="3468"/>
      <c r="C48" s="2847" t="s">
        <v>2492</v>
      </c>
      <c r="D48" s="2848"/>
      <c r="E48" s="2849">
        <v>1</v>
      </c>
      <c r="F48" s="2846" t="s">
        <v>2493</v>
      </c>
      <c r="G48" s="2846"/>
    </row>
    <row r="49" spans="1:7" ht="19.5" customHeight="1">
      <c r="A49" s="3475"/>
      <c r="B49" s="3468"/>
      <c r="C49" s="2847" t="s">
        <v>2494</v>
      </c>
      <c r="D49" s="2848"/>
      <c r="E49" s="2849">
        <v>1</v>
      </c>
      <c r="F49" s="2846" t="s">
        <v>2495</v>
      </c>
      <c r="G49" s="2846"/>
    </row>
    <row r="50" spans="1:7" ht="19.5" customHeight="1">
      <c r="A50" s="3475"/>
      <c r="B50" s="3468"/>
      <c r="C50" s="2847" t="s">
        <v>2496</v>
      </c>
      <c r="D50" s="2848"/>
      <c r="E50" s="2849">
        <v>1</v>
      </c>
      <c r="F50" s="2846" t="s">
        <v>2497</v>
      </c>
      <c r="G50" s="2846"/>
    </row>
    <row r="51" spans="1:7" ht="19.5" customHeight="1" thickBot="1">
      <c r="A51" s="3476"/>
      <c r="B51" s="3470"/>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6" t="s">
        <v>2651</v>
      </c>
      <c r="C73" s="2832" t="s">
        <v>2652</v>
      </c>
      <c r="D73" s="2832" t="s">
        <v>2653</v>
      </c>
      <c r="E73" s="2858">
        <v>0.2</v>
      </c>
      <c r="F73" s="2858">
        <v>25</v>
      </c>
    </row>
    <row r="74" spans="1:7" ht="24">
      <c r="A74" s="2858">
        <v>2</v>
      </c>
      <c r="B74" s="3468"/>
      <c r="C74" s="2832" t="s">
        <v>2654</v>
      </c>
      <c r="D74" s="2832" t="s">
        <v>2655</v>
      </c>
      <c r="E74" s="2858">
        <v>0.2</v>
      </c>
      <c r="F74" s="2858">
        <v>25</v>
      </c>
    </row>
    <row r="75" spans="1:7" ht="24">
      <c r="A75" s="2858">
        <v>3</v>
      </c>
      <c r="B75" s="3468"/>
      <c r="C75" s="2832" t="s">
        <v>2656</v>
      </c>
      <c r="D75" s="2832" t="s">
        <v>2657</v>
      </c>
      <c r="E75" s="2858">
        <v>0.2</v>
      </c>
      <c r="F75" s="2858">
        <v>25</v>
      </c>
    </row>
    <row r="76" spans="1:7" ht="13.5">
      <c r="A76" s="2858">
        <v>4</v>
      </c>
      <c r="B76" s="3468"/>
      <c r="C76" s="2832" t="s">
        <v>2658</v>
      </c>
      <c r="D76" s="2832" t="s">
        <v>2659</v>
      </c>
      <c r="E76" s="2858">
        <v>0.15</v>
      </c>
      <c r="F76" s="2858">
        <v>20</v>
      </c>
    </row>
    <row r="77" spans="1:7" ht="24">
      <c r="A77" s="2858">
        <v>5</v>
      </c>
      <c r="B77" s="3468"/>
      <c r="C77" s="2832" t="s">
        <v>2660</v>
      </c>
      <c r="D77" s="2832" t="s">
        <v>2661</v>
      </c>
      <c r="E77" s="2858">
        <v>0.15</v>
      </c>
      <c r="F77" s="2858">
        <v>20</v>
      </c>
    </row>
    <row r="78" spans="1:7" ht="24">
      <c r="A78" s="2858">
        <v>6</v>
      </c>
      <c r="B78" s="3468"/>
      <c r="C78" s="2832" t="s">
        <v>2662</v>
      </c>
      <c r="D78" s="2832" t="s">
        <v>2663</v>
      </c>
      <c r="E78" s="2858">
        <v>0.15</v>
      </c>
      <c r="F78" s="2858">
        <v>20</v>
      </c>
    </row>
    <row r="79" spans="1:7" ht="24">
      <c r="A79" s="2858">
        <v>7</v>
      </c>
      <c r="B79" s="3468"/>
      <c r="C79" s="2832" t="s">
        <v>2664</v>
      </c>
      <c r="D79" s="2832" t="s">
        <v>2665</v>
      </c>
      <c r="E79" s="2858">
        <v>0.15</v>
      </c>
      <c r="F79" s="2858">
        <v>20</v>
      </c>
    </row>
    <row r="80" spans="1:7" ht="24">
      <c r="A80" s="2858">
        <v>8</v>
      </c>
      <c r="B80" s="3468"/>
      <c r="C80" s="2832" t="s">
        <v>2666</v>
      </c>
      <c r="D80" s="2832" t="s">
        <v>2667</v>
      </c>
      <c r="E80" s="2858">
        <v>0.1</v>
      </c>
      <c r="F80" s="2858">
        <v>15</v>
      </c>
    </row>
    <row r="81" spans="1:6" ht="24">
      <c r="A81" s="2858">
        <v>9</v>
      </c>
      <c r="B81" s="3468"/>
      <c r="C81" s="2832" t="s">
        <v>2668</v>
      </c>
      <c r="D81" s="2832" t="s">
        <v>2669</v>
      </c>
      <c r="E81" s="2858">
        <v>0.1</v>
      </c>
      <c r="F81" s="2858">
        <v>15</v>
      </c>
    </row>
    <row r="82" spans="1:6" ht="24">
      <c r="A82" s="2858">
        <v>10</v>
      </c>
      <c r="B82" s="3468"/>
      <c r="C82" s="2832" t="s">
        <v>2670</v>
      </c>
      <c r="D82" s="2832" t="s">
        <v>2671</v>
      </c>
      <c r="E82" s="2858">
        <v>0.1</v>
      </c>
      <c r="F82" s="2858">
        <v>15</v>
      </c>
    </row>
    <row r="83" spans="1:6" ht="24">
      <c r="A83" s="2858">
        <v>11</v>
      </c>
      <c r="B83" s="3468"/>
      <c r="C83" s="2832" t="s">
        <v>2672</v>
      </c>
      <c r="D83" s="2832" t="s">
        <v>2673</v>
      </c>
      <c r="E83" s="2858">
        <v>0.1</v>
      </c>
      <c r="F83" s="2858">
        <v>15</v>
      </c>
    </row>
    <row r="84" spans="1:6" ht="24">
      <c r="A84" s="2858">
        <v>12</v>
      </c>
      <c r="B84" s="3468"/>
      <c r="C84" s="2832" t="s">
        <v>2674</v>
      </c>
      <c r="D84" s="2832" t="s">
        <v>2675</v>
      </c>
      <c r="E84" s="2858">
        <v>0.1</v>
      </c>
      <c r="F84" s="2858">
        <v>15</v>
      </c>
    </row>
    <row r="85" spans="1:6" ht="13.5">
      <c r="A85" s="2858">
        <v>13</v>
      </c>
      <c r="B85" s="3468"/>
      <c r="C85" s="2832" t="s">
        <v>2676</v>
      </c>
      <c r="D85" s="2832" t="s">
        <v>2677</v>
      </c>
      <c r="E85" s="2858">
        <v>0.1</v>
      </c>
      <c r="F85" s="2858">
        <v>15</v>
      </c>
    </row>
    <row r="86" spans="1:6" ht="13.5">
      <c r="A86" s="2858">
        <v>14</v>
      </c>
      <c r="B86" s="3468"/>
      <c r="C86" s="2832" t="s">
        <v>2678</v>
      </c>
      <c r="D86" s="2832" t="s">
        <v>2679</v>
      </c>
      <c r="E86" s="2858">
        <v>0.1</v>
      </c>
      <c r="F86" s="2858">
        <v>15</v>
      </c>
    </row>
    <row r="87" spans="1:6" ht="13.5">
      <c r="A87" s="2858">
        <v>15</v>
      </c>
      <c r="B87" s="3468"/>
      <c r="C87" s="2832" t="s">
        <v>2680</v>
      </c>
      <c r="D87" s="2832" t="s">
        <v>2681</v>
      </c>
      <c r="E87" s="2858">
        <v>0.1</v>
      </c>
      <c r="F87" s="2858">
        <v>15</v>
      </c>
    </row>
    <row r="88" spans="1:6" ht="24">
      <c r="A88" s="2858">
        <v>16</v>
      </c>
      <c r="B88" s="3468"/>
      <c r="C88" s="2832" t="s">
        <v>2682</v>
      </c>
      <c r="D88" s="2832" t="s">
        <v>2683</v>
      </c>
      <c r="E88" s="2858">
        <v>0.1</v>
      </c>
      <c r="F88" s="2858">
        <v>15</v>
      </c>
    </row>
    <row r="89" spans="1:6" ht="24">
      <c r="A89" s="2858">
        <v>17</v>
      </c>
      <c r="B89" s="3467"/>
      <c r="C89" s="2832" t="s">
        <v>2684</v>
      </c>
      <c r="D89" s="2832" t="s">
        <v>2685</v>
      </c>
      <c r="E89" s="2858">
        <v>0.1</v>
      </c>
      <c r="F89" s="2858">
        <v>15</v>
      </c>
    </row>
    <row r="90" spans="1:6" ht="13.5">
      <c r="A90" s="2858">
        <v>18</v>
      </c>
      <c r="B90" s="3466" t="s">
        <v>2686</v>
      </c>
      <c r="C90" s="2832" t="s">
        <v>2687</v>
      </c>
      <c r="D90" s="2832" t="s">
        <v>2688</v>
      </c>
      <c r="E90" s="2858">
        <v>0.2</v>
      </c>
      <c r="F90" s="2858">
        <v>25</v>
      </c>
    </row>
    <row r="91" spans="1:6" ht="24">
      <c r="A91" s="2858">
        <v>19</v>
      </c>
      <c r="B91" s="3468"/>
      <c r="C91" s="2832" t="s">
        <v>2689</v>
      </c>
      <c r="D91" s="2832" t="s">
        <v>2690</v>
      </c>
      <c r="E91" s="2858">
        <v>0.2</v>
      </c>
      <c r="F91" s="2858">
        <v>25</v>
      </c>
    </row>
    <row r="92" spans="1:6" ht="13.5">
      <c r="A92" s="2858">
        <v>20</v>
      </c>
      <c r="B92" s="3468"/>
      <c r="C92" s="2832" t="s">
        <v>2691</v>
      </c>
      <c r="D92" s="2832" t="s">
        <v>2692</v>
      </c>
      <c r="E92" s="2858">
        <v>0.15</v>
      </c>
      <c r="F92" s="2858">
        <v>20</v>
      </c>
    </row>
    <row r="93" spans="1:6" ht="13.5">
      <c r="A93" s="2858">
        <v>21</v>
      </c>
      <c r="B93" s="3468"/>
      <c r="C93" s="2832" t="s">
        <v>2693</v>
      </c>
      <c r="D93" s="2832" t="s">
        <v>2694</v>
      </c>
      <c r="E93" s="2858">
        <v>0.15</v>
      </c>
      <c r="F93" s="2858">
        <v>20</v>
      </c>
    </row>
    <row r="94" spans="1:6" ht="13.5">
      <c r="A94" s="2858">
        <v>22</v>
      </c>
      <c r="B94" s="3468"/>
      <c r="C94" s="2832" t="s">
        <v>2695</v>
      </c>
      <c r="D94" s="2832" t="s">
        <v>2696</v>
      </c>
      <c r="E94" s="2858">
        <v>0.15</v>
      </c>
      <c r="F94" s="2858">
        <v>20</v>
      </c>
    </row>
    <row r="95" spans="1:6" ht="36">
      <c r="A95" s="2858">
        <v>23</v>
      </c>
      <c r="B95" s="3468"/>
      <c r="C95" s="2832" t="s">
        <v>2697</v>
      </c>
      <c r="D95" s="2832" t="s">
        <v>2698</v>
      </c>
      <c r="E95" s="2858">
        <v>0.15</v>
      </c>
      <c r="F95" s="2858">
        <v>20</v>
      </c>
    </row>
    <row r="96" spans="1:6" ht="13.5">
      <c r="A96" s="2858">
        <v>24</v>
      </c>
      <c r="B96" s="3468"/>
      <c r="C96" s="2832" t="s">
        <v>2699</v>
      </c>
      <c r="D96" s="2832" t="s">
        <v>2700</v>
      </c>
      <c r="E96" s="2858">
        <v>0.1</v>
      </c>
      <c r="F96" s="2858">
        <v>15</v>
      </c>
    </row>
    <row r="97" spans="1:6" ht="13.5">
      <c r="A97" s="2858">
        <v>25</v>
      </c>
      <c r="B97" s="3468"/>
      <c r="C97" s="2832" t="s">
        <v>2701</v>
      </c>
      <c r="D97" s="2832" t="s">
        <v>2702</v>
      </c>
      <c r="E97" s="2858">
        <v>0.1</v>
      </c>
      <c r="F97" s="2858">
        <v>15</v>
      </c>
    </row>
    <row r="98" spans="1:6" ht="24">
      <c r="A98" s="2858">
        <v>26</v>
      </c>
      <c r="B98" s="3468"/>
      <c r="C98" s="2832" t="s">
        <v>2703</v>
      </c>
      <c r="D98" s="2832" t="s">
        <v>2704</v>
      </c>
      <c r="E98" s="2858">
        <v>0.1</v>
      </c>
      <c r="F98" s="2858">
        <v>15</v>
      </c>
    </row>
    <row r="99" spans="1:6" ht="24">
      <c r="A99" s="2858">
        <v>27</v>
      </c>
      <c r="B99" s="3468"/>
      <c r="C99" s="2832" t="s">
        <v>2705</v>
      </c>
      <c r="D99" s="2832" t="s">
        <v>2706</v>
      </c>
      <c r="E99" s="2858">
        <v>0.1</v>
      </c>
      <c r="F99" s="2858">
        <v>15</v>
      </c>
    </row>
    <row r="100" spans="1:6" ht="13.5">
      <c r="A100" s="2858">
        <v>28</v>
      </c>
      <c r="B100" s="3468"/>
      <c r="C100" s="2832" t="s">
        <v>2707</v>
      </c>
      <c r="D100" s="2832" t="s">
        <v>2708</v>
      </c>
      <c r="E100" s="2858">
        <v>0.1</v>
      </c>
      <c r="F100" s="2858">
        <v>15</v>
      </c>
    </row>
    <row r="101" spans="1:6" ht="13.5">
      <c r="A101" s="2858">
        <v>29</v>
      </c>
      <c r="B101" s="3468"/>
      <c r="C101" s="2832" t="s">
        <v>2709</v>
      </c>
      <c r="D101" s="2832" t="s">
        <v>2710</v>
      </c>
      <c r="E101" s="2858">
        <v>0.1</v>
      </c>
      <c r="F101" s="2858">
        <v>15</v>
      </c>
    </row>
    <row r="102" spans="1:6" ht="13.5">
      <c r="A102" s="2858">
        <v>30</v>
      </c>
      <c r="B102" s="3468"/>
      <c r="C102" s="2832" t="s">
        <v>2711</v>
      </c>
      <c r="D102" s="2832" t="s">
        <v>2712</v>
      </c>
      <c r="E102" s="2858">
        <v>0.1</v>
      </c>
      <c r="F102" s="2858">
        <v>15</v>
      </c>
    </row>
    <row r="103" spans="1:6" ht="24">
      <c r="A103" s="2858">
        <v>31</v>
      </c>
      <c r="B103" s="3468"/>
      <c r="C103" s="2832" t="s">
        <v>2713</v>
      </c>
      <c r="D103" s="2832" t="s">
        <v>2714</v>
      </c>
      <c r="E103" s="2858">
        <v>0.1</v>
      </c>
      <c r="F103" s="2858">
        <v>15</v>
      </c>
    </row>
    <row r="104" spans="1:6" ht="24">
      <c r="A104" s="2858">
        <v>32</v>
      </c>
      <c r="B104" s="3468"/>
      <c r="C104" s="2832" t="s">
        <v>2715</v>
      </c>
      <c r="D104" s="2832" t="s">
        <v>2716</v>
      </c>
      <c r="E104" s="2858">
        <v>0.1</v>
      </c>
      <c r="F104" s="2858">
        <v>15</v>
      </c>
    </row>
    <row r="105" spans="1:6" ht="24">
      <c r="A105" s="2858">
        <v>33</v>
      </c>
      <c r="B105" s="3468"/>
      <c r="C105" s="2832" t="s">
        <v>2717</v>
      </c>
      <c r="D105" s="2832" t="s">
        <v>2718</v>
      </c>
      <c r="E105" s="2858">
        <v>0.1</v>
      </c>
      <c r="F105" s="2858">
        <v>15</v>
      </c>
    </row>
    <row r="106" spans="1:6" ht="24">
      <c r="A106" s="2858">
        <v>34</v>
      </c>
      <c r="B106" s="3467"/>
      <c r="C106" s="2832" t="s">
        <v>2719</v>
      </c>
      <c r="D106" s="2832" t="s">
        <v>2720</v>
      </c>
      <c r="E106" s="2858">
        <v>0.1</v>
      </c>
      <c r="F106" s="2858">
        <v>15</v>
      </c>
    </row>
    <row r="107" spans="1:6" ht="24">
      <c r="A107" s="2858">
        <v>35</v>
      </c>
      <c r="B107" s="3466" t="s">
        <v>2721</v>
      </c>
      <c r="C107" s="2858" t="s">
        <v>2722</v>
      </c>
      <c r="D107" s="2832" t="s">
        <v>2723</v>
      </c>
      <c r="E107" s="2858">
        <v>0.15</v>
      </c>
      <c r="F107" s="2858">
        <v>20</v>
      </c>
    </row>
    <row r="108" spans="1:6" ht="13.5">
      <c r="A108" s="2858">
        <v>36</v>
      </c>
      <c r="B108" s="3468"/>
      <c r="C108" s="2858" t="s">
        <v>2724</v>
      </c>
      <c r="D108" s="2832" t="s">
        <v>2725</v>
      </c>
      <c r="E108" s="2858">
        <v>0.15</v>
      </c>
      <c r="F108" s="2858">
        <v>20</v>
      </c>
    </row>
    <row r="109" spans="1:6" ht="13.5">
      <c r="A109" s="2858">
        <v>37</v>
      </c>
      <c r="B109" s="3468"/>
      <c r="C109" s="2858" t="s">
        <v>2726</v>
      </c>
      <c r="D109" s="2832" t="s">
        <v>2727</v>
      </c>
      <c r="E109" s="2858">
        <v>0.15</v>
      </c>
      <c r="F109" s="2858">
        <v>20</v>
      </c>
    </row>
    <row r="110" spans="1:6" ht="13.5">
      <c r="A110" s="2858">
        <v>38</v>
      </c>
      <c r="B110" s="3468"/>
      <c r="C110" s="2858" t="s">
        <v>2728</v>
      </c>
      <c r="D110" s="2832" t="s">
        <v>2729</v>
      </c>
      <c r="E110" s="2858">
        <v>0.1</v>
      </c>
      <c r="F110" s="2858">
        <v>15</v>
      </c>
    </row>
    <row r="111" spans="1:6" ht="24">
      <c r="A111" s="2858">
        <v>39</v>
      </c>
      <c r="B111" s="3468"/>
      <c r="C111" s="2858" t="s">
        <v>2730</v>
      </c>
      <c r="D111" s="2832" t="s">
        <v>2731</v>
      </c>
      <c r="E111" s="2858">
        <v>0.1</v>
      </c>
      <c r="F111" s="2858">
        <v>15</v>
      </c>
    </row>
    <row r="112" spans="1:6" ht="24">
      <c r="A112" s="2858">
        <v>40</v>
      </c>
      <c r="B112" s="3467"/>
      <c r="C112" s="2858" t="s">
        <v>2732</v>
      </c>
      <c r="D112" s="2832" t="s">
        <v>2733</v>
      </c>
      <c r="E112" s="2858">
        <v>0.1</v>
      </c>
      <c r="F112" s="2858">
        <v>15</v>
      </c>
    </row>
    <row r="113" spans="1:6" ht="13.5">
      <c r="A113" s="2858">
        <v>41</v>
      </c>
      <c r="B113" s="3465" t="s">
        <v>2734</v>
      </c>
      <c r="C113" s="2858" t="s">
        <v>2735</v>
      </c>
      <c r="D113" s="2832" t="s">
        <v>2736</v>
      </c>
      <c r="E113" s="2858">
        <v>0.1</v>
      </c>
      <c r="F113" s="2858">
        <v>15</v>
      </c>
    </row>
    <row r="114" spans="1:6" ht="13.5">
      <c r="A114" s="2858">
        <v>42</v>
      </c>
      <c r="B114" s="3465"/>
      <c r="C114" s="2858" t="s">
        <v>2737</v>
      </c>
      <c r="D114" s="2832" t="s">
        <v>2738</v>
      </c>
      <c r="E114" s="2858">
        <v>0.1</v>
      </c>
      <c r="F114" s="2858">
        <v>15</v>
      </c>
    </row>
    <row r="115" spans="1:6" ht="24">
      <c r="A115" s="2858">
        <v>43</v>
      </c>
      <c r="B115" s="3465"/>
      <c r="C115" s="2858" t="s">
        <v>2739</v>
      </c>
      <c r="D115" s="2832" t="s">
        <v>2740</v>
      </c>
      <c r="E115" s="2858">
        <v>0.1</v>
      </c>
      <c r="F115" s="2858">
        <v>15</v>
      </c>
    </row>
    <row r="116" spans="1:6" ht="13.5">
      <c r="A116" s="2858">
        <v>44</v>
      </c>
      <c r="B116" s="3466" t="s">
        <v>2741</v>
      </c>
      <c r="C116" s="2858" t="s">
        <v>2742</v>
      </c>
      <c r="D116" s="2832" t="s">
        <v>2743</v>
      </c>
      <c r="E116" s="2858">
        <v>0.1</v>
      </c>
      <c r="F116" s="2858">
        <v>15</v>
      </c>
    </row>
    <row r="117" spans="1:6" ht="24">
      <c r="A117" s="2858">
        <v>45</v>
      </c>
      <c r="B117" s="3467"/>
      <c r="C117" s="2832" t="s">
        <v>2744</v>
      </c>
      <c r="D117" s="2832" t="s">
        <v>2745</v>
      </c>
      <c r="E117" s="2858">
        <v>0.1</v>
      </c>
      <c r="F117" s="2858">
        <v>15</v>
      </c>
    </row>
    <row r="118" spans="1:6" ht="24">
      <c r="A118" s="2858">
        <v>46</v>
      </c>
      <c r="B118" s="3466" t="s">
        <v>2746</v>
      </c>
      <c r="C118" s="2858" t="s">
        <v>2747</v>
      </c>
      <c r="D118" s="2832" t="s">
        <v>2748</v>
      </c>
      <c r="E118" s="2858">
        <v>0.1</v>
      </c>
      <c r="F118" s="2858">
        <v>15</v>
      </c>
    </row>
    <row r="119" spans="1:6" ht="24">
      <c r="A119" s="2858">
        <v>47</v>
      </c>
      <c r="B119" s="3467"/>
      <c r="C119" s="2858" t="s">
        <v>2749</v>
      </c>
      <c r="D119" s="2832" t="s">
        <v>2750</v>
      </c>
      <c r="E119" s="2858">
        <v>0.1</v>
      </c>
      <c r="F119" s="2858">
        <v>15</v>
      </c>
    </row>
    <row r="120" spans="1:6" ht="13.5">
      <c r="A120" s="2858">
        <v>48</v>
      </c>
      <c r="B120" s="3466" t="s">
        <v>2751</v>
      </c>
      <c r="C120" s="2858" t="s">
        <v>2752</v>
      </c>
      <c r="D120" s="2832" t="s">
        <v>2753</v>
      </c>
      <c r="E120" s="2858">
        <v>0.1</v>
      </c>
      <c r="F120" s="2858">
        <v>15</v>
      </c>
    </row>
    <row r="121" spans="1:6" ht="13.5">
      <c r="A121" s="2858">
        <v>49</v>
      </c>
      <c r="B121" s="3467"/>
      <c r="C121" s="2858" t="s">
        <v>2754</v>
      </c>
      <c r="D121" s="2832" t="s">
        <v>2755</v>
      </c>
      <c r="E121" s="2858">
        <v>0.1</v>
      </c>
      <c r="F121" s="2858">
        <v>15</v>
      </c>
    </row>
    <row r="122" spans="1:6" ht="24">
      <c r="A122" s="2858">
        <v>50</v>
      </c>
      <c r="B122" s="3465" t="s">
        <v>2756</v>
      </c>
      <c r="C122" s="2858" t="s">
        <v>2757</v>
      </c>
      <c r="D122" s="2832" t="s">
        <v>2758</v>
      </c>
      <c r="E122" s="2858">
        <v>0.1</v>
      </c>
      <c r="F122" s="2858">
        <v>15</v>
      </c>
    </row>
    <row r="123" spans="1:6" ht="24">
      <c r="A123" s="2858">
        <v>51</v>
      </c>
      <c r="B123" s="3465"/>
      <c r="C123" s="2858" t="s">
        <v>2759</v>
      </c>
      <c r="D123" s="2832" t="s">
        <v>2760</v>
      </c>
      <c r="E123" s="2858">
        <v>0.1</v>
      </c>
      <c r="F123" s="2858">
        <v>15</v>
      </c>
    </row>
    <row r="124" spans="1:6" ht="24">
      <c r="A124" s="2858">
        <v>52</v>
      </c>
      <c r="B124" s="3465" t="s">
        <v>2761</v>
      </c>
      <c r="C124" s="2858" t="s">
        <v>2762</v>
      </c>
      <c r="D124" s="2832" t="s">
        <v>2763</v>
      </c>
      <c r="E124" s="2858">
        <v>0.1</v>
      </c>
      <c r="F124" s="2858">
        <v>15</v>
      </c>
    </row>
    <row r="125" spans="1:6" ht="24">
      <c r="A125" s="2858">
        <v>53</v>
      </c>
      <c r="B125" s="3465"/>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65" t="s">
        <v>2769</v>
      </c>
      <c r="C127" s="2858" t="s">
        <v>2770</v>
      </c>
      <c r="D127" s="2832" t="s">
        <v>2771</v>
      </c>
      <c r="E127" s="2858">
        <v>0.1</v>
      </c>
      <c r="F127" s="2858">
        <v>15</v>
      </c>
    </row>
    <row r="128" spans="1:6" ht="13.5">
      <c r="A128" s="2858">
        <v>56</v>
      </c>
      <c r="B128" s="3465"/>
      <c r="C128" s="2858" t="s">
        <v>2772</v>
      </c>
      <c r="D128" s="2832" t="s">
        <v>2773</v>
      </c>
      <c r="E128" s="2858">
        <v>0.1</v>
      </c>
      <c r="F128" s="2858">
        <v>15</v>
      </c>
    </row>
    <row r="129" spans="1:6" ht="24">
      <c r="A129" s="2858">
        <v>57</v>
      </c>
      <c r="B129" s="3465"/>
      <c r="C129" s="2858" t="s">
        <v>2774</v>
      </c>
      <c r="D129" s="2832" t="s">
        <v>2775</v>
      </c>
      <c r="E129" s="2858">
        <v>0.1</v>
      </c>
      <c r="F129" s="2858">
        <v>15</v>
      </c>
    </row>
    <row r="130" spans="1:6" ht="24">
      <c r="A130" s="2858">
        <v>58</v>
      </c>
      <c r="B130" s="3465" t="s">
        <v>2776</v>
      </c>
      <c r="C130" s="2858" t="s">
        <v>2777</v>
      </c>
      <c r="D130" s="2832" t="s">
        <v>2778</v>
      </c>
      <c r="E130" s="2858">
        <v>0.1</v>
      </c>
      <c r="F130" s="2858">
        <v>15</v>
      </c>
    </row>
    <row r="131" spans="1:6" ht="13.5">
      <c r="A131" s="2858">
        <v>59</v>
      </c>
      <c r="B131" s="3465"/>
      <c r="C131" s="2858" t="s">
        <v>2779</v>
      </c>
      <c r="D131" s="2832" t="s">
        <v>2780</v>
      </c>
      <c r="E131" s="2858">
        <v>0.1</v>
      </c>
      <c r="F131" s="2858">
        <v>15</v>
      </c>
    </row>
    <row r="132" spans="1:6" ht="13.5">
      <c r="A132" s="2858">
        <v>60</v>
      </c>
      <c r="B132" s="3466" t="s">
        <v>2781</v>
      </c>
      <c r="C132" s="2858" t="s">
        <v>2782</v>
      </c>
      <c r="D132" s="2832" t="s">
        <v>2783</v>
      </c>
      <c r="E132" s="2858">
        <v>0.1</v>
      </c>
      <c r="F132" s="2858">
        <v>15</v>
      </c>
    </row>
    <row r="133" spans="1:6" ht="13.5">
      <c r="A133" s="2858">
        <v>61</v>
      </c>
      <c r="B133" s="3467"/>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65" t="s">
        <v>2789</v>
      </c>
      <c r="C135" s="2858" t="s">
        <v>2790</v>
      </c>
      <c r="D135" s="2832" t="s">
        <v>2791</v>
      </c>
      <c r="E135" s="2858">
        <v>0.1</v>
      </c>
      <c r="F135" s="2858">
        <v>15</v>
      </c>
    </row>
    <row r="136" spans="1:6" ht="13.5">
      <c r="A136" s="2858">
        <v>64</v>
      </c>
      <c r="B136" s="3465"/>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SUMPRODUCT((A95:A184=ROUNDDOWN('基准地价修正-商业'!G3,1))*(B94:M94='基准地价修正-商业'!G2)*(B95:M184))</f>
        <v>1.1056999999999999</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SUMPRODUCT((A371:A460=ROUNDDOWN('基准地价修正-商业'!G3,1))*(B370:M370='基准地价修正-商业'!G2)*(B371:M460))</f>
        <v>1.0517000000000001</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9500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9500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9500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2" t="s">
        <v>94</v>
      </c>
    </row>
    <row r="43" spans="1:7" ht="13.5" customHeight="1">
      <c r="A43" s="734" t="s">
        <v>347</v>
      </c>
      <c r="B43" s="207" t="s">
        <v>426</v>
      </c>
      <c r="C43" s="230" t="e">
        <f ca="1">ROUND(IF('数据-取费表'!B22&lt;=1,C39*F22*'数据-取费表'!B21/2,C39*(POWER((1+F22),'数据-取费表'!B21/2)-1)),0)</f>
        <v>#VALUE!</v>
      </c>
      <c r="D43" s="230"/>
      <c r="E43" s="230"/>
      <c r="F43" s="231"/>
      <c r="G43" s="3343"/>
    </row>
    <row r="44" spans="1:7" ht="13.5" customHeight="1">
      <c r="A44" s="734" t="s">
        <v>348</v>
      </c>
      <c r="B44" s="207" t="s">
        <v>428</v>
      </c>
      <c r="C44" s="230" t="e">
        <f ca="1">ROUND(IF('数据-取费表'!B22&lt;=1,C40*F22*'数据-取费表'!B21/2,C40*(POWER((1+F22),'数据-取费表'!B21/2)-1)),4)</f>
        <v>#VALUE!</v>
      </c>
      <c r="D44" s="230"/>
      <c r="E44" s="230"/>
      <c r="F44" s="231"/>
      <c r="G44" s="3344"/>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9" t="s">
        <v>2839</v>
      </c>
      <c r="B1" s="3479"/>
      <c r="C1" s="3479"/>
      <c r="D1" s="3479"/>
      <c r="E1" s="3479"/>
      <c r="F1" s="3479"/>
      <c r="G1" s="3480"/>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7"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8"/>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1" t="s">
        <v>3181</v>
      </c>
      <c r="B1" s="3481"/>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2" t="s">
        <v>3232</v>
      </c>
      <c r="B1" s="3482"/>
      <c r="C1" s="3482"/>
      <c r="D1" s="3482"/>
      <c r="E1" s="3482"/>
      <c r="F1" s="3483"/>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AE67" sqref="AE67"/>
    </sheetView>
  </sheetViews>
  <sheetFormatPr defaultRowHeight="13.5"/>
  <cols>
    <col min="1" max="1" width="13.875" customWidth="1"/>
    <col min="11" max="17" width="0" hidden="1" customWidth="1"/>
    <col min="25" max="30" width="0" hidden="1" customWidth="1"/>
  </cols>
  <sheetData>
    <row r="1" spans="1:30">
      <c r="A1" s="2938">
        <f>'基准地价修正-商业'!G23</f>
        <v>45702</v>
      </c>
      <c r="B1" s="2930" t="s">
        <v>3379</v>
      </c>
      <c r="C1" s="2931"/>
      <c r="D1" s="2931"/>
      <c r="E1" s="2931"/>
      <c r="F1" s="2931"/>
      <c r="G1" s="2931"/>
      <c r="H1" s="2931"/>
      <c r="I1" s="2931"/>
      <c r="J1" s="2897"/>
      <c r="K1" s="2931" t="s">
        <v>454</v>
      </c>
      <c r="L1" s="2931"/>
      <c r="M1" s="2931"/>
      <c r="N1" s="2931"/>
      <c r="O1" s="2931"/>
      <c r="P1" s="2931"/>
      <c r="Q1" s="2897"/>
      <c r="R1" s="3484" t="s">
        <v>456</v>
      </c>
      <c r="S1" s="3485"/>
      <c r="T1" s="3485"/>
      <c r="U1" s="3485"/>
      <c r="V1" s="3485"/>
      <c r="W1" s="3485"/>
      <c r="X1" s="2897"/>
      <c r="Y1" s="3484" t="s">
        <v>457</v>
      </c>
      <c r="Z1" s="3485"/>
      <c r="AA1" s="3485"/>
      <c r="AB1" s="3485"/>
      <c r="AC1" s="3485"/>
      <c r="AD1" s="3485"/>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3382</v>
      </c>
    </row>
    <row r="24" spans="1:30">
      <c r="I24" s="1405" t="s">
        <v>2825</v>
      </c>
    </row>
    <row r="26" spans="1:30" s="2009" customFormat="1" ht="12.75">
      <c r="B26" s="2930" t="s">
        <v>3380</v>
      </c>
      <c r="C26" s="2931"/>
      <c r="D26" s="2931"/>
      <c r="E26" s="2931"/>
      <c r="F26" s="2931"/>
      <c r="G26" s="2931"/>
      <c r="H26" s="2931"/>
      <c r="I26" s="2931"/>
      <c r="J26" s="2897"/>
      <c r="K26" s="2931" t="s">
        <v>2826</v>
      </c>
      <c r="L26" s="2931"/>
      <c r="M26" s="2931"/>
      <c r="N26" s="2931"/>
      <c r="O26" s="2931"/>
      <c r="P26" s="2931"/>
      <c r="Q26" s="2897"/>
      <c r="R26" s="3484" t="s">
        <v>2827</v>
      </c>
      <c r="S26" s="3485"/>
      <c r="T26" s="3485"/>
      <c r="U26" s="3485"/>
      <c r="V26" s="3485"/>
      <c r="W26" s="3485"/>
      <c r="X26" s="2897"/>
      <c r="Y26" s="3484" t="s">
        <v>2828</v>
      </c>
      <c r="Z26" s="3485"/>
      <c r="AA26" s="3485"/>
      <c r="AB26" s="3485"/>
      <c r="AC26" s="3485"/>
      <c r="AD26" s="3485"/>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801" t="s">
        <v>925</v>
      </c>
      <c r="E3" s="801" t="s">
        <v>931</v>
      </c>
      <c r="F3" s="801" t="s">
        <v>925</v>
      </c>
      <c r="G3" s="801" t="s">
        <v>926</v>
      </c>
      <c r="H3" s="801" t="s">
        <v>925</v>
      </c>
      <c r="I3" s="801" t="s">
        <v>926</v>
      </c>
    </row>
    <row r="4" spans="1:9" ht="15">
      <c r="A4" s="1403" t="str">
        <f>项目基本情况!S2</f>
        <v>北京市房地产</v>
      </c>
      <c r="B4" s="801">
        <f>项目基本情况!C17</f>
        <v>9500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4" t="s">
        <v>927</v>
      </c>
      <c r="B5" s="3174"/>
      <c r="C5" s="3174"/>
      <c r="D5" s="3174" t="e">
        <f ca="1">结果表!D119</f>
        <v>#REF!</v>
      </c>
      <c r="E5" s="3174"/>
      <c r="F5" s="3174" t="e">
        <f ca="1">结果表!F119</f>
        <v>#REF!</v>
      </c>
      <c r="G5" s="3174"/>
      <c r="H5" s="3174" t="e">
        <f ca="1">结果表!H119</f>
        <v>#REF!</v>
      </c>
      <c r="I5" s="3174"/>
    </row>
    <row r="6" spans="1:9" ht="15.75">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75">
      <c r="A8" s="3173" t="str">
        <f>结果表!A122</f>
        <v>房地产抵押价值</v>
      </c>
      <c r="B8" s="3173"/>
      <c r="C8" s="3173"/>
      <c r="D8" s="3173" t="e">
        <f ca="1">结果表!D122</f>
        <v>#REF!</v>
      </c>
      <c r="E8" s="3173"/>
      <c r="F8" s="3173"/>
      <c r="G8" s="3173"/>
      <c r="H8" s="3173"/>
      <c r="I8" s="3173"/>
    </row>
    <row r="9" spans="1:9" ht="15">
      <c r="A9" s="3174" t="s">
        <v>927</v>
      </c>
      <c r="B9" s="3174"/>
      <c r="C9" s="3174"/>
      <c r="D9" s="3174" t="e">
        <f ca="1">结果表!D123</f>
        <v>#REF!</v>
      </c>
      <c r="E9" s="3174"/>
      <c r="F9" s="3174"/>
      <c r="G9" s="3174"/>
      <c r="H9" s="3174"/>
      <c r="I9" s="3174"/>
    </row>
    <row r="10" spans="1:9" ht="15.75">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75">
      <c r="A12" s="3173" t="str">
        <f>结果表!A126</f>
        <v/>
      </c>
      <c r="B12" s="3173"/>
      <c r="C12" s="3173"/>
      <c r="D12" s="3173" t="str">
        <f>结果表!D126</f>
        <v>——</v>
      </c>
      <c r="E12" s="3173"/>
      <c r="F12" s="3173"/>
      <c r="G12" s="3173"/>
      <c r="H12" s="3173"/>
      <c r="I12" s="3173"/>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45702</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5"/>
      <c r="C12" s="3185"/>
      <c r="D12" s="3185"/>
    </row>
    <row r="13" spans="1:4" ht="30" customHeight="1">
      <c r="A13" s="3180" t="str">
        <f>IF(项目基本情况!B8="抵押","3.抵押双方在办理抵押登记手续时，应使用本公司出具的正式《房地产评估报告》，特提醒报告使用者注意。","——")</f>
        <v>——</v>
      </c>
      <c r="B13" s="3185"/>
      <c r="C13" s="3185"/>
      <c r="D13" s="3185"/>
    </row>
    <row r="14" spans="1:4" ht="15.75" customHeight="1">
      <c r="A14" s="3180" t="str">
        <f>IF(项目基本情况!B8="抵押","4.本次评估估价师所知悉的法定优先受偿款情况说明如下：","——")</f>
        <v>——</v>
      </c>
      <c r="B14" s="3185"/>
      <c r="C14" s="3185"/>
      <c r="D14" s="3185"/>
    </row>
    <row r="15" spans="1:4" ht="42" customHeight="1">
      <c r="A15" s="3180" t="str">
        <f>IF(项目基本情况!B8="抵押","（1）"&amp;CONCATENATE(项目基本情况!L20,项目基本情况!L21,项目基本情况!L22),"——")</f>
        <v>——</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4" t="s">
        <v>956</v>
      </c>
      <c r="B15" s="3189" t="s">
        <v>109</v>
      </c>
      <c r="C15" s="3190"/>
    </row>
    <row r="16" spans="1:7" ht="13.5">
      <c r="A16" s="3195"/>
      <c r="B16" s="3189" t="s">
        <v>42</v>
      </c>
      <c r="C16" s="3190"/>
    </row>
    <row r="17" spans="1:3" ht="13.5">
      <c r="A17" s="3195"/>
      <c r="B17" s="3192" t="s">
        <v>957</v>
      </c>
      <c r="C17" s="1429" t="s">
        <v>956</v>
      </c>
    </row>
    <row r="18" spans="1:3" ht="13.5">
      <c r="A18" s="3195"/>
      <c r="B18" s="3192"/>
      <c r="C18" s="1429" t="s">
        <v>958</v>
      </c>
    </row>
    <row r="19" spans="1:3" ht="13.5">
      <c r="A19" s="3195"/>
      <c r="B19" s="3192"/>
      <c r="C19" s="1429" t="s">
        <v>959</v>
      </c>
    </row>
    <row r="20" spans="1:3" ht="13.5">
      <c r="A20" s="3196"/>
      <c r="B20" s="3191" t="s">
        <v>960</v>
      </c>
      <c r="C20" s="3190"/>
    </row>
    <row r="21" spans="1:3" ht="13.5">
      <c r="A21" s="1430" t="s">
        <v>961</v>
      </c>
      <c r="B21" s="1431"/>
      <c r="C21" s="1432"/>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9" t="s">
        <v>967</v>
      </c>
    </row>
    <row r="26" spans="1:3" ht="13.5">
      <c r="A26" s="3193"/>
      <c r="B26" s="3192"/>
      <c r="C26" s="1429" t="s">
        <v>968</v>
      </c>
    </row>
    <row r="27" spans="1:3" ht="13.5">
      <c r="A27" s="3193"/>
      <c r="B27" s="3192"/>
      <c r="C27" s="1429" t="s">
        <v>969</v>
      </c>
    </row>
    <row r="28" spans="1:3" ht="13.5">
      <c r="A28" s="3193"/>
      <c r="B28" s="3192"/>
      <c r="C28" s="1429" t="s">
        <v>970</v>
      </c>
    </row>
    <row r="29" spans="1:3" ht="13.5">
      <c r="A29" s="3193"/>
      <c r="B29" s="3192"/>
      <c r="C29" s="1429" t="s">
        <v>971</v>
      </c>
    </row>
    <row r="30" spans="1:3" ht="13.5">
      <c r="A30" s="3193"/>
      <c r="B30" s="3192"/>
      <c r="C30" s="1429" t="s">
        <v>972</v>
      </c>
    </row>
    <row r="31" spans="1:3" ht="13.5">
      <c r="A31" s="3193"/>
      <c r="B31" s="3192"/>
      <c r="C31" s="1429" t="s">
        <v>973</v>
      </c>
    </row>
    <row r="32" spans="1:3" ht="13.5">
      <c r="A32" s="3193"/>
      <c r="B32" s="3192"/>
      <c r="C32" s="1429" t="s">
        <v>974</v>
      </c>
    </row>
    <row r="33" spans="1:3" ht="13.5">
      <c r="A33" s="3193"/>
      <c r="B33" s="319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7" t="s">
        <v>2160</v>
      </c>
      <c r="B17" s="3197"/>
      <c r="C17" s="3197"/>
      <c r="D17" s="3197"/>
      <c r="E17" s="3197"/>
      <c r="F17" s="3197"/>
      <c r="G17" s="3197"/>
      <c r="H17" s="3197"/>
    </row>
    <row r="18" spans="1:8" ht="24" customHeight="1">
      <c r="A18" s="3198" t="s">
        <v>2161</v>
      </c>
      <c r="B18" s="3198"/>
      <c r="C18" s="3198"/>
      <c r="D18" s="2160"/>
      <c r="E18" s="3199" t="s">
        <v>2162</v>
      </c>
      <c r="F18" s="3198"/>
      <c r="G18" s="319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基准地价修正-商业</vt:lpstr>
      <vt:lpstr>基准地价修正-办公</vt:lpstr>
      <vt:lpstr>基准地价修正-交通</vt:lpstr>
      <vt:lpstr>Sheet1</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'基准地价修正-交通'!Print_Area</vt:lpstr>
      <vt:lpstr>'基准地价修正-商业'!Print_Area</vt:lpstr>
      <vt:lpstr>'基准地价修正-住宅'!Print_Area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'基准地价修正-交通'!季度</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2025-04-30T07:26:42Z</dcterms:modified>
</cp:coreProperties>
</file>